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<sst xmlns="http://schemas.openxmlformats.org/spreadsheetml/2006/main" count="86249" uniqueCount="13147">
  <si>
    <t>Hyperlinked Case #</t>
  </si>
  <si>
    <t>Primary Advocate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</si>
  <si>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</si>
  <si>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</si>
  <si>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</si>
  <si>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</si>
  <si>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</si>
  <si>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</si>
  <si>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</si>
  <si>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</si>
  <si>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</si>
  <si>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Signed DHCI Form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</si>
  <si>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</si>
  <si>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</si>
  <si>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</si>
  <si>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</si>
  <si>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</si>
  <si>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</si>
  <si>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</si>
  <si>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</si>
  <si>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</si>
  <si>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</si>
  <si>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</si>
  <si>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</si>
  <si>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IOLA 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</si>
  <si>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</si>
  <si>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</si>
  <si>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</si>
  <si>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</si>
  <si>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</si>
  <si>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</si>
  <si>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</si>
  <si>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</si>
  <si>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</si>
  <si>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</si>
  <si>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</si>
  <si>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</si>
  <si>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</si>
  <si>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</si>
  <si>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</si>
  <si>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</si>
  <si>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</si>
  <si>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</si>
  <si>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</si>
  <si>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</si>
  <si>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Service Date</t>
  </si>
  <si>
    <t>Caseworker Name</t>
  </si>
  <si>
    <t>Housing Income Verification</t>
  </si>
  <si>
    <t>Namuche, Raquel</t>
  </si>
  <si>
    <t>Salas, Emma</t>
  </si>
  <si>
    <t>Chan, Vincce</t>
  </si>
  <si>
    <t>Pozo, Caridad</t>
  </si>
  <si>
    <t>Lam, Kevin</t>
  </si>
  <si>
    <t>Santos, Marisol</t>
  </si>
  <si>
    <t>Jacobs, Alex</t>
  </si>
  <si>
    <t>Lin, Evelyn</t>
  </si>
  <si>
    <t>Tadepalli, Ashwin</t>
  </si>
  <si>
    <t>Rhee, Bohee</t>
  </si>
  <si>
    <t>Maltezos, Alexander</t>
  </si>
  <si>
    <t>Flores, Irene</t>
  </si>
  <si>
    <t>Lee, Thomas</t>
  </si>
  <si>
    <t>Barrett, Samantha</t>
  </si>
  <si>
    <t>Diaz, Lino</t>
  </si>
  <si>
    <t>Ascher, Ann</t>
  </si>
  <si>
    <t>Barreda, Catherine</t>
  </si>
  <si>
    <t>Hammond, Robert</t>
  </si>
  <si>
    <t>Hoque, Shatti</t>
  </si>
  <si>
    <t>Kook, Heejung</t>
  </si>
  <si>
    <t>McCormick, James</t>
  </si>
  <si>
    <t>Ross, Jasmine</t>
  </si>
  <si>
    <t>Pepe, Lailah</t>
  </si>
  <si>
    <t>Rubin, Jenn</t>
  </si>
  <si>
    <t>Patel, Mona</t>
  </si>
  <si>
    <t>Haynes, Tralane</t>
  </si>
  <si>
    <t>DeLong, Sarah</t>
  </si>
  <si>
    <t>Schiff, Logan</t>
  </si>
  <si>
    <t>Crisona, Kathryn</t>
  </si>
  <si>
    <t>Wong, Humbert</t>
  </si>
  <si>
    <t>Hecht-Felella, Laura</t>
  </si>
  <si>
    <t>Nachman, Fraidy</t>
  </si>
  <si>
    <t>Goncharov-Cruickshnk, Natalie</t>
  </si>
  <si>
    <t>Frizell, Catherine</t>
  </si>
  <si>
    <t>Watson, Michael</t>
  </si>
  <si>
    <t>Corsaro, Veronica</t>
  </si>
  <si>
    <t>Cowen, Lindsay</t>
  </si>
  <si>
    <t>Shearer, Diane</t>
  </si>
  <si>
    <t>McCowen, Tamella</t>
  </si>
  <si>
    <t>Kramer, Kramer</t>
  </si>
  <si>
    <t>Belhomme, Wilesca</t>
  </si>
  <si>
    <t>Roman, Melissa</t>
  </si>
  <si>
    <t>Farrell, Emily</t>
  </si>
  <si>
    <t>Hernandez, Elizabeth</t>
  </si>
  <si>
    <t>Marchena, Ivan</t>
  </si>
  <si>
    <t>Johnson, Chantal</t>
  </si>
  <si>
    <t>Saywack, Priam</t>
  </si>
  <si>
    <t>DeStefano, Jessica</t>
  </si>
  <si>
    <t>Chen, Eugene</t>
  </si>
  <si>
    <t>Betances, Gabriella</t>
  </si>
  <si>
    <t>Cappellini, Bianca</t>
  </si>
  <si>
    <t>Vale, Yvonne</t>
  </si>
  <si>
    <t>Montoute, John</t>
  </si>
  <si>
    <t>Gonzalez, Atenedoro</t>
  </si>
  <si>
    <t>Feliz, Oswald</t>
  </si>
  <si>
    <t>Taylor, Mark</t>
  </si>
  <si>
    <t>Fischman, Jean</t>
  </si>
  <si>
    <t>Norton, Carolyn</t>
  </si>
  <si>
    <t>Rookwood, Shardae</t>
  </si>
  <si>
    <t>Ukegbu, Ezi</t>
  </si>
  <si>
    <t>Ocana, Johanna</t>
  </si>
  <si>
    <t>Succop, Steven</t>
  </si>
  <si>
    <t>Ijaz, Kulsoom</t>
  </si>
  <si>
    <t>Castro, Cristina</t>
  </si>
  <si>
    <t>Lowery, Liam</t>
  </si>
  <si>
    <t>Schafler, Eliza</t>
  </si>
  <si>
    <t>Viets, Whitney</t>
  </si>
  <si>
    <t>Ma, Chiansan</t>
  </si>
  <si>
    <t>Pettit, Stephanie</t>
  </si>
  <si>
    <t>Puleo Jr, Michael</t>
  </si>
  <si>
    <t>Granfield, Rachel</t>
  </si>
  <si>
    <t>Golden, Tashanna</t>
  </si>
  <si>
    <t>Hong, Connie</t>
  </si>
  <si>
    <t>Cepeda, Jeanette</t>
  </si>
  <si>
    <t>Burns, Erin</t>
  </si>
  <si>
    <t>Fuentes, Maria</t>
  </si>
  <si>
    <t>Rave, Helen</t>
  </si>
  <si>
    <t>Mottley, Darlene</t>
  </si>
  <si>
    <t>Heller, Steven</t>
  </si>
  <si>
    <t>Torres, Jasmin</t>
  </si>
  <si>
    <t>Briggs, John</t>
  </si>
  <si>
    <t>Porcelli, Ronald</t>
  </si>
  <si>
    <t>Kelly, Kitanya</t>
  </si>
  <si>
    <t>Honan, Thomas</t>
  </si>
  <si>
    <t>James, Lelia</t>
  </si>
  <si>
    <t>Vega, Rita</t>
  </si>
  <si>
    <t>Latterner, Matt</t>
  </si>
  <si>
    <t>Labossiere, Samantha</t>
  </si>
  <si>
    <t>Delgadillo, Omar</t>
  </si>
  <si>
    <t>Robinson, Sally</t>
  </si>
  <si>
    <t>Sharma, Sagar</t>
  </si>
  <si>
    <t>Horth, Aaron</t>
  </si>
  <si>
    <t>Hao, Lindsay</t>
  </si>
  <si>
    <t>Guillaume, Naura</t>
  </si>
  <si>
    <t>Reardon, Elizabeth</t>
  </si>
  <si>
    <t>DeVolld, Angela</t>
  </si>
  <si>
    <t>Henriquez, Luis</t>
  </si>
  <si>
    <t>Mui, Ernie</t>
  </si>
  <si>
    <t>Freeman, Daniel</t>
  </si>
  <si>
    <t>Abbas, Sayeda</t>
  </si>
  <si>
    <t>Xie, Vivian</t>
  </si>
  <si>
    <t>Smith, Sara</t>
  </si>
  <si>
    <t>Mbame, Etondi</t>
  </si>
  <si>
    <t>Caldwell-Kuru, Hazel</t>
  </si>
  <si>
    <t>Atuegbu, Chidera</t>
  </si>
  <si>
    <t>Catuira, Rochelle</t>
  </si>
  <si>
    <t>Barney, Darryl</t>
  </si>
  <si>
    <t>Wilkes, Nicole</t>
  </si>
  <si>
    <t>Ginsberg, Irene</t>
  </si>
  <si>
    <t>McHugh Mills, Maura</t>
  </si>
  <si>
    <t>De Silva, Natasia</t>
  </si>
  <si>
    <t>Mendia-Yadaicela, Michelle</t>
  </si>
  <si>
    <t>Krishnaswamy, Pavita</t>
  </si>
  <si>
    <t>Restrepo-Serrano, Francois</t>
  </si>
  <si>
    <t>Fuller-Bennett, Reuben</t>
  </si>
  <si>
    <t>Solivan, Jackeline</t>
  </si>
  <si>
    <t>Ortiz, Andrew</t>
  </si>
  <si>
    <t>Spencer, Eleanor</t>
  </si>
  <si>
    <t>Alvarez, Adriana</t>
  </si>
  <si>
    <t>McDonald, John</t>
  </si>
  <si>
    <t>Kelly, Dawn</t>
  </si>
  <si>
    <t>Casey, Jonnelle</t>
  </si>
  <si>
    <t>Morgan, Zuri</t>
  </si>
  <si>
    <t>Costa, Stephanie</t>
  </si>
  <si>
    <t>Ricart, Janet</t>
  </si>
  <si>
    <t>Hernandez, Karen</t>
  </si>
  <si>
    <t>Bailey, Michael</t>
  </si>
  <si>
    <t>Almanzar, Milagros</t>
  </si>
  <si>
    <t>Gardner III, George</t>
  </si>
  <si>
    <t>Katnani, Samar</t>
  </si>
  <si>
    <t>Laureano, Luz</t>
  </si>
  <si>
    <t>Hardy, Le`Shera</t>
  </si>
  <si>
    <t>Cisneros, Marisol</t>
  </si>
  <si>
    <t>Yamasaki, Emily Woo</t>
  </si>
  <si>
    <t>Galai, Sagiv</t>
  </si>
  <si>
    <t>Mulles, Carlos</t>
  </si>
  <si>
    <t>Cattani, Brett</t>
  </si>
  <si>
    <t>Luo, Amy</t>
  </si>
  <si>
    <t>Caban-Gandhi, Celina</t>
  </si>
  <si>
    <t>Guzman, Michael</t>
  </si>
  <si>
    <t>Hoffman, Julienne</t>
  </si>
  <si>
    <t>Bernardez, Florencita</t>
  </si>
  <si>
    <t>Scott, Samuel</t>
  </si>
  <si>
    <t>Breakstone, Chelsea</t>
  </si>
  <si>
    <t>Figueroa, Vianca</t>
  </si>
  <si>
    <t>Gathing, Vance</t>
  </si>
  <si>
    <t>Mancias, Fernando</t>
  </si>
  <si>
    <t>Frierson, Jerome</t>
  </si>
  <si>
    <t>Armentrout, Lynn</t>
  </si>
  <si>
    <t>Shah, Ami</t>
  </si>
  <si>
    <t>Massey, Randi</t>
  </si>
  <si>
    <t>Braudy, Erica</t>
  </si>
  <si>
    <t>Anunkor, Ifeoma</t>
  </si>
  <si>
    <t>Telson, Sarah</t>
  </si>
  <si>
    <t>Weaver, Cynthia</t>
  </si>
  <si>
    <t>Lee, Alicia</t>
  </si>
  <si>
    <t>Echeverry, Jessica</t>
  </si>
  <si>
    <t>Geha, Nada</t>
  </si>
  <si>
    <t>Atkinson, Johnson</t>
  </si>
  <si>
    <t>Bromberg, Iris</t>
  </si>
  <si>
    <t>Kellogg, Martha</t>
  </si>
  <si>
    <t>Navarro, Norey</t>
  </si>
  <si>
    <t>Nadeau-Rifkind, Al</t>
  </si>
  <si>
    <t>He, Ricky</t>
  </si>
  <si>
    <t>Drumm, Kristen</t>
  </si>
  <si>
    <t>Lopez, Jessica</t>
  </si>
  <si>
    <t>Patel, Roopal</t>
  </si>
  <si>
    <t>Silliman, Stacey</t>
  </si>
  <si>
    <t>Carlier, Milton</t>
  </si>
  <si>
    <t>Miller, Thomas</t>
  </si>
  <si>
    <t>St. Louis, Bianca</t>
  </si>
  <si>
    <t>Osei, Dionne</t>
  </si>
  <si>
    <t>Contreras, Gatsby</t>
  </si>
  <si>
    <t>Goyzueta, Anna</t>
  </si>
  <si>
    <t>Almanzar, Yocari</t>
  </si>
  <si>
    <t>Tan, Andrea</t>
  </si>
  <si>
    <t>Treadwell, Nathan</t>
  </si>
  <si>
    <t>Kalum, Nicole</t>
  </si>
  <si>
    <t>Nimis, Roland</t>
  </si>
  <si>
    <t>Black, Rosalind</t>
  </si>
  <si>
    <t>Cruz-Perez, Javier</t>
  </si>
  <si>
    <t>Edwards, Patrice</t>
  </si>
  <si>
    <t>Englard, Rubin</t>
  </si>
  <si>
    <t>08/01/2018</t>
  </si>
  <si>
    <t>07/25/2018</t>
  </si>
  <si>
    <t>08/21/2018</t>
  </si>
  <si>
    <t>04/05/2019</t>
  </si>
  <si>
    <t>03/22/2019</t>
  </si>
  <si>
    <t>08/07/2018</t>
  </si>
  <si>
    <t>08/08/2018</t>
  </si>
  <si>
    <t>09/05/2018</t>
  </si>
  <si>
    <t>10/03/2018</t>
  </si>
  <si>
    <t>10/23/2018</t>
  </si>
  <si>
    <t>05/22/2019</t>
  </si>
  <si>
    <t>07/18/2018</t>
  </si>
  <si>
    <t>09/04/2018</t>
  </si>
  <si>
    <t>09/18/2018</t>
  </si>
  <si>
    <t>10/10/2018</t>
  </si>
  <si>
    <t>11/09/2018</t>
  </si>
  <si>
    <t>03/29/2019</t>
  </si>
  <si>
    <t>09/20/2018</t>
  </si>
  <si>
    <t>10/02/2018</t>
  </si>
  <si>
    <t>12/11/2018</t>
  </si>
  <si>
    <t>02/14/2019</t>
  </si>
  <si>
    <t>03/27/2019</t>
  </si>
  <si>
    <t>08/29/2018</t>
  </si>
  <si>
    <t>05/07/2019</t>
  </si>
  <si>
    <t>09/19/2018</t>
  </si>
  <si>
    <t>10/17/2018</t>
  </si>
  <si>
    <t>04/30/2019</t>
  </si>
  <si>
    <t>10/30/2018</t>
  </si>
  <si>
    <t>01/28/2019</t>
  </si>
  <si>
    <t>05/23/2019</t>
  </si>
  <si>
    <t>01/29/2019</t>
  </si>
  <si>
    <t>08/14/2018</t>
  </si>
  <si>
    <t>04/23/2019</t>
  </si>
  <si>
    <t>04/02/2019</t>
  </si>
  <si>
    <t>05/16/2019</t>
  </si>
  <si>
    <t>12/13/2018</t>
  </si>
  <si>
    <t>01/08/2019</t>
  </si>
  <si>
    <t>04/16/2019</t>
  </si>
  <si>
    <t>12/06/2018</t>
  </si>
  <si>
    <t>04/04/2019</t>
  </si>
  <si>
    <t>10/09/2018</t>
  </si>
  <si>
    <t>01/04/2019</t>
  </si>
  <si>
    <t>09/10/2018</t>
  </si>
  <si>
    <t>08/13/2018</t>
  </si>
  <si>
    <t>03/14/2019</t>
  </si>
  <si>
    <t>05/06/2019</t>
  </si>
  <si>
    <t>03/04/2019</t>
  </si>
  <si>
    <t>02/21/2019</t>
  </si>
  <si>
    <t>04/17/2019</t>
  </si>
  <si>
    <t>04/19/2019</t>
  </si>
  <si>
    <t>08/23/2018</t>
  </si>
  <si>
    <t>09/26/2018</t>
  </si>
  <si>
    <t>11/07/2018</t>
  </si>
  <si>
    <t>01/23/2019</t>
  </si>
  <si>
    <t>01/31/2019</t>
  </si>
  <si>
    <t>02/04/2019</t>
  </si>
  <si>
    <t>02/20/2019</t>
  </si>
  <si>
    <t>06/08/2018</t>
  </si>
  <si>
    <t>07/23/2018</t>
  </si>
  <si>
    <t>09/06/2018</t>
  </si>
  <si>
    <t>09/14/2018</t>
  </si>
  <si>
    <t>01/17/2019</t>
  </si>
  <si>
    <t>03/08/2019</t>
  </si>
  <si>
    <t>05/03/2019</t>
  </si>
  <si>
    <t>09/03/2018</t>
  </si>
  <si>
    <t>11/08/2018</t>
  </si>
  <si>
    <t>11/29/2018</t>
  </si>
  <si>
    <t>10/26/2018</t>
  </si>
  <si>
    <t>09/25/2018</t>
  </si>
  <si>
    <t>12/26/2018</t>
  </si>
  <si>
    <t>08/24/2018</t>
  </si>
  <si>
    <t>04/09/2019</t>
  </si>
  <si>
    <t>06/26/2018</t>
  </si>
  <si>
    <t>07/12/2018</t>
  </si>
  <si>
    <t>11/26/2018</t>
  </si>
  <si>
    <t>01/18/2019</t>
  </si>
  <si>
    <t>10/15/2018</t>
  </si>
  <si>
    <t>04/03/2018</t>
  </si>
  <si>
    <t>05/02/2019</t>
  </si>
  <si>
    <t>01/11/2019</t>
  </si>
  <si>
    <t>06/18/2018</t>
  </si>
  <si>
    <t>08/27/2018</t>
  </si>
  <si>
    <t>03/11/2019</t>
  </si>
  <si>
    <t>04/08/2019</t>
  </si>
  <si>
    <t>04/03/2019</t>
  </si>
  <si>
    <t>05/14/2019</t>
  </si>
  <si>
    <t>05/15/2019</t>
  </si>
  <si>
    <t>02/25/2019</t>
  </si>
  <si>
    <t>07/20/2018</t>
  </si>
  <si>
    <t>11/19/2018</t>
  </si>
  <si>
    <t>06/25/2018</t>
  </si>
  <si>
    <t>03/28/2019</t>
  </si>
  <si>
    <t>12/15/2018</t>
  </si>
  <si>
    <t>05/30/2019</t>
  </si>
  <si>
    <t>10/05/2018</t>
  </si>
  <si>
    <t>12/19/2018</t>
  </si>
  <si>
    <t>05/09/2018</t>
  </si>
  <si>
    <t>06/27/2018</t>
  </si>
  <si>
    <t>02/26/2019</t>
  </si>
  <si>
    <t>02/08/2019</t>
  </si>
  <si>
    <t>11/14/2018</t>
  </si>
  <si>
    <t>03/07/2019</t>
  </si>
  <si>
    <t>10/18/2018</t>
  </si>
  <si>
    <t>03/19/2019</t>
  </si>
  <si>
    <t>03/15/2019</t>
  </si>
  <si>
    <t>08/30/2018</t>
  </si>
  <si>
    <t>03/01/2019</t>
  </si>
  <si>
    <t>03/21/2019</t>
  </si>
  <si>
    <t>01/22/2019</t>
  </si>
  <si>
    <t>01/09/2019</t>
  </si>
  <si>
    <t>12/10/2018</t>
  </si>
  <si>
    <t>07/02/2018</t>
  </si>
  <si>
    <t>04/29/2019</t>
  </si>
  <si>
    <t>12/14/2018</t>
  </si>
  <si>
    <t>11/30/2018</t>
  </si>
  <si>
    <t>12/27/2018</t>
  </si>
  <si>
    <t>04/18/2019</t>
  </si>
  <si>
    <t>01/06/2017</t>
  </si>
  <si>
    <t>03/28/2018</t>
  </si>
  <si>
    <t>10/31/2018</t>
  </si>
  <si>
    <t>02/05/2019</t>
  </si>
  <si>
    <t>05/30/2018</t>
  </si>
  <si>
    <t>08/22/2018</t>
  </si>
  <si>
    <t>10/12/2018</t>
  </si>
  <si>
    <t>10/01/2018</t>
  </si>
  <si>
    <t>03/06/2019</t>
  </si>
  <si>
    <t>10/19/2018</t>
  </si>
  <si>
    <t>02/07/2019</t>
  </si>
  <si>
    <t>02/28/2019</t>
  </si>
  <si>
    <t>10/16/2018</t>
  </si>
  <si>
    <t>03/26/2019</t>
  </si>
  <si>
    <t>04/26/2019</t>
  </si>
  <si>
    <t>05/08/2019</t>
  </si>
  <si>
    <t>02/22/2019</t>
  </si>
  <si>
    <t>02/01/2019</t>
  </si>
  <si>
    <t>01/30/2019</t>
  </si>
  <si>
    <t>03/12/2019</t>
  </si>
  <si>
    <t>07/19/2018</t>
  </si>
  <si>
    <t>10/25/2018</t>
  </si>
  <si>
    <t>01/16/2019</t>
  </si>
  <si>
    <t>02/19/2019</t>
  </si>
  <si>
    <t>09/12/2018</t>
  </si>
  <si>
    <t>09/21/2018</t>
  </si>
  <si>
    <t>07/03/2018</t>
  </si>
  <si>
    <t>04/24/2019</t>
  </si>
  <si>
    <t>07/17/2018</t>
  </si>
  <si>
    <t>08/28/2018</t>
  </si>
  <si>
    <t>08/09/2018</t>
  </si>
  <si>
    <t>01/25/2019</t>
  </si>
  <si>
    <t>11/20/2018</t>
  </si>
  <si>
    <t>05/24/2019</t>
  </si>
  <si>
    <t>05/29/2019</t>
  </si>
  <si>
    <t>09/13/2018</t>
  </si>
  <si>
    <t>08/03/2018</t>
  </si>
  <si>
    <t>12/24/2018</t>
  </si>
  <si>
    <t>03/25/2019</t>
  </si>
  <si>
    <t>04/11/2019</t>
  </si>
  <si>
    <t>07/10/2018</t>
  </si>
  <si>
    <t>12/20/2018</t>
  </si>
  <si>
    <t>01/14/2019</t>
  </si>
  <si>
    <t>10/11/2018</t>
  </si>
  <si>
    <t>03/20/2019</t>
  </si>
  <si>
    <t>02/15/2019</t>
  </si>
  <si>
    <t>07/16/2018</t>
  </si>
  <si>
    <t>03/05/2019</t>
  </si>
  <si>
    <t>01/01/2019</t>
  </si>
  <si>
    <t>04/15/2019</t>
  </si>
  <si>
    <t>06/06/2018</t>
  </si>
  <si>
    <t>08/16/2018</t>
  </si>
  <si>
    <t>04/12/2018</t>
  </si>
  <si>
    <t>08/31/2018</t>
  </si>
  <si>
    <t>07/31/2018</t>
  </si>
  <si>
    <t>11/15/2018</t>
  </si>
  <si>
    <t>09/07/2018</t>
  </si>
  <si>
    <t>02/27/2019</t>
  </si>
  <si>
    <t>08/17/2018</t>
  </si>
  <si>
    <t>09/28/2018</t>
  </si>
  <si>
    <t>11/21/2018</t>
  </si>
  <si>
    <t>09/11/2018</t>
  </si>
  <si>
    <t>01/03/2019</t>
  </si>
  <si>
    <t>11/16/2018</t>
  </si>
  <si>
    <t>11/27/2018</t>
  </si>
  <si>
    <t>12/04/2018</t>
  </si>
  <si>
    <t>10/24/2018</t>
  </si>
  <si>
    <t>06/14/2018</t>
  </si>
  <si>
    <t>11/13/2018</t>
  </si>
  <si>
    <t>04/10/2019</t>
  </si>
  <si>
    <t>04/25/2019</t>
  </si>
  <si>
    <t>07/24/2018</t>
  </si>
  <si>
    <t>02/13/2019</t>
  </si>
  <si>
    <t>05/09/2019</t>
  </si>
  <si>
    <t>01/02/2019</t>
  </si>
  <si>
    <t>05/28/2019</t>
  </si>
  <si>
    <t>04/22/2019</t>
  </si>
  <si>
    <t>09/24/2018</t>
  </si>
  <si>
    <t>11/28/2018</t>
  </si>
  <si>
    <t>08/15/2018</t>
  </si>
  <si>
    <t>12/17/2018</t>
  </si>
  <si>
    <t>12/12/2018</t>
  </si>
  <si>
    <t>06/19/2018</t>
  </si>
  <si>
    <t>11/02/2018</t>
  </si>
  <si>
    <t>09/17/2018</t>
  </si>
  <si>
    <t>09/29/2018</t>
  </si>
  <si>
    <t>12/05/2018</t>
  </si>
  <si>
    <t>12/07/2018</t>
  </si>
  <si>
    <t>03/13/2019</t>
  </si>
  <si>
    <t>08/02/2018</t>
  </si>
  <si>
    <t>09/27/2018</t>
  </si>
  <si>
    <t>01/27/2019</t>
  </si>
  <si>
    <t>07/06/2018</t>
  </si>
  <si>
    <t>03/31/2016</t>
  </si>
  <si>
    <t>11/01/2018</t>
  </si>
  <si>
    <t>12/21/2018</t>
  </si>
  <si>
    <t>04/02/2018</t>
  </si>
  <si>
    <t>05/20/2019</t>
  </si>
  <si>
    <t>05/13/2019</t>
  </si>
  <si>
    <t>07/27/2018</t>
  </si>
  <si>
    <t>02/11/2019</t>
  </si>
  <si>
    <t>05/02/2018</t>
  </si>
  <si>
    <t>06/15/2018</t>
  </si>
  <si>
    <t>10/29/2018</t>
  </si>
  <si>
    <t>01/07/2019</t>
  </si>
  <si>
    <t>07/05/2018</t>
  </si>
  <si>
    <t>06/20/2017</t>
  </si>
  <si>
    <t>06/26/2017</t>
  </si>
  <si>
    <t>01/24/2019</t>
  </si>
  <si>
    <t>04/01/2019</t>
  </si>
  <si>
    <t>06/13/2018</t>
  </si>
  <si>
    <t>04/12/2019</t>
  </si>
  <si>
    <t>06/03/2019</t>
  </si>
  <si>
    <t>05/08/2018</t>
  </si>
  <si>
    <t>12/18/2018</t>
  </si>
  <si>
    <t>01/23/2018</t>
  </si>
  <si>
    <t>10/22/2018</t>
  </si>
  <si>
    <t>12/28/2018</t>
  </si>
  <si>
    <t>01/15/2019</t>
  </si>
  <si>
    <t>07/30/2018</t>
  </si>
  <si>
    <t>11/05/2018</t>
  </si>
  <si>
    <t>03/18/2019</t>
  </si>
  <si>
    <t>05/27/2019</t>
  </si>
  <si>
    <t>08/06/2018</t>
  </si>
  <si>
    <t>12/31/2018</t>
  </si>
  <si>
    <t>04/16/2018</t>
  </si>
  <si>
    <t>05/01/2018</t>
  </si>
  <si>
    <t>07/09/2018</t>
  </si>
  <si>
    <t>01/29/2018</t>
  </si>
  <si>
    <t>02/06/2019</t>
  </si>
  <si>
    <t>03/12/2018</t>
  </si>
  <si>
    <t>11/17/2018</t>
  </si>
  <si>
    <t>08/20/2018</t>
  </si>
  <si>
    <t>02/20/2018</t>
  </si>
  <si>
    <t>12/15/2017</t>
  </si>
  <si>
    <t>10/04/2018</t>
  </si>
  <si>
    <t>06/07/2018</t>
  </si>
  <si>
    <t>04/10/2018</t>
  </si>
  <si>
    <t>04/18/2018</t>
  </si>
  <si>
    <t>07/11/2017</t>
  </si>
  <si>
    <t>06/20/2018</t>
  </si>
  <si>
    <t>05/21/2018</t>
  </si>
  <si>
    <t>05/15/2018</t>
  </si>
  <si>
    <t>02/16/2019</t>
  </si>
  <si>
    <t>01/10/2019</t>
  </si>
  <si>
    <t>01/09/2018</t>
  </si>
  <si>
    <t>12/21/2017</t>
  </si>
  <si>
    <t>07/26/2018</t>
  </si>
  <si>
    <t>05/31/2019</t>
  </si>
  <si>
    <t>07/13/2018</t>
  </si>
  <si>
    <t>04/30/2018</t>
  </si>
  <si>
    <t>05/18/2018</t>
  </si>
  <si>
    <t>04/07/2017</t>
  </si>
  <si>
    <t>05/21/2019</t>
  </si>
  <si>
    <t>09/01/2018</t>
  </si>
  <si>
    <t>06/05/2018</t>
  </si>
  <si>
    <t>12/03/2018</t>
  </si>
  <si>
    <t>05/01/2019</t>
  </si>
  <si>
    <t>11/17/2016</t>
  </si>
  <si>
    <t>01/24/2018</t>
  </si>
  <si>
    <t>05/04/2018</t>
  </si>
  <si>
    <t>11/17/2017</t>
  </si>
  <si>
    <t>04/17/2018</t>
  </si>
  <si>
    <t>04/11/2018</t>
  </si>
  <si>
    <t>09/21/2017</t>
  </si>
  <si>
    <t>02/27/2018</t>
  </si>
  <si>
    <t>03/01/2018</t>
  </si>
  <si>
    <t>05/03/2018</t>
  </si>
  <si>
    <t>02/12/2019</t>
  </si>
  <si>
    <t>03/05/2018</t>
  </si>
  <si>
    <t>04/05/2018</t>
  </si>
  <si>
    <t>04/24/2018</t>
  </si>
  <si>
    <t>05/29/2018</t>
  </si>
  <si>
    <t>08/19/2018</t>
  </si>
  <si>
    <t>11/04/2018</t>
  </si>
  <si>
    <t>06/12/2018</t>
  </si>
  <si>
    <t>11/12/2018</t>
  </si>
  <si>
    <t>04/06/2018</t>
  </si>
  <si>
    <t>05/17/2019</t>
  </si>
  <si>
    <t>03/19/2018</t>
  </si>
  <si>
    <t>05/16/2018</t>
  </si>
  <si>
    <t>10/26/2017</t>
  </si>
  <si>
    <t>06/28/2018</t>
  </si>
  <si>
    <t>03/06/2018</t>
  </si>
  <si>
    <t>05/22/2018</t>
  </si>
  <si>
    <t>09/26/2016</t>
  </si>
  <si>
    <t>05/24/2018</t>
  </si>
  <si>
    <t>11/21/2017</t>
  </si>
  <si>
    <t>04/09/2018</t>
  </si>
  <si>
    <t>02/17/2019</t>
  </si>
  <si>
    <t>06/21/2018</t>
  </si>
  <si>
    <t>05/02/2017</t>
  </si>
  <si>
    <t>07/03/2017</t>
  </si>
  <si>
    <t>04/27/2018</t>
  </si>
  <si>
    <t>04/26/2018</t>
  </si>
  <si>
    <t>07/06/2017</t>
  </si>
  <si>
    <t>04/18/2017</t>
  </si>
  <si>
    <t>10/03/2017</t>
  </si>
  <si>
    <t>01/05/2019</t>
  </si>
  <si>
    <t>05/31/2018</t>
  </si>
  <si>
    <t>06/29/2018</t>
  </si>
  <si>
    <t>06/01/2018</t>
  </si>
  <si>
    <t>08/10/2018</t>
  </si>
  <si>
    <t>01/19/2018</t>
  </si>
  <si>
    <t>09/11/2017</t>
  </si>
  <si>
    <t>03/29/2018</t>
  </si>
  <si>
    <t>05/10/2019</t>
  </si>
  <si>
    <t>12/29/2018</t>
  </si>
  <si>
    <t>12/16/2018</t>
  </si>
  <si>
    <t>04/13/2019</t>
  </si>
  <si>
    <t>10/20/2018</t>
  </si>
  <si>
    <t>02/09/2019</t>
  </si>
  <si>
    <t>09/09/2018</t>
  </si>
  <si>
    <t>12/09/2018</t>
  </si>
  <si>
    <t>12/22/2018</t>
  </si>
  <si>
    <t>12/08/2018</t>
  </si>
  <si>
    <t>06/04/2019</t>
  </si>
  <si>
    <t>02/10/2019</t>
  </si>
  <si>
    <t>Shantelle</t>
  </si>
  <si>
    <t>Christine</t>
  </si>
  <si>
    <t>Andrew</t>
  </si>
  <si>
    <t>Edward</t>
  </si>
  <si>
    <t>Gary</t>
  </si>
  <si>
    <t>Angelica</t>
  </si>
  <si>
    <t>Emily</t>
  </si>
  <si>
    <t>Aziza</t>
  </si>
  <si>
    <t>Diamond</t>
  </si>
  <si>
    <t>Lorna</t>
  </si>
  <si>
    <t>Tina</t>
  </si>
  <si>
    <t>Jason</t>
  </si>
  <si>
    <t>Nathaniel</t>
  </si>
  <si>
    <t>Annabel</t>
  </si>
  <si>
    <t>Charisma</t>
  </si>
  <si>
    <t>Michael</t>
  </si>
  <si>
    <t>Stephanie</t>
  </si>
  <si>
    <t>Priscilla</t>
  </si>
  <si>
    <t>Pretty</t>
  </si>
  <si>
    <t>Tiffany</t>
  </si>
  <si>
    <t>Maria</t>
  </si>
  <si>
    <t>Lorie</t>
  </si>
  <si>
    <t>Meite</t>
  </si>
  <si>
    <t>Evette</t>
  </si>
  <si>
    <t>Davonae</t>
  </si>
  <si>
    <t>Carlene Caretta</t>
  </si>
  <si>
    <t>Hosnahara</t>
  </si>
  <si>
    <t>Victoria</t>
  </si>
  <si>
    <t>Hemwattee</t>
  </si>
  <si>
    <t>Ameer</t>
  </si>
  <si>
    <t>Sasha</t>
  </si>
  <si>
    <t>Estela</t>
  </si>
  <si>
    <t>Jacqueline</t>
  </si>
  <si>
    <t>Mayra</t>
  </si>
  <si>
    <t>Felipa</t>
  </si>
  <si>
    <t>Arbia</t>
  </si>
  <si>
    <t>Emilia</t>
  </si>
  <si>
    <t>Frank</t>
  </si>
  <si>
    <t>Georgina</t>
  </si>
  <si>
    <t>Santa</t>
  </si>
  <si>
    <t>Eliana</t>
  </si>
  <si>
    <t>Lakisha</t>
  </si>
  <si>
    <t>Mariela</t>
  </si>
  <si>
    <t>Eduardo</t>
  </si>
  <si>
    <t>Rebecca</t>
  </si>
  <si>
    <t>Soon Ja</t>
  </si>
  <si>
    <t>Nagina</t>
  </si>
  <si>
    <t>Noah</t>
  </si>
  <si>
    <t>Shu</t>
  </si>
  <si>
    <t>Jeanne</t>
  </si>
  <si>
    <t>Paul</t>
  </si>
  <si>
    <t>Suzanne</t>
  </si>
  <si>
    <t>Teresa</t>
  </si>
  <si>
    <t>Gregory</t>
  </si>
  <si>
    <t>Pamela</t>
  </si>
  <si>
    <t>Thashana</t>
  </si>
  <si>
    <t>Darren</t>
  </si>
  <si>
    <t>Katie</t>
  </si>
  <si>
    <t>Margo</t>
  </si>
  <si>
    <t>Trudy</t>
  </si>
  <si>
    <t>Phyllis</t>
  </si>
  <si>
    <t>Abibatu</t>
  </si>
  <si>
    <t>Robert</t>
  </si>
  <si>
    <t>Kearra</t>
  </si>
  <si>
    <t>Dorothy</t>
  </si>
  <si>
    <t>Donyele</t>
  </si>
  <si>
    <t>Bertin</t>
  </si>
  <si>
    <t>James</t>
  </si>
  <si>
    <t>Shavien</t>
  </si>
  <si>
    <t>Abelardo</t>
  </si>
  <si>
    <t>John</t>
  </si>
  <si>
    <t>Jose</t>
  </si>
  <si>
    <t>Keith</t>
  </si>
  <si>
    <t>Kenneth</t>
  </si>
  <si>
    <t>Shanequa</t>
  </si>
  <si>
    <t>Takisha</t>
  </si>
  <si>
    <t>Judith</t>
  </si>
  <si>
    <t>Monique</t>
  </si>
  <si>
    <t>Georgette</t>
  </si>
  <si>
    <t>Oscar</t>
  </si>
  <si>
    <t>Thomas</t>
  </si>
  <si>
    <t>Lopsang</t>
  </si>
  <si>
    <t>Lobsang</t>
  </si>
  <si>
    <t>Ruth</t>
  </si>
  <si>
    <t>Darlyne</t>
  </si>
  <si>
    <t>Sonia</t>
  </si>
  <si>
    <t>Celestine</t>
  </si>
  <si>
    <t>Jocelyne</t>
  </si>
  <si>
    <t>Sherley</t>
  </si>
  <si>
    <t>Yvonne</t>
  </si>
  <si>
    <t>Deborah</t>
  </si>
  <si>
    <t>Marie</t>
  </si>
  <si>
    <t>Janea</t>
  </si>
  <si>
    <t>Judy</t>
  </si>
  <si>
    <t>Fredrena</t>
  </si>
  <si>
    <t>Marjorie</t>
  </si>
  <si>
    <t>Mustafa</t>
  </si>
  <si>
    <t>Samuel</t>
  </si>
  <si>
    <t>Yadira</t>
  </si>
  <si>
    <t>Rafael</t>
  </si>
  <si>
    <t>Nilsa</t>
  </si>
  <si>
    <t>George</t>
  </si>
  <si>
    <t>Elisa</t>
  </si>
  <si>
    <t>Lozada</t>
  </si>
  <si>
    <t>Pearlina</t>
  </si>
  <si>
    <t>Sadatu</t>
  </si>
  <si>
    <t>Franklin</t>
  </si>
  <si>
    <t>Mosiah</t>
  </si>
  <si>
    <t>Felicia</t>
  </si>
  <si>
    <t>Dilenia</t>
  </si>
  <si>
    <t>Michelle</t>
  </si>
  <si>
    <t>Viola</t>
  </si>
  <si>
    <t>Odessa</t>
  </si>
  <si>
    <t>Anita</t>
  </si>
  <si>
    <t>Da White</t>
  </si>
  <si>
    <t>Saintiane</t>
  </si>
  <si>
    <t>Antron</t>
  </si>
  <si>
    <t>Zelda</t>
  </si>
  <si>
    <t>Anthony</t>
  </si>
  <si>
    <t>Osifo</t>
  </si>
  <si>
    <t>Karen</t>
  </si>
  <si>
    <t>Sarah</t>
  </si>
  <si>
    <t>Adrienne</t>
  </si>
  <si>
    <t>Juan</t>
  </si>
  <si>
    <t>Kevin</t>
  </si>
  <si>
    <t>Lilith</t>
  </si>
  <si>
    <t>Jillian</t>
  </si>
  <si>
    <t>Laura</t>
  </si>
  <si>
    <t>Emmanuel</t>
  </si>
  <si>
    <t>Lisa</t>
  </si>
  <si>
    <t>Alasia</t>
  </si>
  <si>
    <t>Bouchra</t>
  </si>
  <si>
    <t>Cynthia</t>
  </si>
  <si>
    <t>Rosa</t>
  </si>
  <si>
    <t>Hannan</t>
  </si>
  <si>
    <t>Edwin</t>
  </si>
  <si>
    <t>Tahir</t>
  </si>
  <si>
    <t>Shamika</t>
  </si>
  <si>
    <t>Angie</t>
  </si>
  <si>
    <t>Sharon</t>
  </si>
  <si>
    <t>Rachel</t>
  </si>
  <si>
    <t>Ramon</t>
  </si>
  <si>
    <t>Honori</t>
  </si>
  <si>
    <t>Shelia</t>
  </si>
  <si>
    <t>Raul</t>
  </si>
  <si>
    <t>Courtney</t>
  </si>
  <si>
    <t>Mariel</t>
  </si>
  <si>
    <t>Johanna</t>
  </si>
  <si>
    <t>Earline</t>
  </si>
  <si>
    <t>Kim</t>
  </si>
  <si>
    <t>David</t>
  </si>
  <si>
    <t>Denice</t>
  </si>
  <si>
    <t>Rigoberto</t>
  </si>
  <si>
    <t>Efren</t>
  </si>
  <si>
    <t>Daniel</t>
  </si>
  <si>
    <t>Benecia</t>
  </si>
  <si>
    <t>Starquaisa</t>
  </si>
  <si>
    <t>Cesar</t>
  </si>
  <si>
    <t>Nathalia</t>
  </si>
  <si>
    <t>Mary</t>
  </si>
  <si>
    <t>Kenya</t>
  </si>
  <si>
    <t>Genevieve</t>
  </si>
  <si>
    <t>Natalya</t>
  </si>
  <si>
    <t>Mars</t>
  </si>
  <si>
    <t>Yesenia</t>
  </si>
  <si>
    <t>Moussa</t>
  </si>
  <si>
    <t>Hector</t>
  </si>
  <si>
    <t>Thiara</t>
  </si>
  <si>
    <t>Eleno</t>
  </si>
  <si>
    <t>Gabby</t>
  </si>
  <si>
    <t>Edgardo</t>
  </si>
  <si>
    <t>Ana</t>
  </si>
  <si>
    <t>Shonniece</t>
  </si>
  <si>
    <t>Amanda</t>
  </si>
  <si>
    <t>Jerome</t>
  </si>
  <si>
    <t>Victor</t>
  </si>
  <si>
    <t>Jimmy</t>
  </si>
  <si>
    <t>Linda</t>
  </si>
  <si>
    <t>Abbey</t>
  </si>
  <si>
    <t>Annmarie</t>
  </si>
  <si>
    <t>Lorraine</t>
  </si>
  <si>
    <t>Jefferson</t>
  </si>
  <si>
    <t>Jamia</t>
  </si>
  <si>
    <t>Dasean</t>
  </si>
  <si>
    <t>Shakena</t>
  </si>
  <si>
    <t>Cheryl</t>
  </si>
  <si>
    <t>Jacqalin</t>
  </si>
  <si>
    <t>Lourdes</t>
  </si>
  <si>
    <t>Walesca</t>
  </si>
  <si>
    <t>Tanisha</t>
  </si>
  <si>
    <t>Myron</t>
  </si>
  <si>
    <t>Letisha</t>
  </si>
  <si>
    <t>Ernie</t>
  </si>
  <si>
    <t>Ekaterina</t>
  </si>
  <si>
    <t>Jenny</t>
  </si>
  <si>
    <t>Troy</t>
  </si>
  <si>
    <t>Miguel</t>
  </si>
  <si>
    <t>Amarilis</t>
  </si>
  <si>
    <t>Raquel</t>
  </si>
  <si>
    <t>Ramona</t>
  </si>
  <si>
    <t>Gabriela</t>
  </si>
  <si>
    <t>Carmen</t>
  </si>
  <si>
    <t>Modesto</t>
  </si>
  <si>
    <t>Angelina</t>
  </si>
  <si>
    <t>Claudina</t>
  </si>
  <si>
    <t>Amjad</t>
  </si>
  <si>
    <t>Cristina</t>
  </si>
  <si>
    <t>Patrice</t>
  </si>
  <si>
    <t>Carl</t>
  </si>
  <si>
    <t>Nadia</t>
  </si>
  <si>
    <t>Bonnie</t>
  </si>
  <si>
    <t>Steven</t>
  </si>
  <si>
    <t>Catalano</t>
  </si>
  <si>
    <t>Jon</t>
  </si>
  <si>
    <t>Gerad</t>
  </si>
  <si>
    <t>Carolyn</t>
  </si>
  <si>
    <t>Erika</t>
  </si>
  <si>
    <t>India</t>
  </si>
  <si>
    <t>Hendrick</t>
  </si>
  <si>
    <t>Stacey</t>
  </si>
  <si>
    <t>Gerald</t>
  </si>
  <si>
    <t>Justin</t>
  </si>
  <si>
    <t>Glenda</t>
  </si>
  <si>
    <t>Wakina</t>
  </si>
  <si>
    <t>Sylvia</t>
  </si>
  <si>
    <t>Julia</t>
  </si>
  <si>
    <t>Leesa</t>
  </si>
  <si>
    <t>Esther</t>
  </si>
  <si>
    <t>Mi Ran</t>
  </si>
  <si>
    <t>Jennifer</t>
  </si>
  <si>
    <t>Angel</t>
  </si>
  <si>
    <t>Athena</t>
  </si>
  <si>
    <t>Catalina</t>
  </si>
  <si>
    <t>Felesha</t>
  </si>
  <si>
    <t>Annette</t>
  </si>
  <si>
    <t>Omari</t>
  </si>
  <si>
    <t>Francia</t>
  </si>
  <si>
    <t>Latoya</t>
  </si>
  <si>
    <t>Ricarda</t>
  </si>
  <si>
    <t>Inocencia</t>
  </si>
  <si>
    <t>Delsy</t>
  </si>
  <si>
    <t>Kinny</t>
  </si>
  <si>
    <t>Marina</t>
  </si>
  <si>
    <t>Hernan</t>
  </si>
  <si>
    <t>Dean</t>
  </si>
  <si>
    <t>Shakal</t>
  </si>
  <si>
    <t>Olga</t>
  </si>
  <si>
    <t>Rodney</t>
  </si>
  <si>
    <t>Chiquana</t>
  </si>
  <si>
    <t>Lynn Marie</t>
  </si>
  <si>
    <t>Doretha</t>
  </si>
  <si>
    <t>Basilio</t>
  </si>
  <si>
    <t>Ross</t>
  </si>
  <si>
    <t>Charen</t>
  </si>
  <si>
    <t>Delfina</t>
  </si>
  <si>
    <t>Ian</t>
  </si>
  <si>
    <t>Bienvenida</t>
  </si>
  <si>
    <t>Verine</t>
  </si>
  <si>
    <t>Leanna</t>
  </si>
  <si>
    <t>Alexis</t>
  </si>
  <si>
    <t>Xiomara</t>
  </si>
  <si>
    <t>Nicole</t>
  </si>
  <si>
    <t>Patricia</t>
  </si>
  <si>
    <t>Cardel</t>
  </si>
  <si>
    <t>Valesia</t>
  </si>
  <si>
    <t>Samantha</t>
  </si>
  <si>
    <t>Matilde</t>
  </si>
  <si>
    <t>Shaka</t>
  </si>
  <si>
    <t>Katheleen</t>
  </si>
  <si>
    <t>Maha</t>
  </si>
  <si>
    <t>Afia</t>
  </si>
  <si>
    <t>Naida</t>
  </si>
  <si>
    <t>Armando</t>
  </si>
  <si>
    <t>Kayaswonna</t>
  </si>
  <si>
    <t>Solange</t>
  </si>
  <si>
    <t>Sharmila</t>
  </si>
  <si>
    <t>Karyn</t>
  </si>
  <si>
    <t>Llyaseni</t>
  </si>
  <si>
    <t>Westly</t>
  </si>
  <si>
    <t>Fabiana</t>
  </si>
  <si>
    <t>Roman</t>
  </si>
  <si>
    <t>Adrianne</t>
  </si>
  <si>
    <t>Eli</t>
  </si>
  <si>
    <t>Miriam</t>
  </si>
  <si>
    <t>Davon</t>
  </si>
  <si>
    <t>Shekara</t>
  </si>
  <si>
    <t>Kerry</t>
  </si>
  <si>
    <t>Yesynia</t>
  </si>
  <si>
    <t>Ann</t>
  </si>
  <si>
    <t>Wendy</t>
  </si>
  <si>
    <t>Janiene</t>
  </si>
  <si>
    <t>Queyen</t>
  </si>
  <si>
    <t>Un Chu</t>
  </si>
  <si>
    <t>Cleophuss</t>
  </si>
  <si>
    <t>Iris</t>
  </si>
  <si>
    <t>Mohammed</t>
  </si>
  <si>
    <t>Jacquelin</t>
  </si>
  <si>
    <t>Teshawna</t>
  </si>
  <si>
    <t>Julian</t>
  </si>
  <si>
    <t>Kai Ming</t>
  </si>
  <si>
    <t>Melissa</t>
  </si>
  <si>
    <t>Jeanette</t>
  </si>
  <si>
    <t>Kathy</t>
  </si>
  <si>
    <t>Nii</t>
  </si>
  <si>
    <t>Darlene</t>
  </si>
  <si>
    <t>Norma</t>
  </si>
  <si>
    <t>Joy</t>
  </si>
  <si>
    <t>Tanya</t>
  </si>
  <si>
    <t>Lenise</t>
  </si>
  <si>
    <t>Allysa</t>
  </si>
  <si>
    <t>Maxine</t>
  </si>
  <si>
    <t>Leslie</t>
  </si>
  <si>
    <t>Denise</t>
  </si>
  <si>
    <t>Tieara</t>
  </si>
  <si>
    <t>Alicia</t>
  </si>
  <si>
    <t>Jean</t>
  </si>
  <si>
    <t>Chaka</t>
  </si>
  <si>
    <t>Madeline</t>
  </si>
  <si>
    <t>XueYun</t>
  </si>
  <si>
    <t>Marlene</t>
  </si>
  <si>
    <t>Jennette</t>
  </si>
  <si>
    <t>Dina</t>
  </si>
  <si>
    <t>Stephany</t>
  </si>
  <si>
    <t>Nikeya</t>
  </si>
  <si>
    <t>Dominique</t>
  </si>
  <si>
    <t>Barbara</t>
  </si>
  <si>
    <t>Susanne</t>
  </si>
  <si>
    <t>Maribel</t>
  </si>
  <si>
    <t>Jalisa</t>
  </si>
  <si>
    <t>Paris</t>
  </si>
  <si>
    <t>Gloria</t>
  </si>
  <si>
    <t>Tasheena</t>
  </si>
  <si>
    <t>Crystal</t>
  </si>
  <si>
    <t>Genesis</t>
  </si>
  <si>
    <t>Francy</t>
  </si>
  <si>
    <t>Carlos</t>
  </si>
  <si>
    <t>Izaida</t>
  </si>
  <si>
    <t>Suehaydee</t>
  </si>
  <si>
    <t>Zunilda</t>
  </si>
  <si>
    <t>Ida</t>
  </si>
  <si>
    <t>Sabrina</t>
  </si>
  <si>
    <t>Tawana</t>
  </si>
  <si>
    <t>Elsy</t>
  </si>
  <si>
    <t>Tavika</t>
  </si>
  <si>
    <t>Shavonia</t>
  </si>
  <si>
    <t>Alison</t>
  </si>
  <si>
    <t>Rastko</t>
  </si>
  <si>
    <t>Anna</t>
  </si>
  <si>
    <t>Katuhra</t>
  </si>
  <si>
    <t>Norman</t>
  </si>
  <si>
    <t>Veronica</t>
  </si>
  <si>
    <t>Ivelisse</t>
  </si>
  <si>
    <t>Nkrumah</t>
  </si>
  <si>
    <t>Antonio</t>
  </si>
  <si>
    <t>Kostas</t>
  </si>
  <si>
    <t>Natena</t>
  </si>
  <si>
    <t>Asia</t>
  </si>
  <si>
    <t>Ayeisha</t>
  </si>
  <si>
    <t>Nattalie</t>
  </si>
  <si>
    <t>Mayerlin</t>
  </si>
  <si>
    <t>Holly</t>
  </si>
  <si>
    <t>Nakia</t>
  </si>
  <si>
    <t>Hilda</t>
  </si>
  <si>
    <t>Rafaelina</t>
  </si>
  <si>
    <t>Nikita</t>
  </si>
  <si>
    <t>Dilcia</t>
  </si>
  <si>
    <t>Clifford</t>
  </si>
  <si>
    <t>Luis</t>
  </si>
  <si>
    <t>Maisie</t>
  </si>
  <si>
    <t>Pedro</t>
  </si>
  <si>
    <t>Tashae</t>
  </si>
  <si>
    <t>Evelyn</t>
  </si>
  <si>
    <t>Devin</t>
  </si>
  <si>
    <t>Sophia</t>
  </si>
  <si>
    <t>Regina</t>
  </si>
  <si>
    <t>Ayanna</t>
  </si>
  <si>
    <t>Althea</t>
  </si>
  <si>
    <t>Yulenny</t>
  </si>
  <si>
    <t>April</t>
  </si>
  <si>
    <t>Eva</t>
  </si>
  <si>
    <t>Erica</t>
  </si>
  <si>
    <t>Makia</t>
  </si>
  <si>
    <t>Sherry</t>
  </si>
  <si>
    <t>Beverly</t>
  </si>
  <si>
    <t>Riolesty</t>
  </si>
  <si>
    <t>Flor</t>
  </si>
  <si>
    <t>Sally</t>
  </si>
  <si>
    <t>Valencia</t>
  </si>
  <si>
    <t>Liza</t>
  </si>
  <si>
    <t>Candice</t>
  </si>
  <si>
    <t>Nancy</t>
  </si>
  <si>
    <t>Amy</t>
  </si>
  <si>
    <t>Jesus</t>
  </si>
  <si>
    <t>Ashley</t>
  </si>
  <si>
    <t>Meliza</t>
  </si>
  <si>
    <t>Andrea</t>
  </si>
  <si>
    <t>Tasha</t>
  </si>
  <si>
    <t>Emmett</t>
  </si>
  <si>
    <t>Chauncey</t>
  </si>
  <si>
    <t>Mirely</t>
  </si>
  <si>
    <t>Elizabeth</t>
  </si>
  <si>
    <t>Dian</t>
  </si>
  <si>
    <t>Lequida</t>
  </si>
  <si>
    <t>Emma</t>
  </si>
  <si>
    <t>Vivian</t>
  </si>
  <si>
    <t>Rosalee</t>
  </si>
  <si>
    <t>Waanibe</t>
  </si>
  <si>
    <t>Dorren</t>
  </si>
  <si>
    <t>Janette</t>
  </si>
  <si>
    <t>Gail</t>
  </si>
  <si>
    <t>Nicolas</t>
  </si>
  <si>
    <t>Hao Ran</t>
  </si>
  <si>
    <t>Loida</t>
  </si>
  <si>
    <t>Williemae</t>
  </si>
  <si>
    <t>Caroline</t>
  </si>
  <si>
    <t>Manuel</t>
  </si>
  <si>
    <t>Roberto</t>
  </si>
  <si>
    <t>Valerie</t>
  </si>
  <si>
    <t>Abeba</t>
  </si>
  <si>
    <t>Katherine</t>
  </si>
  <si>
    <t>Dawonda</t>
  </si>
  <si>
    <t>Angela</t>
  </si>
  <si>
    <t>Kiesha</t>
  </si>
  <si>
    <t>Wayne</t>
  </si>
  <si>
    <t>Demarie</t>
  </si>
  <si>
    <t>Shannon</t>
  </si>
  <si>
    <t>Jemma</t>
  </si>
  <si>
    <t>Gladys</t>
  </si>
  <si>
    <t>Mahnaz</t>
  </si>
  <si>
    <t>Sharmance</t>
  </si>
  <si>
    <t>Ryanna</t>
  </si>
  <si>
    <t>Bertha</t>
  </si>
  <si>
    <t>Flora</t>
  </si>
  <si>
    <t>Shovanna</t>
  </si>
  <si>
    <t>Merlyn</t>
  </si>
  <si>
    <t>Belgica</t>
  </si>
  <si>
    <t>Natasha</t>
  </si>
  <si>
    <t>Maximo</t>
  </si>
  <si>
    <t>Emilio</t>
  </si>
  <si>
    <t>Wanda</t>
  </si>
  <si>
    <t>Tracy</t>
  </si>
  <si>
    <t>Kneysha</t>
  </si>
  <si>
    <t>Martyn</t>
  </si>
  <si>
    <t>Mecca</t>
  </si>
  <si>
    <t>Willie</t>
  </si>
  <si>
    <t>Natisha</t>
  </si>
  <si>
    <t>Julio</t>
  </si>
  <si>
    <t>Berlin</t>
  </si>
  <si>
    <t>Theresa</t>
  </si>
  <si>
    <t>Aidalina</t>
  </si>
  <si>
    <t>Brunilda</t>
  </si>
  <si>
    <t>Joseph</t>
  </si>
  <si>
    <t>Juceyna</t>
  </si>
  <si>
    <t>Starsheema</t>
  </si>
  <si>
    <t>Mahim</t>
  </si>
  <si>
    <t>Fidel</t>
  </si>
  <si>
    <t>Nelly</t>
  </si>
  <si>
    <t>Letice</t>
  </si>
  <si>
    <t>Roquelia</t>
  </si>
  <si>
    <t>Diane</t>
  </si>
  <si>
    <t>Paulette</t>
  </si>
  <si>
    <t>Adelina</t>
  </si>
  <si>
    <t>Lena</t>
  </si>
  <si>
    <t>Amoo</t>
  </si>
  <si>
    <t>Konrad</t>
  </si>
  <si>
    <t>Winell</t>
  </si>
  <si>
    <t>Ibrahim</t>
  </si>
  <si>
    <t>Belkis</t>
  </si>
  <si>
    <t>Pura</t>
  </si>
  <si>
    <t>Jelecia</t>
  </si>
  <si>
    <t>Mariah</t>
  </si>
  <si>
    <t>Tamika</t>
  </si>
  <si>
    <t>Nikima</t>
  </si>
  <si>
    <t>Margarita</t>
  </si>
  <si>
    <t>Loi Sao</t>
  </si>
  <si>
    <t>Letha</t>
  </si>
  <si>
    <t>Chaterlee</t>
  </si>
  <si>
    <t>Betty</t>
  </si>
  <si>
    <t>Shoumei</t>
  </si>
  <si>
    <t>Dominiqua</t>
  </si>
  <si>
    <t>Gissell</t>
  </si>
  <si>
    <t>Antonia</t>
  </si>
  <si>
    <t>Javon</t>
  </si>
  <si>
    <t>Cassandra</t>
  </si>
  <si>
    <t>Byron</t>
  </si>
  <si>
    <t>Josmely</t>
  </si>
  <si>
    <t>Donald</t>
  </si>
  <si>
    <t>Trina</t>
  </si>
  <si>
    <t>Danesha</t>
  </si>
  <si>
    <t>Guillermo</t>
  </si>
  <si>
    <t>Maxima</t>
  </si>
  <si>
    <t>Neila</t>
  </si>
  <si>
    <t>Andrelle</t>
  </si>
  <si>
    <t>MARIA</t>
  </si>
  <si>
    <t>Melido</t>
  </si>
  <si>
    <t>Sandra</t>
  </si>
  <si>
    <t>Duanny</t>
  </si>
  <si>
    <t>Bernarda</t>
  </si>
  <si>
    <t>Christina</t>
  </si>
  <si>
    <t>Dolores</t>
  </si>
  <si>
    <t>Nadya</t>
  </si>
  <si>
    <t>Timonthy</t>
  </si>
  <si>
    <t>Wardell</t>
  </si>
  <si>
    <t>Peter</t>
  </si>
  <si>
    <t>Stacie</t>
  </si>
  <si>
    <t>Maritza</t>
  </si>
  <si>
    <t>Lakeshia</t>
  </si>
  <si>
    <t>Edna</t>
  </si>
  <si>
    <t>Manisha</t>
  </si>
  <si>
    <t>Mark</t>
  </si>
  <si>
    <t>Jaime</t>
  </si>
  <si>
    <t>Dedra</t>
  </si>
  <si>
    <t>Belinda</t>
  </si>
  <si>
    <t>Renee</t>
  </si>
  <si>
    <t>Josefa</t>
  </si>
  <si>
    <t>Eni</t>
  </si>
  <si>
    <t>Frances</t>
  </si>
  <si>
    <t>Heshima</t>
  </si>
  <si>
    <t>Chenille</t>
  </si>
  <si>
    <t>Ligia</t>
  </si>
  <si>
    <t>Lucy</t>
  </si>
  <si>
    <t>Shaunell</t>
  </si>
  <si>
    <t>Grace</t>
  </si>
  <si>
    <t>Kingsley</t>
  </si>
  <si>
    <t>Ada</t>
  </si>
  <si>
    <t>Celia</t>
  </si>
  <si>
    <t>Mirella</t>
  </si>
  <si>
    <t>William</t>
  </si>
  <si>
    <t>Zulma</t>
  </si>
  <si>
    <t>Fatima</t>
  </si>
  <si>
    <t>Josephine</t>
  </si>
  <si>
    <t>Elina</t>
  </si>
  <si>
    <t>Latroya</t>
  </si>
  <si>
    <t>Johny</t>
  </si>
  <si>
    <t>Makeda</t>
  </si>
  <si>
    <t>Alfred</t>
  </si>
  <si>
    <t>Benito</t>
  </si>
  <si>
    <t>Nalini</t>
  </si>
  <si>
    <t>Mildred</t>
  </si>
  <si>
    <t>Vincent</t>
  </si>
  <si>
    <t>Marcia</t>
  </si>
  <si>
    <t>Isabel</t>
  </si>
  <si>
    <t>Lillian</t>
  </si>
  <si>
    <t>Joyette</t>
  </si>
  <si>
    <t>Eduvigis</t>
  </si>
  <si>
    <t>Estheury</t>
  </si>
  <si>
    <t>Hanirka</t>
  </si>
  <si>
    <t>Shirley</t>
  </si>
  <si>
    <t>Danny</t>
  </si>
  <si>
    <t>Alesandra</t>
  </si>
  <si>
    <t>Trelane</t>
  </si>
  <si>
    <t>Setaya</t>
  </si>
  <si>
    <t>Myran</t>
  </si>
  <si>
    <t>Loriane</t>
  </si>
  <si>
    <t>Arturo</t>
  </si>
  <si>
    <t>Mercedes</t>
  </si>
  <si>
    <t>Wendherllyn</t>
  </si>
  <si>
    <t>Modesta</t>
  </si>
  <si>
    <t>Xinglian</t>
  </si>
  <si>
    <t>Miasia</t>
  </si>
  <si>
    <t>Kenia</t>
  </si>
  <si>
    <t>Esperanza</t>
  </si>
  <si>
    <t>Eileen</t>
  </si>
  <si>
    <t>Catherine</t>
  </si>
  <si>
    <t>Damaris</t>
  </si>
  <si>
    <t>Madelyn</t>
  </si>
  <si>
    <t>Rodolfo</t>
  </si>
  <si>
    <t>Cecilia</t>
  </si>
  <si>
    <t>Maximiliano</t>
  </si>
  <si>
    <t>Aurea</t>
  </si>
  <si>
    <t>Yolande</t>
  </si>
  <si>
    <t>Donna</t>
  </si>
  <si>
    <t>Traci</t>
  </si>
  <si>
    <t>Daisy</t>
  </si>
  <si>
    <t>AYDA</t>
  </si>
  <si>
    <t>Jermel</t>
  </si>
  <si>
    <t>Carol</t>
  </si>
  <si>
    <t>Eman</t>
  </si>
  <si>
    <t>Taisha</t>
  </si>
  <si>
    <t>Alfredo</t>
  </si>
  <si>
    <t>Tala</t>
  </si>
  <si>
    <t>Sikhumbuzo</t>
  </si>
  <si>
    <t>Eulogio</t>
  </si>
  <si>
    <t>Abdou</t>
  </si>
  <si>
    <t>Ruth Ann</t>
  </si>
  <si>
    <t>Elvire</t>
  </si>
  <si>
    <t>Luisa</t>
  </si>
  <si>
    <t>Melva</t>
  </si>
  <si>
    <t>Hope</t>
  </si>
  <si>
    <t>Dawn</t>
  </si>
  <si>
    <t>Adam</t>
  </si>
  <si>
    <t>Rosanna</t>
  </si>
  <si>
    <t>Leonora</t>
  </si>
  <si>
    <t>Ubeka</t>
  </si>
  <si>
    <t>Aida</t>
  </si>
  <si>
    <t>Bolivia</t>
  </si>
  <si>
    <t>Monirul</t>
  </si>
  <si>
    <t>Martha</t>
  </si>
  <si>
    <t>Ahmed</t>
  </si>
  <si>
    <t>Jorge</t>
  </si>
  <si>
    <t>Engracia</t>
  </si>
  <si>
    <t>Charlene</t>
  </si>
  <si>
    <t>Myrna</t>
  </si>
  <si>
    <t>Rainee</t>
  </si>
  <si>
    <t>Sherin</t>
  </si>
  <si>
    <t>Milagros</t>
  </si>
  <si>
    <t>Dania</t>
  </si>
  <si>
    <t>Lynette</t>
  </si>
  <si>
    <t>Lorenzo</t>
  </si>
  <si>
    <t>Ventesa</t>
  </si>
  <si>
    <t>Lucille</t>
  </si>
  <si>
    <t>Cecelia</t>
  </si>
  <si>
    <t>Maureen</t>
  </si>
  <si>
    <t>Wen Ke</t>
  </si>
  <si>
    <t>Krystle</t>
  </si>
  <si>
    <t>Lauren</t>
  </si>
  <si>
    <t>Faith</t>
  </si>
  <si>
    <t>Ruby</t>
  </si>
  <si>
    <t>Magdalena</t>
  </si>
  <si>
    <t>Yasmin</t>
  </si>
  <si>
    <t>Alida</t>
  </si>
  <si>
    <t>Renne</t>
  </si>
  <si>
    <t>MD</t>
  </si>
  <si>
    <t>Nilo</t>
  </si>
  <si>
    <t>Juana</t>
  </si>
  <si>
    <t>Susan</t>
  </si>
  <si>
    <t>Zhi</t>
  </si>
  <si>
    <t>Abla</t>
  </si>
  <si>
    <t>Helen</t>
  </si>
  <si>
    <t>Iluminada</t>
  </si>
  <si>
    <t>Eduard</t>
  </si>
  <si>
    <t>Adil</t>
  </si>
  <si>
    <t>Crossley</t>
  </si>
  <si>
    <t>Betsy</t>
  </si>
  <si>
    <t>Michell</t>
  </si>
  <si>
    <t>Heidy</t>
  </si>
  <si>
    <t>Dalia</t>
  </si>
  <si>
    <t>Debbie</t>
  </si>
  <si>
    <t>Sebastian</t>
  </si>
  <si>
    <t>Sheila</t>
  </si>
  <si>
    <t>Tania</t>
  </si>
  <si>
    <t>Star</t>
  </si>
  <si>
    <t>Francisca</t>
  </si>
  <si>
    <t>Santiago</t>
  </si>
  <si>
    <t>Rashader</t>
  </si>
  <si>
    <t>Yudelka</t>
  </si>
  <si>
    <t>Lizmary</t>
  </si>
  <si>
    <t>Uma</t>
  </si>
  <si>
    <t>Prakash</t>
  </si>
  <si>
    <t>Lakresha</t>
  </si>
  <si>
    <t>Ramedeo</t>
  </si>
  <si>
    <t>Alejandro</t>
  </si>
  <si>
    <t>Michel</t>
  </si>
  <si>
    <t>Richard</t>
  </si>
  <si>
    <t>Carolina</t>
  </si>
  <si>
    <t>Pearlene</t>
  </si>
  <si>
    <t>Penelope</t>
  </si>
  <si>
    <t>Walter</t>
  </si>
  <si>
    <t>Clarence</t>
  </si>
  <si>
    <t>Germaine</t>
  </si>
  <si>
    <t>Enid</t>
  </si>
  <si>
    <t>Miguelina</t>
  </si>
  <si>
    <t>Valentina</t>
  </si>
  <si>
    <t>Eunice</t>
  </si>
  <si>
    <t>Djava</t>
  </si>
  <si>
    <t>Lonnie</t>
  </si>
  <si>
    <t>Taneeka</t>
  </si>
  <si>
    <t>Doris</t>
  </si>
  <si>
    <t>Louise</t>
  </si>
  <si>
    <t>Wilfredo</t>
  </si>
  <si>
    <t>Fresi</t>
  </si>
  <si>
    <t>Shiaisha</t>
  </si>
  <si>
    <t>Caridad</t>
  </si>
  <si>
    <t>Irma</t>
  </si>
  <si>
    <t>Juanita</t>
  </si>
  <si>
    <t>Bobby</t>
  </si>
  <si>
    <t>Virgilio</t>
  </si>
  <si>
    <t>Lupe</t>
  </si>
  <si>
    <t>Beatrice</t>
  </si>
  <si>
    <t>Alexander</t>
  </si>
  <si>
    <t>Dorothea</t>
  </si>
  <si>
    <t>Gustavo</t>
  </si>
  <si>
    <t>Terri</t>
  </si>
  <si>
    <t>Timothy</t>
  </si>
  <si>
    <t>Joyce</t>
  </si>
  <si>
    <t>Jeffrey</t>
  </si>
  <si>
    <t>Jeannette</t>
  </si>
  <si>
    <t>Brent</t>
  </si>
  <si>
    <t>Jesusa</t>
  </si>
  <si>
    <t>Sara</t>
  </si>
  <si>
    <t>Elba</t>
  </si>
  <si>
    <t>Aurelia</t>
  </si>
  <si>
    <t>Maricela</t>
  </si>
  <si>
    <t>Dannielle</t>
  </si>
  <si>
    <t>Latania</t>
  </si>
  <si>
    <t>Ciara</t>
  </si>
  <si>
    <t>Bhoodan</t>
  </si>
  <si>
    <t>Carlton</t>
  </si>
  <si>
    <t>Eliseo</t>
  </si>
  <si>
    <t>Zinzi</t>
  </si>
  <si>
    <t>Tammy</t>
  </si>
  <si>
    <t>Bernadette</t>
  </si>
  <si>
    <t>Escarlet</t>
  </si>
  <si>
    <t>Lyn</t>
  </si>
  <si>
    <t>Jennifer Cruz</t>
  </si>
  <si>
    <t>Kelly</t>
  </si>
  <si>
    <t>Shanelle</t>
  </si>
  <si>
    <t>Brenda</t>
  </si>
  <si>
    <t>Adolfo</t>
  </si>
  <si>
    <t>Margaret</t>
  </si>
  <si>
    <t>Theodore</t>
  </si>
  <si>
    <t>Rene</t>
  </si>
  <si>
    <t>Marta</t>
  </si>
  <si>
    <t>Ysabel</t>
  </si>
  <si>
    <t>Dellayris</t>
  </si>
  <si>
    <t>Jamilah</t>
  </si>
  <si>
    <t>Elinor</t>
  </si>
  <si>
    <t>Margia</t>
  </si>
  <si>
    <t>Aldiry</t>
  </si>
  <si>
    <t>Nelida</t>
  </si>
  <si>
    <t>Everton</t>
  </si>
  <si>
    <t>Monica</t>
  </si>
  <si>
    <t>Mialynn</t>
  </si>
  <si>
    <t>HIRAM</t>
  </si>
  <si>
    <t>Patrick</t>
  </si>
  <si>
    <t>Gwendolyn</t>
  </si>
  <si>
    <t>Beverley</t>
  </si>
  <si>
    <t>Eddie</t>
  </si>
  <si>
    <t>Mireya</t>
  </si>
  <si>
    <t>Nargiza</t>
  </si>
  <si>
    <t>Cherry-Ann</t>
  </si>
  <si>
    <t>Rafaela</t>
  </si>
  <si>
    <t>Alix</t>
  </si>
  <si>
    <t>Beryl</t>
  </si>
  <si>
    <t>Winona</t>
  </si>
  <si>
    <t>Anastacia</t>
  </si>
  <si>
    <t>Cherese</t>
  </si>
  <si>
    <t>Gloribel</t>
  </si>
  <si>
    <t>Rochelle</t>
  </si>
  <si>
    <t>Momy</t>
  </si>
  <si>
    <t>Sybil</t>
  </si>
  <si>
    <t>Nacresia</t>
  </si>
  <si>
    <t>Charles</t>
  </si>
  <si>
    <t>Derick</t>
  </si>
  <si>
    <t>Corine</t>
  </si>
  <si>
    <t>Melvin</t>
  </si>
  <si>
    <t>Santos</t>
  </si>
  <si>
    <t>Brigida</t>
  </si>
  <si>
    <t>Sultane</t>
  </si>
  <si>
    <t>Felix</t>
  </si>
  <si>
    <t>Pierre</t>
  </si>
  <si>
    <t>Mona</t>
  </si>
  <si>
    <t>Blanca</t>
  </si>
  <si>
    <t>Shouhui</t>
  </si>
  <si>
    <t>Cecily</t>
  </si>
  <si>
    <t>JOSEPH</t>
  </si>
  <si>
    <t>Rhina</t>
  </si>
  <si>
    <t>Alleanna</t>
  </si>
  <si>
    <t>Luz</t>
  </si>
  <si>
    <t>Paralee</t>
  </si>
  <si>
    <t>Henrietta</t>
  </si>
  <si>
    <t>Thelma</t>
  </si>
  <si>
    <t>Elsie</t>
  </si>
  <si>
    <t>Cappucine</t>
  </si>
  <si>
    <t>Alice</t>
  </si>
  <si>
    <t>Ninoska</t>
  </si>
  <si>
    <t>Eucarina</t>
  </si>
  <si>
    <t>Reginald</t>
  </si>
  <si>
    <t>Socorro</t>
  </si>
  <si>
    <t>Lucia</t>
  </si>
  <si>
    <t>Lori</t>
  </si>
  <si>
    <t>Ernesto</t>
  </si>
  <si>
    <t>Kamal</t>
  </si>
  <si>
    <t>Lydia</t>
  </si>
  <si>
    <t>Jerry</t>
  </si>
  <si>
    <t>Deline</t>
  </si>
  <si>
    <t>Eula</t>
  </si>
  <si>
    <t>Kathleen</t>
  </si>
  <si>
    <t>Phillip</t>
  </si>
  <si>
    <t>Chantal</t>
  </si>
  <si>
    <t>Rolando</t>
  </si>
  <si>
    <t>Brooke</t>
  </si>
  <si>
    <t>Waidi</t>
  </si>
  <si>
    <t>Luna</t>
  </si>
  <si>
    <t>Hattie</t>
  </si>
  <si>
    <t>Leola</t>
  </si>
  <si>
    <t>Joel</t>
  </si>
  <si>
    <t>Fernando</t>
  </si>
  <si>
    <t>Dipsy</t>
  </si>
  <si>
    <t>Mabel</t>
  </si>
  <si>
    <t>Doug</t>
  </si>
  <si>
    <t>Sandreana</t>
  </si>
  <si>
    <t>Terrell</t>
  </si>
  <si>
    <t>Bienvenido</t>
  </si>
  <si>
    <t>Davene</t>
  </si>
  <si>
    <t>Leonardo</t>
  </si>
  <si>
    <t>Eduviges</t>
  </si>
  <si>
    <t>Basilia</t>
  </si>
  <si>
    <t>Virginia</t>
  </si>
  <si>
    <t>Diana</t>
  </si>
  <si>
    <t>Ingrid</t>
  </si>
  <si>
    <t>Eric</t>
  </si>
  <si>
    <t>Madeleine</t>
  </si>
  <si>
    <t>Roxanne</t>
  </si>
  <si>
    <t>Lawrence</t>
  </si>
  <si>
    <t>Ignacio</t>
  </si>
  <si>
    <t>Marilyn</t>
  </si>
  <si>
    <t>Serrafin</t>
  </si>
  <si>
    <t>Agustin</t>
  </si>
  <si>
    <t>Rebekah</t>
  </si>
  <si>
    <t>Jill</t>
  </si>
  <si>
    <t>Rhea</t>
  </si>
  <si>
    <t>Gina</t>
  </si>
  <si>
    <t>Waleska</t>
  </si>
  <si>
    <t>Mariam</t>
  </si>
  <si>
    <t>Krystal</t>
  </si>
  <si>
    <t>Kelmi</t>
  </si>
  <si>
    <t>Evita</t>
  </si>
  <si>
    <t>Shaifah</t>
  </si>
  <si>
    <t>Yovani</t>
  </si>
  <si>
    <t>Minoru</t>
  </si>
  <si>
    <t>Christopher</t>
  </si>
  <si>
    <t>Marco</t>
  </si>
  <si>
    <t>Kamille</t>
  </si>
  <si>
    <t>Steve</t>
  </si>
  <si>
    <t>Marieme</t>
  </si>
  <si>
    <t>Moyosore</t>
  </si>
  <si>
    <t>Alberta</t>
  </si>
  <si>
    <t>Ernestina</t>
  </si>
  <si>
    <t>Dinora</t>
  </si>
  <si>
    <t>Dennis</t>
  </si>
  <si>
    <t>Katrina</t>
  </si>
  <si>
    <t>Ana Maria</t>
  </si>
  <si>
    <t>Bernardino</t>
  </si>
  <si>
    <t>Debra</t>
  </si>
  <si>
    <t>XiaoXia</t>
  </si>
  <si>
    <t>Salvador</t>
  </si>
  <si>
    <t>Akheem</t>
  </si>
  <si>
    <t>Bridgette</t>
  </si>
  <si>
    <t>Tamikqua</t>
  </si>
  <si>
    <t>Adel</t>
  </si>
  <si>
    <t>Elbia</t>
  </si>
  <si>
    <t>Darliana</t>
  </si>
  <si>
    <t>Tonia</t>
  </si>
  <si>
    <t>Sergio</t>
  </si>
  <si>
    <t>Andreniki</t>
  </si>
  <si>
    <t>Turna</t>
  </si>
  <si>
    <t>Rosemarie</t>
  </si>
  <si>
    <t>Loveena</t>
  </si>
  <si>
    <t>Mary Ellen</t>
  </si>
  <si>
    <t>Clara</t>
  </si>
  <si>
    <t>Ermalinda</t>
  </si>
  <si>
    <t>Hocasta</t>
  </si>
  <si>
    <t>Yarisa</t>
  </si>
  <si>
    <t>Aura</t>
  </si>
  <si>
    <t>Jasmine</t>
  </si>
  <si>
    <t>Damon</t>
  </si>
  <si>
    <t>Jessica</t>
  </si>
  <si>
    <t>Warren</t>
  </si>
  <si>
    <t>Arcides</t>
  </si>
  <si>
    <t>Alyssa</t>
  </si>
  <si>
    <t>Thembeni</t>
  </si>
  <si>
    <t>Elena</t>
  </si>
  <si>
    <t>Bashira</t>
  </si>
  <si>
    <t>Howard</t>
  </si>
  <si>
    <t>Tatiana</t>
  </si>
  <si>
    <t>Allen</t>
  </si>
  <si>
    <t>Giovanni</t>
  </si>
  <si>
    <t>Padmini</t>
  </si>
  <si>
    <t>Tomas</t>
  </si>
  <si>
    <t>Mor</t>
  </si>
  <si>
    <t>Wai Yue</t>
  </si>
  <si>
    <t>Melania</t>
  </si>
  <si>
    <t>Masue</t>
  </si>
  <si>
    <t>Tasliym</t>
  </si>
  <si>
    <t>Alfida</t>
  </si>
  <si>
    <t>Amparo</t>
  </si>
  <si>
    <t>Blaise</t>
  </si>
  <si>
    <t>Chaiti</t>
  </si>
  <si>
    <t>Natalie</t>
  </si>
  <si>
    <t>Odalis</t>
  </si>
  <si>
    <t>Erinson</t>
  </si>
  <si>
    <t>Saeed</t>
  </si>
  <si>
    <t>Terry</t>
  </si>
  <si>
    <t>Janet</t>
  </si>
  <si>
    <t>Oleen</t>
  </si>
  <si>
    <t>Arlene</t>
  </si>
  <si>
    <t>Lawfibiah</t>
  </si>
  <si>
    <t>Farconerys</t>
  </si>
  <si>
    <t>Alpha</t>
  </si>
  <si>
    <t>Dimaris</t>
  </si>
  <si>
    <t>Paula</t>
  </si>
  <si>
    <t>Benson</t>
  </si>
  <si>
    <t>Tarik</t>
  </si>
  <si>
    <t>Leticia</t>
  </si>
  <si>
    <t>Yerica</t>
  </si>
  <si>
    <t>Ousmane</t>
  </si>
  <si>
    <t>Liz</t>
  </si>
  <si>
    <t>Epifania</t>
  </si>
  <si>
    <t>Anat</t>
  </si>
  <si>
    <t>Babacar</t>
  </si>
  <si>
    <t>Yvette</t>
  </si>
  <si>
    <t>Nolvia</t>
  </si>
  <si>
    <t>Yoely</t>
  </si>
  <si>
    <t>Yanuaria</t>
  </si>
  <si>
    <t>Andres</t>
  </si>
  <si>
    <t>Noelia</t>
  </si>
  <si>
    <t>Zipporah</t>
  </si>
  <si>
    <t>Darryl</t>
  </si>
  <si>
    <t>Theda</t>
  </si>
  <si>
    <t>Annie</t>
  </si>
  <si>
    <t>Teonila</t>
  </si>
  <si>
    <t>Hirmircy</t>
  </si>
  <si>
    <t>Adila</t>
  </si>
  <si>
    <t>Emanuel</t>
  </si>
  <si>
    <t>Zulema</t>
  </si>
  <si>
    <t>Israel</t>
  </si>
  <si>
    <t>Rosalba</t>
  </si>
  <si>
    <t>Cora</t>
  </si>
  <si>
    <t>Dianelvi</t>
  </si>
  <si>
    <t>Kafaba</t>
  </si>
  <si>
    <t>Corrine</t>
  </si>
  <si>
    <t>Nadeen</t>
  </si>
  <si>
    <t>Shawnie</t>
  </si>
  <si>
    <t>Rose</t>
  </si>
  <si>
    <t>Miree</t>
  </si>
  <si>
    <t>Jane</t>
  </si>
  <si>
    <t>Rosemary</t>
  </si>
  <si>
    <t>SEPTIMUS</t>
  </si>
  <si>
    <t>Pearl</t>
  </si>
  <si>
    <t>Zorina</t>
  </si>
  <si>
    <t>Bertico</t>
  </si>
  <si>
    <t>Solanny</t>
  </si>
  <si>
    <t>Glenys</t>
  </si>
  <si>
    <t>Pastora</t>
  </si>
  <si>
    <t>Glomari</t>
  </si>
  <si>
    <t>Naika</t>
  </si>
  <si>
    <t>Digna</t>
  </si>
  <si>
    <t>Noel</t>
  </si>
  <si>
    <t>Renska</t>
  </si>
  <si>
    <t>Chekesha</t>
  </si>
  <si>
    <t>Yanelys</t>
  </si>
  <si>
    <t>Jacinta</t>
  </si>
  <si>
    <t>Shalysha</t>
  </si>
  <si>
    <t>Yahaira</t>
  </si>
  <si>
    <t>Dorreen</t>
  </si>
  <si>
    <t>Ena</t>
  </si>
  <si>
    <t>Joanna</t>
  </si>
  <si>
    <t>Francisco</t>
  </si>
  <si>
    <t>Jamsin</t>
  </si>
  <si>
    <t>Michel'le</t>
  </si>
  <si>
    <t>Robin</t>
  </si>
  <si>
    <t>Nelson</t>
  </si>
  <si>
    <t>Lola</t>
  </si>
  <si>
    <t>Antoinette</t>
  </si>
  <si>
    <t>Ray</t>
  </si>
  <si>
    <t>Tyron</t>
  </si>
  <si>
    <t>Belina</t>
  </si>
  <si>
    <t>Kaylan</t>
  </si>
  <si>
    <t>Sharif</t>
  </si>
  <si>
    <t>Romando</t>
  </si>
  <si>
    <t>Margie</t>
  </si>
  <si>
    <t>Didgeral</t>
  </si>
  <si>
    <t>Assial</t>
  </si>
  <si>
    <t>Naheed</t>
  </si>
  <si>
    <t>Yuri</t>
  </si>
  <si>
    <t>Saleh</t>
  </si>
  <si>
    <t>Ronnie</t>
  </si>
  <si>
    <t>Velvet</t>
  </si>
  <si>
    <t>Yaritza</t>
  </si>
  <si>
    <t>Shathifa</t>
  </si>
  <si>
    <t>Deonna</t>
  </si>
  <si>
    <t>Colleen</t>
  </si>
  <si>
    <t>Agueda</t>
  </si>
  <si>
    <t>Idowy</t>
  </si>
  <si>
    <t>Faisal</t>
  </si>
  <si>
    <t>Ariminta</t>
  </si>
  <si>
    <t>Taniesha</t>
  </si>
  <si>
    <t>Eusebia</t>
  </si>
  <si>
    <t>Mariame</t>
  </si>
  <si>
    <t>Kassandra</t>
  </si>
  <si>
    <t>Damien</t>
  </si>
  <si>
    <t>Gul</t>
  </si>
  <si>
    <t>Alethea</t>
  </si>
  <si>
    <t>Ebenezer</t>
  </si>
  <si>
    <t>Tamar</t>
  </si>
  <si>
    <t>Gisela</t>
  </si>
  <si>
    <t>Shunelle</t>
  </si>
  <si>
    <t>Dagoberto</t>
  </si>
  <si>
    <t>Arisleyda</t>
  </si>
  <si>
    <t>Merrick</t>
  </si>
  <si>
    <t>Vianny</t>
  </si>
  <si>
    <t>Pucci</t>
  </si>
  <si>
    <t>Elvira</t>
  </si>
  <si>
    <t>Saturina</t>
  </si>
  <si>
    <t>Ramdai</t>
  </si>
  <si>
    <t>Nellie</t>
  </si>
  <si>
    <t>Benjamin</t>
  </si>
  <si>
    <t>Ediltrudis</t>
  </si>
  <si>
    <t>Yeimy</t>
  </si>
  <si>
    <t>Edwina</t>
  </si>
  <si>
    <t>Andre</t>
  </si>
  <si>
    <t>Erdal</t>
  </si>
  <si>
    <t>Arelis</t>
  </si>
  <si>
    <t>Adela</t>
  </si>
  <si>
    <t>Silvia</t>
  </si>
  <si>
    <t>Janice</t>
  </si>
  <si>
    <t>Krzysztof</t>
  </si>
  <si>
    <t>Jai</t>
  </si>
  <si>
    <t>Timmy</t>
  </si>
  <si>
    <t>Alva</t>
  </si>
  <si>
    <t>Danamarie</t>
  </si>
  <si>
    <t>Danielle</t>
  </si>
  <si>
    <t>Hazel</t>
  </si>
  <si>
    <t>Vance</t>
  </si>
  <si>
    <t>Livio</t>
  </si>
  <si>
    <t>Diamela</t>
  </si>
  <si>
    <t>Curtis</t>
  </si>
  <si>
    <t>Melida</t>
  </si>
  <si>
    <t>Vadlyn</t>
  </si>
  <si>
    <t>Afrikah</t>
  </si>
  <si>
    <t>Zarmina</t>
  </si>
  <si>
    <t>Mardoqueo</t>
  </si>
  <si>
    <t>Konah</t>
  </si>
  <si>
    <t>Susie</t>
  </si>
  <si>
    <t>Raliat</t>
  </si>
  <si>
    <t>Britney</t>
  </si>
  <si>
    <t>Baryse</t>
  </si>
  <si>
    <t>Nija</t>
  </si>
  <si>
    <t>Alvita</t>
  </si>
  <si>
    <t>Rudolph</t>
  </si>
  <si>
    <t>Ghislaine</t>
  </si>
  <si>
    <t>Isaiah</t>
  </si>
  <si>
    <t>Suimara</t>
  </si>
  <si>
    <t>Adalgisa</t>
  </si>
  <si>
    <t>Suzan</t>
  </si>
  <si>
    <t>Lelar</t>
  </si>
  <si>
    <t>Joe</t>
  </si>
  <si>
    <t>Mattie</t>
  </si>
  <si>
    <t>Sherete</t>
  </si>
  <si>
    <t>Myriam</t>
  </si>
  <si>
    <t>Kiley</t>
  </si>
  <si>
    <t>Dinah</t>
  </si>
  <si>
    <t>Geisel</t>
  </si>
  <si>
    <t>Priscilia</t>
  </si>
  <si>
    <t>Rosa Marie</t>
  </si>
  <si>
    <t>Paulina</t>
  </si>
  <si>
    <t>Khristen</t>
  </si>
  <si>
    <t>Gemma</t>
  </si>
  <si>
    <t>Doreen</t>
  </si>
  <si>
    <t>Melba</t>
  </si>
  <si>
    <t>Keygee</t>
  </si>
  <si>
    <t>Gema</t>
  </si>
  <si>
    <t>Kirsys</t>
  </si>
  <si>
    <t>Dianne</t>
  </si>
  <si>
    <t>Leopoldo</t>
  </si>
  <si>
    <t>Jully</t>
  </si>
  <si>
    <t>Ara</t>
  </si>
  <si>
    <t>Marcus</t>
  </si>
  <si>
    <t>Joselin</t>
  </si>
  <si>
    <t>Nila</t>
  </si>
  <si>
    <t>Leisy</t>
  </si>
  <si>
    <t>Nell</t>
  </si>
  <si>
    <t>Janean</t>
  </si>
  <si>
    <t>Delphine</t>
  </si>
  <si>
    <t>Lillie</t>
  </si>
  <si>
    <t>Anne</t>
  </si>
  <si>
    <t>Damitra</t>
  </si>
  <si>
    <t>Teofila</t>
  </si>
  <si>
    <t>Beatriz</t>
  </si>
  <si>
    <t>Nadisuka</t>
  </si>
  <si>
    <t>Idayat</t>
  </si>
  <si>
    <t>Altagracia</t>
  </si>
  <si>
    <t>Annetta</t>
  </si>
  <si>
    <t>Alphonso</t>
  </si>
  <si>
    <t>Tsering</t>
  </si>
  <si>
    <t>Iyakka</t>
  </si>
  <si>
    <t>ELsa</t>
  </si>
  <si>
    <t>Julie</t>
  </si>
  <si>
    <t>Martine</t>
  </si>
  <si>
    <t>Yenny</t>
  </si>
  <si>
    <t>Sanchez</t>
  </si>
  <si>
    <t>Violet</t>
  </si>
  <si>
    <t>Lilliana</t>
  </si>
  <si>
    <t>Carolin</t>
  </si>
  <si>
    <t>Jonathan</t>
  </si>
  <si>
    <t>Angelique</t>
  </si>
  <si>
    <t>Natoya</t>
  </si>
  <si>
    <t>Johnie</t>
  </si>
  <si>
    <t>Naomi</t>
  </si>
  <si>
    <t>Todd</t>
  </si>
  <si>
    <t>Jaytee</t>
  </si>
  <si>
    <t>Nafreen</t>
  </si>
  <si>
    <t>Hassan</t>
  </si>
  <si>
    <t>Deryl</t>
  </si>
  <si>
    <t>Osvaldo</t>
  </si>
  <si>
    <t>Eulah</t>
  </si>
  <si>
    <t>Argentina</t>
  </si>
  <si>
    <t>Rudy</t>
  </si>
  <si>
    <t>Giselle</t>
  </si>
  <si>
    <t>Vandella</t>
  </si>
  <si>
    <t>Gamal</t>
  </si>
  <si>
    <t>Frederico</t>
  </si>
  <si>
    <t>Leonard</t>
  </si>
  <si>
    <t>Noemi</t>
  </si>
  <si>
    <t>Nayrobi</t>
  </si>
  <si>
    <t>Sirilo</t>
  </si>
  <si>
    <t>Alisha</t>
  </si>
  <si>
    <t>Lina</t>
  </si>
  <si>
    <t>Chris</t>
  </si>
  <si>
    <t>Eugene</t>
  </si>
  <si>
    <t>Cresenciano</t>
  </si>
  <si>
    <t>Hildania</t>
  </si>
  <si>
    <t>Venida</t>
  </si>
  <si>
    <t>Vaide</t>
  </si>
  <si>
    <t>Shorok</t>
  </si>
  <si>
    <t>Jere</t>
  </si>
  <si>
    <t>Michele</t>
  </si>
  <si>
    <t>Qwali</t>
  </si>
  <si>
    <t>Cristobalina</t>
  </si>
  <si>
    <t>Julieta</t>
  </si>
  <si>
    <t>Madaline</t>
  </si>
  <si>
    <t>Zoraida</t>
  </si>
  <si>
    <t>Atania</t>
  </si>
  <si>
    <t>Liautaud</t>
  </si>
  <si>
    <t>Marquette</t>
  </si>
  <si>
    <t>Taneisha</t>
  </si>
  <si>
    <t>Chanette</t>
  </si>
  <si>
    <t>Charley</t>
  </si>
  <si>
    <t>Antonai</t>
  </si>
  <si>
    <t>Zora</t>
  </si>
  <si>
    <t>Kiana</t>
  </si>
  <si>
    <t>Leanice</t>
  </si>
  <si>
    <t>Shaunice</t>
  </si>
  <si>
    <t>Emerson</t>
  </si>
  <si>
    <t>Ariel</t>
  </si>
  <si>
    <t>Antoine</t>
  </si>
  <si>
    <t>Guerlyne</t>
  </si>
  <si>
    <t>Ruben</t>
  </si>
  <si>
    <t>Jalil</t>
  </si>
  <si>
    <t>Hunter</t>
  </si>
  <si>
    <t>Morena</t>
  </si>
  <si>
    <t>Tieasha</t>
  </si>
  <si>
    <t>Serrina</t>
  </si>
  <si>
    <t>Rhotochia</t>
  </si>
  <si>
    <t>Ronald</t>
  </si>
  <si>
    <t>Camille</t>
  </si>
  <si>
    <t>Dino</t>
  </si>
  <si>
    <t>Nanette</t>
  </si>
  <si>
    <t>Mavis</t>
  </si>
  <si>
    <t>Erick</t>
  </si>
  <si>
    <t>Adriana</t>
  </si>
  <si>
    <t>Winston</t>
  </si>
  <si>
    <t>Yovanni</t>
  </si>
  <si>
    <t>Ernest</t>
  </si>
  <si>
    <t>Anizamara</t>
  </si>
  <si>
    <t>Elton</t>
  </si>
  <si>
    <t>Jnea</t>
  </si>
  <si>
    <t>Della</t>
  </si>
  <si>
    <t>Emeline</t>
  </si>
  <si>
    <t>Karla</t>
  </si>
  <si>
    <t>Rocio</t>
  </si>
  <si>
    <t>Rushane</t>
  </si>
  <si>
    <t>Tara</t>
  </si>
  <si>
    <t>Keesha</t>
  </si>
  <si>
    <t>Desery</t>
  </si>
  <si>
    <t>Yris</t>
  </si>
  <si>
    <t>Nicholas</t>
  </si>
  <si>
    <t>Shaquana</t>
  </si>
  <si>
    <t>Stephen</t>
  </si>
  <si>
    <t>Lev</t>
  </si>
  <si>
    <t>Amadou</t>
  </si>
  <si>
    <t>Charline</t>
  </si>
  <si>
    <t>Louis</t>
  </si>
  <si>
    <t>Fidelis</t>
  </si>
  <si>
    <t>Trevor</t>
  </si>
  <si>
    <t>Ahmet</t>
  </si>
  <si>
    <t>Hai</t>
  </si>
  <si>
    <t>Corinne</t>
  </si>
  <si>
    <t>Domingo</t>
  </si>
  <si>
    <t>Anny</t>
  </si>
  <si>
    <t>Justice</t>
  </si>
  <si>
    <t>Consuelo</t>
  </si>
  <si>
    <t>Dazil</t>
  </si>
  <si>
    <t>Marva</t>
  </si>
  <si>
    <t>Yines</t>
  </si>
  <si>
    <t>Adrian</t>
  </si>
  <si>
    <t>Tenisha</t>
  </si>
  <si>
    <t>Evelina</t>
  </si>
  <si>
    <t>Roc</t>
  </si>
  <si>
    <t>Tchaikvosky</t>
  </si>
  <si>
    <t>Eudacia</t>
  </si>
  <si>
    <t>Anyolina</t>
  </si>
  <si>
    <t>Javier</t>
  </si>
  <si>
    <t>Susana</t>
  </si>
  <si>
    <t>Dulce</t>
  </si>
  <si>
    <t>Mariceth</t>
  </si>
  <si>
    <t>Connie</t>
  </si>
  <si>
    <t>Raymond</t>
  </si>
  <si>
    <t>Raphel</t>
  </si>
  <si>
    <t>Charisse</t>
  </si>
  <si>
    <t>Destiny</t>
  </si>
  <si>
    <t>Felipe</t>
  </si>
  <si>
    <t>Migdalia</t>
  </si>
  <si>
    <t>Ariana</t>
  </si>
  <si>
    <t>Charlotte</t>
  </si>
  <si>
    <t>Jazmin</t>
  </si>
  <si>
    <t>Bonaerge</t>
  </si>
  <si>
    <t>Nidia</t>
  </si>
  <si>
    <t>Ebony</t>
  </si>
  <si>
    <t>Elio</t>
  </si>
  <si>
    <t>Felicita</t>
  </si>
  <si>
    <t>Wilson</t>
  </si>
  <si>
    <t>Vanessa</t>
  </si>
  <si>
    <t>Salina</t>
  </si>
  <si>
    <t>Shanie</t>
  </si>
  <si>
    <t>Tekera</t>
  </si>
  <si>
    <t>Toni</t>
  </si>
  <si>
    <t>Awilda</t>
  </si>
  <si>
    <t>Meris</t>
  </si>
  <si>
    <t>Angelita</t>
  </si>
  <si>
    <t>Shani</t>
  </si>
  <si>
    <t>Md</t>
  </si>
  <si>
    <t>Basiliza</t>
  </si>
  <si>
    <t>Yanet</t>
  </si>
  <si>
    <t>Ama</t>
  </si>
  <si>
    <t>Venetta</t>
  </si>
  <si>
    <t>Flavia</t>
  </si>
  <si>
    <t>June</t>
  </si>
  <si>
    <t>Dianna</t>
  </si>
  <si>
    <t>Joenelly</t>
  </si>
  <si>
    <t>Mac Davis</t>
  </si>
  <si>
    <t>Gretchen</t>
  </si>
  <si>
    <t>Nakkisha</t>
  </si>
  <si>
    <t>Irene</t>
  </si>
  <si>
    <t>Elvida</t>
  </si>
  <si>
    <t>Sheldon</t>
  </si>
  <si>
    <t>Melius</t>
  </si>
  <si>
    <t>Sirajul</t>
  </si>
  <si>
    <t>Ilza</t>
  </si>
  <si>
    <t>Marilenis</t>
  </si>
  <si>
    <t>Bianca</t>
  </si>
  <si>
    <t>Elsa</t>
  </si>
  <si>
    <t>Siegfried</t>
  </si>
  <si>
    <t>Herminio</t>
  </si>
  <si>
    <t>Anang</t>
  </si>
  <si>
    <t>Sherrie</t>
  </si>
  <si>
    <t>Aixa</t>
  </si>
  <si>
    <t>Vinessa</t>
  </si>
  <si>
    <t>Laverne</t>
  </si>
  <si>
    <t>Myra</t>
  </si>
  <si>
    <t>Rochell</t>
  </si>
  <si>
    <t>Lloyd</t>
  </si>
  <si>
    <t>Lara</t>
  </si>
  <si>
    <t>Delia</t>
  </si>
  <si>
    <t>Saralyn</t>
  </si>
  <si>
    <t>Seifeldin</t>
  </si>
  <si>
    <t>Shauna</t>
  </si>
  <si>
    <t>Latrice</t>
  </si>
  <si>
    <t>Haja</t>
  </si>
  <si>
    <t>Rosalia</t>
  </si>
  <si>
    <t>Kissi</t>
  </si>
  <si>
    <t>Jamell</t>
  </si>
  <si>
    <t>Wilky</t>
  </si>
  <si>
    <t>Faizullah</t>
  </si>
  <si>
    <t>Leoncio</t>
  </si>
  <si>
    <t>Rufus</t>
  </si>
  <si>
    <t>Genelle</t>
  </si>
  <si>
    <t>Rahman</t>
  </si>
  <si>
    <t>Seon</t>
  </si>
  <si>
    <t>Octavia</t>
  </si>
  <si>
    <t>Evetta</t>
  </si>
  <si>
    <t>Cacia</t>
  </si>
  <si>
    <t>Jeannine</t>
  </si>
  <si>
    <t>Pramilla</t>
  </si>
  <si>
    <t>Vladimir</t>
  </si>
  <si>
    <t>Roshay</t>
  </si>
  <si>
    <t>Vera</t>
  </si>
  <si>
    <t>Khadijah</t>
  </si>
  <si>
    <t>Cindy</t>
  </si>
  <si>
    <t>Joi</t>
  </si>
  <si>
    <t>Raoul</t>
  </si>
  <si>
    <t>Jannette</t>
  </si>
  <si>
    <t>Dora</t>
  </si>
  <si>
    <t>Linneth</t>
  </si>
  <si>
    <t>Selvyn</t>
  </si>
  <si>
    <t>Ioulia</t>
  </si>
  <si>
    <t>Yvonnia</t>
  </si>
  <si>
    <t>Winifred</t>
  </si>
  <si>
    <t>Yrenes</t>
  </si>
  <si>
    <t>Gretelle</t>
  </si>
  <si>
    <t>Antonnette</t>
  </si>
  <si>
    <t>Packysha</t>
  </si>
  <si>
    <t>Antisha</t>
  </si>
  <si>
    <t>Irina</t>
  </si>
  <si>
    <t>Erenia</t>
  </si>
  <si>
    <t>Roxanna</t>
  </si>
  <si>
    <t>Magdalen</t>
  </si>
  <si>
    <t>Starlena</t>
  </si>
  <si>
    <t>Leonardi</t>
  </si>
  <si>
    <t>Teasha</t>
  </si>
  <si>
    <t>Shanikqua</t>
  </si>
  <si>
    <t>Alwin</t>
  </si>
  <si>
    <t>Hyacinth</t>
  </si>
  <si>
    <t>Sherifat</t>
  </si>
  <si>
    <t>Tishawna</t>
  </si>
  <si>
    <t>Claire</t>
  </si>
  <si>
    <t>Latonya</t>
  </si>
  <si>
    <t>Teofilo</t>
  </si>
  <si>
    <t>Helena</t>
  </si>
  <si>
    <t>Antrice</t>
  </si>
  <si>
    <t>Yelitza</t>
  </si>
  <si>
    <t>Sherina</t>
  </si>
  <si>
    <t>Blanch</t>
  </si>
  <si>
    <t>Shaniyia</t>
  </si>
  <si>
    <t>Jazmel</t>
  </si>
  <si>
    <t>Santana</t>
  </si>
  <si>
    <t>Lurilla</t>
  </si>
  <si>
    <t>Abdul</t>
  </si>
  <si>
    <t>Moren</t>
  </si>
  <si>
    <t>Alfonso</t>
  </si>
  <si>
    <t>JASON</t>
  </si>
  <si>
    <t>Vernestine</t>
  </si>
  <si>
    <t>Alex</t>
  </si>
  <si>
    <t>Lennie</t>
  </si>
  <si>
    <t>Luis Angel</t>
  </si>
  <si>
    <t>Darrell</t>
  </si>
  <si>
    <t>Alton</t>
  </si>
  <si>
    <t>Ervin</t>
  </si>
  <si>
    <t>Iliana</t>
  </si>
  <si>
    <t>Yovanny</t>
  </si>
  <si>
    <t>Miranda</t>
  </si>
  <si>
    <t>Yanira</t>
  </si>
  <si>
    <t>Cleather</t>
  </si>
  <si>
    <t>Shaun</t>
  </si>
  <si>
    <t>Carla</t>
  </si>
  <si>
    <t>Teodoso</t>
  </si>
  <si>
    <t>Glennis</t>
  </si>
  <si>
    <t>Mamuna</t>
  </si>
  <si>
    <t>Kiera</t>
  </si>
  <si>
    <t>Merle</t>
  </si>
  <si>
    <t>Josefina</t>
  </si>
  <si>
    <t>Jewell</t>
  </si>
  <si>
    <t>Craig</t>
  </si>
  <si>
    <t>Belva</t>
  </si>
  <si>
    <t>Rukiya</t>
  </si>
  <si>
    <t>Mazie</t>
  </si>
  <si>
    <t>Vashiti</t>
  </si>
  <si>
    <t>Radasha</t>
  </si>
  <si>
    <t>Gwenda</t>
  </si>
  <si>
    <t>Asseth</t>
  </si>
  <si>
    <t>Otilia</t>
  </si>
  <si>
    <t>Camella</t>
  </si>
  <si>
    <t>Allan</t>
  </si>
  <si>
    <t>Ellice</t>
  </si>
  <si>
    <t>Maira</t>
  </si>
  <si>
    <t>Enrique</t>
  </si>
  <si>
    <t>Darrylin</t>
  </si>
  <si>
    <t>Mirza</t>
  </si>
  <si>
    <t>Seerajie</t>
  </si>
  <si>
    <t>Harold</t>
  </si>
  <si>
    <t>Rossana</t>
  </si>
  <si>
    <t>Chaunte</t>
  </si>
  <si>
    <t>Mary-Beth</t>
  </si>
  <si>
    <t>Morgen</t>
  </si>
  <si>
    <t>Moraima</t>
  </si>
  <si>
    <t>Leon</t>
  </si>
  <si>
    <t>Janith</t>
  </si>
  <si>
    <t>Lucienne</t>
  </si>
  <si>
    <t>Becky</t>
  </si>
  <si>
    <t>Othniel</t>
  </si>
  <si>
    <t>Kimberly</t>
  </si>
  <si>
    <t>Rolanda</t>
  </si>
  <si>
    <t>Janarys</t>
  </si>
  <si>
    <t>Rashid</t>
  </si>
  <si>
    <t>Paola</t>
  </si>
  <si>
    <t>Donnika</t>
  </si>
  <si>
    <t>Shazzia</t>
  </si>
  <si>
    <t>Edie</t>
  </si>
  <si>
    <t>Renier</t>
  </si>
  <si>
    <t>Joseline</t>
  </si>
  <si>
    <t>Zondra</t>
  </si>
  <si>
    <t>Vernice</t>
  </si>
  <si>
    <t>Dakeisha</t>
  </si>
  <si>
    <t>Sanabe</t>
  </si>
  <si>
    <t>Louisia</t>
  </si>
  <si>
    <t>Wahlia</t>
  </si>
  <si>
    <t>Bukunmi</t>
  </si>
  <si>
    <t>Jackson</t>
  </si>
  <si>
    <t>Jocelyn</t>
  </si>
  <si>
    <t>Ezequiel</t>
  </si>
  <si>
    <t>Nora</t>
  </si>
  <si>
    <t>Maebell</t>
  </si>
  <si>
    <t>Fannye</t>
  </si>
  <si>
    <t>Loana</t>
  </si>
  <si>
    <t>Ivette</t>
  </si>
  <si>
    <t>Everett</t>
  </si>
  <si>
    <t>Jay</t>
  </si>
  <si>
    <t>Sergei</t>
  </si>
  <si>
    <t>Shahera</t>
  </si>
  <si>
    <t>Alexandra</t>
  </si>
  <si>
    <t>Jacylin</t>
  </si>
  <si>
    <t>Maurice</t>
  </si>
  <si>
    <t>Matthew</t>
  </si>
  <si>
    <t>Baudilia</t>
  </si>
  <si>
    <t>Quemly</t>
  </si>
  <si>
    <t>Mincalene</t>
  </si>
  <si>
    <t>Lourine</t>
  </si>
  <si>
    <t>Icemae</t>
  </si>
  <si>
    <t>Eugenio</t>
  </si>
  <si>
    <t>Alondrea</t>
  </si>
  <si>
    <t>Garcia</t>
  </si>
  <si>
    <t>Jackie</t>
  </si>
  <si>
    <t>Brandon</t>
  </si>
  <si>
    <t>Siu Lan</t>
  </si>
  <si>
    <t>Mudasiru</t>
  </si>
  <si>
    <t>Reette</t>
  </si>
  <si>
    <t>Deneen</t>
  </si>
  <si>
    <t>Altagrace</t>
  </si>
  <si>
    <t>Jake</t>
  </si>
  <si>
    <t>Shelley</t>
  </si>
  <si>
    <t>Nigel</t>
  </si>
  <si>
    <t>Makuna</t>
  </si>
  <si>
    <t>Junie</t>
  </si>
  <si>
    <t>Colin</t>
  </si>
  <si>
    <t>Maretta</t>
  </si>
  <si>
    <t>Vanderlyn</t>
  </si>
  <si>
    <t>Melanie</t>
  </si>
  <si>
    <t>Sandy</t>
  </si>
  <si>
    <t>Sydnee</t>
  </si>
  <si>
    <t>Isabelle</t>
  </si>
  <si>
    <t>Abby</t>
  </si>
  <si>
    <t>Tamishia</t>
  </si>
  <si>
    <t>Salvacion</t>
  </si>
  <si>
    <t>Johnnymae</t>
  </si>
  <si>
    <t>Sherry-Ann</t>
  </si>
  <si>
    <t>Bryan</t>
  </si>
  <si>
    <t>Renet</t>
  </si>
  <si>
    <t>Candyce</t>
  </si>
  <si>
    <t>Bleuberthol</t>
  </si>
  <si>
    <t>Joalsi</t>
  </si>
  <si>
    <t>Tranae</t>
  </si>
  <si>
    <t>Henry</t>
  </si>
  <si>
    <t>Hilary</t>
  </si>
  <si>
    <t>Suzanna</t>
  </si>
  <si>
    <t>Sun</t>
  </si>
  <si>
    <t>Sernomia</t>
  </si>
  <si>
    <t>Lester</t>
  </si>
  <si>
    <t>Martina</t>
  </si>
  <si>
    <t>Allana</t>
  </si>
  <si>
    <t>Eliane</t>
  </si>
  <si>
    <t>Morenike</t>
  </si>
  <si>
    <t>Elaine</t>
  </si>
  <si>
    <t>Ednice</t>
  </si>
  <si>
    <t>Elson</t>
  </si>
  <si>
    <t>Jervine</t>
  </si>
  <si>
    <t>Shoshana</t>
  </si>
  <si>
    <t>Eliyahu</t>
  </si>
  <si>
    <t>Kaitlin</t>
  </si>
  <si>
    <t>Susanna</t>
  </si>
  <si>
    <t>Basma</t>
  </si>
  <si>
    <t>Marley</t>
  </si>
  <si>
    <t>Gerardo</t>
  </si>
  <si>
    <t>Xonana</t>
  </si>
  <si>
    <t>Laurel</t>
  </si>
  <si>
    <t>Ryan</t>
  </si>
  <si>
    <t>Aimee</t>
  </si>
  <si>
    <t>Joselina</t>
  </si>
  <si>
    <t>Ximena</t>
  </si>
  <si>
    <t>Chinequa</t>
  </si>
  <si>
    <t>Shavonne</t>
  </si>
  <si>
    <t>Federick</t>
  </si>
  <si>
    <t>Nathan</t>
  </si>
  <si>
    <t>Tanis</t>
  </si>
  <si>
    <t>Renata</t>
  </si>
  <si>
    <t>Jarrett</t>
  </si>
  <si>
    <t>Iho</t>
  </si>
  <si>
    <t>Gloria Maria</t>
  </si>
  <si>
    <t>Erin</t>
  </si>
  <si>
    <t>Fabian</t>
  </si>
  <si>
    <t>McMillan</t>
  </si>
  <si>
    <t>Padilla</t>
  </si>
  <si>
    <t>Nicosia</t>
  </si>
  <si>
    <t>McRay</t>
  </si>
  <si>
    <t>McKines</t>
  </si>
  <si>
    <t>Caraballo</t>
  </si>
  <si>
    <t>Torres</t>
  </si>
  <si>
    <t>Rasheed</t>
  </si>
  <si>
    <t>Singleton</t>
  </si>
  <si>
    <t>Nurse</t>
  </si>
  <si>
    <t>Ramos</t>
  </si>
  <si>
    <t>Josten</t>
  </si>
  <si>
    <t>Toyer</t>
  </si>
  <si>
    <t>Rodriguez</t>
  </si>
  <si>
    <t>Gyles</t>
  </si>
  <si>
    <t>Munera</t>
  </si>
  <si>
    <t>Marmolejos</t>
  </si>
  <si>
    <t>Bahadoorsingh</t>
  </si>
  <si>
    <t>Isaac</t>
  </si>
  <si>
    <t>Kenchen</t>
  </si>
  <si>
    <t>Velasquez</t>
  </si>
  <si>
    <t>Klass</t>
  </si>
  <si>
    <t>Nogotaly</t>
  </si>
  <si>
    <t>Tudor</t>
  </si>
  <si>
    <t>Richbourgh</t>
  </si>
  <si>
    <t>Akter</t>
  </si>
  <si>
    <t>Raskazof</t>
  </si>
  <si>
    <t>Velez</t>
  </si>
  <si>
    <t>Ishrie</t>
  </si>
  <si>
    <t>Fazal</t>
  </si>
  <si>
    <t>Gonzalez</t>
  </si>
  <si>
    <t>Navarro</t>
  </si>
  <si>
    <t>Adorno</t>
  </si>
  <si>
    <t>Abreu</t>
  </si>
  <si>
    <t>Hernandez Reyes</t>
  </si>
  <si>
    <t>Yazid</t>
  </si>
  <si>
    <t>Moreno</t>
  </si>
  <si>
    <t>Diaz</t>
  </si>
  <si>
    <t>Mejia</t>
  </si>
  <si>
    <t>Tambriz Guarchaj</t>
  </si>
  <si>
    <t>Mejia De Espejo</t>
  </si>
  <si>
    <t>Seabrook</t>
  </si>
  <si>
    <t>Cortez</t>
  </si>
  <si>
    <t>Spector</t>
  </si>
  <si>
    <t>Chang</t>
  </si>
  <si>
    <t>Mashriqi</t>
  </si>
  <si>
    <t>Sheroff</t>
  </si>
  <si>
    <t>Fan</t>
  </si>
  <si>
    <t>Liau</t>
  </si>
  <si>
    <t>Starvage</t>
  </si>
  <si>
    <t>Beaton</t>
  </si>
  <si>
    <t>Holmes</t>
  </si>
  <si>
    <t>Delaine</t>
  </si>
  <si>
    <t>Hicks</t>
  </si>
  <si>
    <t>Jacobs</t>
  </si>
  <si>
    <t>Jouvert</t>
  </si>
  <si>
    <t>McMurtry Somerville</t>
  </si>
  <si>
    <t>Rowe</t>
  </si>
  <si>
    <t>Williams</t>
  </si>
  <si>
    <t>Konteh</t>
  </si>
  <si>
    <t>McCartney</t>
  </si>
  <si>
    <t>Wynn</t>
  </si>
  <si>
    <t>Garduno</t>
  </si>
  <si>
    <t>Risbrook</t>
  </si>
  <si>
    <t>Mccolley</t>
  </si>
  <si>
    <t>Guerrero</t>
  </si>
  <si>
    <t>Dixon</t>
  </si>
  <si>
    <t>Mullin</t>
  </si>
  <si>
    <t>Barrow</t>
  </si>
  <si>
    <t>Curmon</t>
  </si>
  <si>
    <t>Malik</t>
  </si>
  <si>
    <t>Aultman</t>
  </si>
  <si>
    <t>Marcelle</t>
  </si>
  <si>
    <t>King</t>
  </si>
  <si>
    <t>Dail</t>
  </si>
  <si>
    <t>Mitchell</t>
  </si>
  <si>
    <t>Perez</t>
  </si>
  <si>
    <t>Greenberg</t>
  </si>
  <si>
    <t>Oser</t>
  </si>
  <si>
    <t>Dodack</t>
  </si>
  <si>
    <t>Gangi</t>
  </si>
  <si>
    <t>Chrisme</t>
  </si>
  <si>
    <t>Andrews</t>
  </si>
  <si>
    <t>Drakes</t>
  </si>
  <si>
    <t>Champagne</t>
  </si>
  <si>
    <t>Altgibers</t>
  </si>
  <si>
    <t>Bell</t>
  </si>
  <si>
    <t>Jones</t>
  </si>
  <si>
    <t>Clarke</t>
  </si>
  <si>
    <t>McQueen</t>
  </si>
  <si>
    <t>Desse</t>
  </si>
  <si>
    <t>Hamdown</t>
  </si>
  <si>
    <t>Hamdoun</t>
  </si>
  <si>
    <t>Stewart</t>
  </si>
  <si>
    <t>Sykes</t>
  </si>
  <si>
    <t>Caban</t>
  </si>
  <si>
    <t>Soto</t>
  </si>
  <si>
    <t>Wever</t>
  </si>
  <si>
    <t>Violani</t>
  </si>
  <si>
    <t>Usman</t>
  </si>
  <si>
    <t>Morgan</t>
  </si>
  <si>
    <t>Mingo</t>
  </si>
  <si>
    <t>Fraser</t>
  </si>
  <si>
    <t>Drayton</t>
  </si>
  <si>
    <t>Frith</t>
  </si>
  <si>
    <t>Omatyar</t>
  </si>
  <si>
    <t>Staley</t>
  </si>
  <si>
    <t>Charles-Perrin</t>
  </si>
  <si>
    <t>Lewis</t>
  </si>
  <si>
    <t>Bovian</t>
  </si>
  <si>
    <t>Poe</t>
  </si>
  <si>
    <t>Donplay</t>
  </si>
  <si>
    <t>Longmore</t>
  </si>
  <si>
    <t>Werkmeister</t>
  </si>
  <si>
    <t>Hendy-Hogan</t>
  </si>
  <si>
    <t>Polanco</t>
  </si>
  <si>
    <t>Clark</t>
  </si>
  <si>
    <t>Tross</t>
  </si>
  <si>
    <t>Shapiro</t>
  </si>
  <si>
    <t>Harris</t>
  </si>
  <si>
    <t>El Foulki</t>
  </si>
  <si>
    <t>Stroh</t>
  </si>
  <si>
    <t>Balayo</t>
  </si>
  <si>
    <t>Reid</t>
  </si>
  <si>
    <t>Amadeo</t>
  </si>
  <si>
    <t>Mustafic</t>
  </si>
  <si>
    <t>Bland</t>
  </si>
  <si>
    <t>Lopez</t>
  </si>
  <si>
    <t>Rivera</t>
  </si>
  <si>
    <t>Jimenez</t>
  </si>
  <si>
    <t>Niellolson</t>
  </si>
  <si>
    <t>Sinishtaj</t>
  </si>
  <si>
    <t>Justinano</t>
  </si>
  <si>
    <t>Lujano</t>
  </si>
  <si>
    <t>Paula de Garcia</t>
  </si>
  <si>
    <t>Scullark</t>
  </si>
  <si>
    <t>Paulino</t>
  </si>
  <si>
    <t>Casiano</t>
  </si>
  <si>
    <t>Pitts</t>
  </si>
  <si>
    <t>Zhou</t>
  </si>
  <si>
    <t>Statuto</t>
  </si>
  <si>
    <t>Rossi</t>
  </si>
  <si>
    <t>Belen</t>
  </si>
  <si>
    <t>DeLeon</t>
  </si>
  <si>
    <t>Ortega</t>
  </si>
  <si>
    <t>Saavedra</t>
  </si>
  <si>
    <t>Valerio</t>
  </si>
  <si>
    <t>Hidalgo</t>
  </si>
  <si>
    <t>Batista</t>
  </si>
  <si>
    <t>Crespo</t>
  </si>
  <si>
    <t>Fajardo</t>
  </si>
  <si>
    <t>Crofford</t>
  </si>
  <si>
    <t>Wright</t>
  </si>
  <si>
    <t>Cannon</t>
  </si>
  <si>
    <t>Burgos</t>
  </si>
  <si>
    <t>Kotlyarenko</t>
  </si>
  <si>
    <t>Casado</t>
  </si>
  <si>
    <t>Sanogo</t>
  </si>
  <si>
    <t>Vasquez</t>
  </si>
  <si>
    <t>Bobadilla</t>
  </si>
  <si>
    <t>Bermudez</t>
  </si>
  <si>
    <t>Solis</t>
  </si>
  <si>
    <t>Quero</t>
  </si>
  <si>
    <t>Peals</t>
  </si>
  <si>
    <t>Peppaceno</t>
  </si>
  <si>
    <t>Orsino</t>
  </si>
  <si>
    <t>Quinteros</t>
  </si>
  <si>
    <t>Yu</t>
  </si>
  <si>
    <t>Maniscalco</t>
  </si>
  <si>
    <t>Hayes</t>
  </si>
  <si>
    <t>Cioffi</t>
  </si>
  <si>
    <t>Nappa</t>
  </si>
  <si>
    <t>Walton</t>
  </si>
  <si>
    <t>Jacob</t>
  </si>
  <si>
    <t>Degroat</t>
  </si>
  <si>
    <t>Miller</t>
  </si>
  <si>
    <t>Carbajal</t>
  </si>
  <si>
    <t>Davis</t>
  </si>
  <si>
    <t>Keeling</t>
  </si>
  <si>
    <t>Middleton</t>
  </si>
  <si>
    <t>Walker</t>
  </si>
  <si>
    <t>Davies</t>
  </si>
  <si>
    <t>Graham</t>
  </si>
  <si>
    <t>De los Santos</t>
  </si>
  <si>
    <t>Putinskaya</t>
  </si>
  <si>
    <t>Keeby</t>
  </si>
  <si>
    <t>Cook</t>
  </si>
  <si>
    <t>Franco</t>
  </si>
  <si>
    <t>Salazar</t>
  </si>
  <si>
    <t>Peralta</t>
  </si>
  <si>
    <t>Taveras</t>
  </si>
  <si>
    <t>Genao</t>
  </si>
  <si>
    <t>Lora</t>
  </si>
  <si>
    <t>De La Cruz</t>
  </si>
  <si>
    <t>Bravo</t>
  </si>
  <si>
    <t>Taylor</t>
  </si>
  <si>
    <t>Qayyem</t>
  </si>
  <si>
    <t>Apararicio</t>
  </si>
  <si>
    <t>De la Cruz</t>
  </si>
  <si>
    <t>Diaz-Migoyo</t>
  </si>
  <si>
    <t>Klapper</t>
  </si>
  <si>
    <t>Yturbe</t>
  </si>
  <si>
    <t>Mota</t>
  </si>
  <si>
    <t>Orekunrin</t>
  </si>
  <si>
    <t>Boyuk</t>
  </si>
  <si>
    <t>McLain</t>
  </si>
  <si>
    <t>Salvatore</t>
  </si>
  <si>
    <t>Weigand</t>
  </si>
  <si>
    <t>Audige</t>
  </si>
  <si>
    <t>Waldman</t>
  </si>
  <si>
    <t>Abrams</t>
  </si>
  <si>
    <t>Campbell</t>
  </si>
  <si>
    <t>Maldonado</t>
  </si>
  <si>
    <t>Cruceta</t>
  </si>
  <si>
    <t>Cohen</t>
  </si>
  <si>
    <t>Pinckney</t>
  </si>
  <si>
    <t>de Aza</t>
  </si>
  <si>
    <t>Ward</t>
  </si>
  <si>
    <t>Duarte</t>
  </si>
  <si>
    <t>Brown</t>
  </si>
  <si>
    <t>Jemima</t>
  </si>
  <si>
    <t>Berry</t>
  </si>
  <si>
    <t>Lee</t>
  </si>
  <si>
    <t>Tolento</t>
  </si>
  <si>
    <t>Perdomo</t>
  </si>
  <si>
    <t>Bartolomey</t>
  </si>
  <si>
    <t>Kurry</t>
  </si>
  <si>
    <t>Corporan</t>
  </si>
  <si>
    <t>Suazo</t>
  </si>
  <si>
    <t>Elmore</t>
  </si>
  <si>
    <t>Reece</t>
  </si>
  <si>
    <t>Gaston</t>
  </si>
  <si>
    <t>Geronimo</t>
  </si>
  <si>
    <t>Colon</t>
  </si>
  <si>
    <t>Hibbert</t>
  </si>
  <si>
    <t>Gil</t>
  </si>
  <si>
    <t>Germoso</t>
  </si>
  <si>
    <t>Anderson</t>
  </si>
  <si>
    <t>Fernandez</t>
  </si>
  <si>
    <t>Martinez</t>
  </si>
  <si>
    <t>Warmack</t>
  </si>
  <si>
    <t>Smith</t>
  </si>
  <si>
    <t>Newell</t>
  </si>
  <si>
    <t>Gibbs</t>
  </si>
  <si>
    <t>Burrowes</t>
  </si>
  <si>
    <t>Collins</t>
  </si>
  <si>
    <t>Spratley</t>
  </si>
  <si>
    <t>Romero</t>
  </si>
  <si>
    <t>Paez</t>
  </si>
  <si>
    <t>Morris</t>
  </si>
  <si>
    <t>Beltrain</t>
  </si>
  <si>
    <t>Ortiz</t>
  </si>
  <si>
    <t>Bailey-Barnes</t>
  </si>
  <si>
    <t>Rainey</t>
  </si>
  <si>
    <t>Correa</t>
  </si>
  <si>
    <t>Kippins</t>
  </si>
  <si>
    <t>caicedo</t>
  </si>
  <si>
    <t>Tyler</t>
  </si>
  <si>
    <t>Banovich</t>
  </si>
  <si>
    <t>Mekki</t>
  </si>
  <si>
    <t>Crenshaw</t>
  </si>
  <si>
    <t>Owusuah</t>
  </si>
  <si>
    <t>Goodwin</t>
  </si>
  <si>
    <t>Shaw</t>
  </si>
  <si>
    <t>Abraham</t>
  </si>
  <si>
    <t>Love</t>
  </si>
  <si>
    <t>St. Onge</t>
  </si>
  <si>
    <t>Acosta</t>
  </si>
  <si>
    <t>Ynfante</t>
  </si>
  <si>
    <t>Applewhite</t>
  </si>
  <si>
    <t>May</t>
  </si>
  <si>
    <t>Vitola</t>
  </si>
  <si>
    <t>Hernandez</t>
  </si>
  <si>
    <t>Marchena</t>
  </si>
  <si>
    <t>Cardoba</t>
  </si>
  <si>
    <t>Hong</t>
  </si>
  <si>
    <t>Moronta</t>
  </si>
  <si>
    <t>Basith</t>
  </si>
  <si>
    <t>Corwin</t>
  </si>
  <si>
    <t>Boothe</t>
  </si>
  <si>
    <t>Suarez</t>
  </si>
  <si>
    <t>Mei</t>
  </si>
  <si>
    <t>Agosto</t>
  </si>
  <si>
    <t>White</t>
  </si>
  <si>
    <t>Vanderhorst</t>
  </si>
  <si>
    <t>Okai</t>
  </si>
  <si>
    <t>Reyes Sonhouse</t>
  </si>
  <si>
    <t>Hauser</t>
  </si>
  <si>
    <t>Fulford</t>
  </si>
  <si>
    <t>Bruckstein</t>
  </si>
  <si>
    <t>Miles Henry</t>
  </si>
  <si>
    <t>Vargas</t>
  </si>
  <si>
    <t>Little</t>
  </si>
  <si>
    <t>Gustinvil</t>
  </si>
  <si>
    <t>Royal</t>
  </si>
  <si>
    <t>Harvel</t>
  </si>
  <si>
    <t>Morales</t>
  </si>
  <si>
    <t>Yan</t>
  </si>
  <si>
    <t>Rowland</t>
  </si>
  <si>
    <t>Nunes</t>
  </si>
  <si>
    <t>Muriel</t>
  </si>
  <si>
    <t>Depirro</t>
  </si>
  <si>
    <t>Villavicencio</t>
  </si>
  <si>
    <t>Hartridge</t>
  </si>
  <si>
    <t>Romano</t>
  </si>
  <si>
    <t>Harris Hudson</t>
  </si>
  <si>
    <t>De Leon</t>
  </si>
  <si>
    <t>Green</t>
  </si>
  <si>
    <t>Moody</t>
  </si>
  <si>
    <t>Ardila</t>
  </si>
  <si>
    <t>Nunez</t>
  </si>
  <si>
    <t>Hughes</t>
  </si>
  <si>
    <t>Estavez</t>
  </si>
  <si>
    <t>Orozco-Osorio</t>
  </si>
  <si>
    <t>Ramirez</t>
  </si>
  <si>
    <t>Anjou</t>
  </si>
  <si>
    <t>Licona</t>
  </si>
  <si>
    <t>Castro</t>
  </si>
  <si>
    <t>Hannibal</t>
  </si>
  <si>
    <t>Silverio</t>
  </si>
  <si>
    <t>Blackman</t>
  </si>
  <si>
    <t>Milden</t>
  </si>
  <si>
    <t>Mayard</t>
  </si>
  <si>
    <t>Pandydiego</t>
  </si>
  <si>
    <t>Harrison</t>
  </si>
  <si>
    <t>Dove</t>
  </si>
  <si>
    <t>Faye</t>
  </si>
  <si>
    <t>Maffetone</t>
  </si>
  <si>
    <t>Brooks</t>
  </si>
  <si>
    <t>Surgeon</t>
  </si>
  <si>
    <t>Powell</t>
  </si>
  <si>
    <t>Kinalis</t>
  </si>
  <si>
    <t>Kollie</t>
  </si>
  <si>
    <t>Mckenzie</t>
  </si>
  <si>
    <t>Sweat</t>
  </si>
  <si>
    <t>Floyd</t>
  </si>
  <si>
    <t>Roldan</t>
  </si>
  <si>
    <t>Molyneaux</t>
  </si>
  <si>
    <t>Garcia Valdez</t>
  </si>
  <si>
    <t>Raposo</t>
  </si>
  <si>
    <t>Simeon</t>
  </si>
  <si>
    <t>Elliott</t>
  </si>
  <si>
    <t>Choy</t>
  </si>
  <si>
    <t>Hodgson</t>
  </si>
  <si>
    <t>Reyes</t>
  </si>
  <si>
    <t>Fleming</t>
  </si>
  <si>
    <t>Browne</t>
  </si>
  <si>
    <t>Osei-Oferi</t>
  </si>
  <si>
    <t>Cummings</t>
  </si>
  <si>
    <t>Gomez</t>
  </si>
  <si>
    <t>Burrell</t>
  </si>
  <si>
    <t>Uriel Gomez</t>
  </si>
  <si>
    <t>Tatun</t>
  </si>
  <si>
    <t>Dunlock</t>
  </si>
  <si>
    <t>Corrales</t>
  </si>
  <si>
    <t>Deitz</t>
  </si>
  <si>
    <t>Dotts</t>
  </si>
  <si>
    <t>Engesser</t>
  </si>
  <si>
    <t>Araujo</t>
  </si>
  <si>
    <t>Benton</t>
  </si>
  <si>
    <t>Isler</t>
  </si>
  <si>
    <t>Jerzewski</t>
  </si>
  <si>
    <t>Martin</t>
  </si>
  <si>
    <t>De Jesus</t>
  </si>
  <si>
    <t>Paredes</t>
  </si>
  <si>
    <t>Pappas</t>
  </si>
  <si>
    <t>Connolly</t>
  </si>
  <si>
    <t>Svendsen Jr.</t>
  </si>
  <si>
    <t>Threets</t>
  </si>
  <si>
    <t>Shahoah</t>
  </si>
  <si>
    <t>Hawkins</t>
  </si>
  <si>
    <t>Dyer</t>
  </si>
  <si>
    <t>Matos</t>
  </si>
  <si>
    <t>Cox Lawson</t>
  </si>
  <si>
    <t>Svendsen</t>
  </si>
  <si>
    <t>Ocasio</t>
  </si>
  <si>
    <t>Ayala</t>
  </si>
  <si>
    <t>Croom</t>
  </si>
  <si>
    <t>Cockerl</t>
  </si>
  <si>
    <t>Montrose</t>
  </si>
  <si>
    <t>Luciano</t>
  </si>
  <si>
    <t>Barnes</t>
  </si>
  <si>
    <t>Coromilas</t>
  </si>
  <si>
    <t>Robinson</t>
  </si>
  <si>
    <t>Reuben</t>
  </si>
  <si>
    <t>Ducret</t>
  </si>
  <si>
    <t>Carrion</t>
  </si>
  <si>
    <t>Pressley</t>
  </si>
  <si>
    <t>Sellassie</t>
  </si>
  <si>
    <t>Dinorcia</t>
  </si>
  <si>
    <t>Jenkins</t>
  </si>
  <si>
    <t>Fulton</t>
  </si>
  <si>
    <t>Cromwell</t>
  </si>
  <si>
    <t>Woods</t>
  </si>
  <si>
    <t>Hamer</t>
  </si>
  <si>
    <t>Richardson</t>
  </si>
  <si>
    <t>Nesmith</t>
  </si>
  <si>
    <t>Jean-Simon</t>
  </si>
  <si>
    <t>Reed</t>
  </si>
  <si>
    <t>Keve Lier</t>
  </si>
  <si>
    <t>Villamizar</t>
  </si>
  <si>
    <t>Veras</t>
  </si>
  <si>
    <t>Azerbarzin</t>
  </si>
  <si>
    <t>Praylow</t>
  </si>
  <si>
    <t>McDowell-Butts</t>
  </si>
  <si>
    <t>Shivers</t>
  </si>
  <si>
    <t>Kimbo</t>
  </si>
  <si>
    <t>Marrero</t>
  </si>
  <si>
    <t>Brache</t>
  </si>
  <si>
    <t>Nivar</t>
  </si>
  <si>
    <t>Cisneros</t>
  </si>
  <si>
    <t>Flores</t>
  </si>
  <si>
    <t>Marte</t>
  </si>
  <si>
    <t>Wells</t>
  </si>
  <si>
    <t>Adams</t>
  </si>
  <si>
    <t>Rosado</t>
  </si>
  <si>
    <t>Orenkleim</t>
  </si>
  <si>
    <t>Jamison</t>
  </si>
  <si>
    <t>Ferreira</t>
  </si>
  <si>
    <t>Best</t>
  </si>
  <si>
    <t>Mieses</t>
  </si>
  <si>
    <t>Simmons</t>
  </si>
  <si>
    <t>Lupez</t>
  </si>
  <si>
    <t>Imbert</t>
  </si>
  <si>
    <t>Blumenberg</t>
  </si>
  <si>
    <t>Pena</t>
  </si>
  <si>
    <t>Akhi</t>
  </si>
  <si>
    <t>Weinstein</t>
  </si>
  <si>
    <t>Guzman</t>
  </si>
  <si>
    <t>Banks</t>
  </si>
  <si>
    <t>Casilla</t>
  </si>
  <si>
    <t>McCarter-Yates</t>
  </si>
  <si>
    <t>Holman</t>
  </si>
  <si>
    <t>Cuevas</t>
  </si>
  <si>
    <t>Melendez</t>
  </si>
  <si>
    <t>Lozano Soto</t>
  </si>
  <si>
    <t>Akinyele</t>
  </si>
  <si>
    <t>Keyes</t>
  </si>
  <si>
    <t>Sow</t>
  </si>
  <si>
    <t>Nazario</t>
  </si>
  <si>
    <t>Lantigua</t>
  </si>
  <si>
    <t>Liriano</t>
  </si>
  <si>
    <t>Medina</t>
  </si>
  <si>
    <t>Esquerdo</t>
  </si>
  <si>
    <t>Joyner</t>
  </si>
  <si>
    <t>Merino Herrera</t>
  </si>
  <si>
    <t>Lanzot</t>
  </si>
  <si>
    <t>Echevarria</t>
  </si>
  <si>
    <t>Men</t>
  </si>
  <si>
    <t>Hanes</t>
  </si>
  <si>
    <t>Dargan</t>
  </si>
  <si>
    <t>Figueroa-Irizarry</t>
  </si>
  <si>
    <t>Baxter</t>
  </si>
  <si>
    <t>Vilsaint</t>
  </si>
  <si>
    <t>Kerney</t>
  </si>
  <si>
    <t>Cabrera</t>
  </si>
  <si>
    <t>Lovera</t>
  </si>
  <si>
    <t>Brewer</t>
  </si>
  <si>
    <t>Parrish</t>
  </si>
  <si>
    <t>Erazo</t>
  </si>
  <si>
    <t>Cartagena</t>
  </si>
  <si>
    <t>Kercy</t>
  </si>
  <si>
    <t>Mendoza</t>
  </si>
  <si>
    <t>Praileau</t>
  </si>
  <si>
    <t>McColley</t>
  </si>
  <si>
    <t>Cabral</t>
  </si>
  <si>
    <t>Blackwell</t>
  </si>
  <si>
    <t>Rivers</t>
  </si>
  <si>
    <t>Francis</t>
  </si>
  <si>
    <t>Page</t>
  </si>
  <si>
    <t>Griffin</t>
  </si>
  <si>
    <t>DUBON</t>
  </si>
  <si>
    <t>Soriano</t>
  </si>
  <si>
    <t>Acevedo</t>
  </si>
  <si>
    <t>Telford</t>
  </si>
  <si>
    <t>Escalante</t>
  </si>
  <si>
    <t>Duran</t>
  </si>
  <si>
    <t>Carrasquillo</t>
  </si>
  <si>
    <t>Aguiar</t>
  </si>
  <si>
    <t>Albakooli</t>
  </si>
  <si>
    <t>Hurbides</t>
  </si>
  <si>
    <t>Washington</t>
  </si>
  <si>
    <t>Johnson</t>
  </si>
  <si>
    <t>Merlo</t>
  </si>
  <si>
    <t>McLarin</t>
  </si>
  <si>
    <t>Greaves</t>
  </si>
  <si>
    <t>McCurdy</t>
  </si>
  <si>
    <t>Eraham</t>
  </si>
  <si>
    <t>Ruiz</t>
  </si>
  <si>
    <t>Thompson</t>
  </si>
  <si>
    <t>Mendez</t>
  </si>
  <si>
    <t>Lynch</t>
  </si>
  <si>
    <t>Alcindor</t>
  </si>
  <si>
    <t>Blue</t>
  </si>
  <si>
    <t>Rochez</t>
  </si>
  <si>
    <t>Arroyo</t>
  </si>
  <si>
    <t>Beckles</t>
  </si>
  <si>
    <t>Wong</t>
  </si>
  <si>
    <t>Abuchi</t>
  </si>
  <si>
    <t>Buchfuhrer</t>
  </si>
  <si>
    <t>Cruz</t>
  </si>
  <si>
    <t>Westwood</t>
  </si>
  <si>
    <t>Piro</t>
  </si>
  <si>
    <t>Contreras</t>
  </si>
  <si>
    <t>Mcgeachy</t>
  </si>
  <si>
    <t>Saint Louis</t>
  </si>
  <si>
    <t>Sormiento</t>
  </si>
  <si>
    <t>Martey</t>
  </si>
  <si>
    <t>Nieves</t>
  </si>
  <si>
    <t>Zapata</t>
  </si>
  <si>
    <t>Checo</t>
  </si>
  <si>
    <t>Carmona</t>
  </si>
  <si>
    <t>Quinones</t>
  </si>
  <si>
    <t>Paltoo</t>
  </si>
  <si>
    <t>Braun</t>
  </si>
  <si>
    <t>Gorham</t>
  </si>
  <si>
    <t>Almeida</t>
  </si>
  <si>
    <t>Price</t>
  </si>
  <si>
    <t>Tavares</t>
  </si>
  <si>
    <t>Vega</t>
  </si>
  <si>
    <t>Bougouneau</t>
  </si>
  <si>
    <t>Clavijo</t>
  </si>
  <si>
    <t>Dilone</t>
  </si>
  <si>
    <t>Hassell</t>
  </si>
  <si>
    <t>Espinal</t>
  </si>
  <si>
    <t>Segura</t>
  </si>
  <si>
    <t>Delacruz</t>
  </si>
  <si>
    <t>Vidal</t>
  </si>
  <si>
    <t>Polk</t>
  </si>
  <si>
    <t>Hodges</t>
  </si>
  <si>
    <t>Austin</t>
  </si>
  <si>
    <t>Dminguez</t>
  </si>
  <si>
    <t>Moultry</t>
  </si>
  <si>
    <t>Terranova</t>
  </si>
  <si>
    <t>Moreta</t>
  </si>
  <si>
    <t>Ma</t>
  </si>
  <si>
    <t>Murray</t>
  </si>
  <si>
    <t>Fernanders</t>
  </si>
  <si>
    <t>Encarnacion</t>
  </si>
  <si>
    <t>Lowe</t>
  </si>
  <si>
    <t>Gouraige</t>
  </si>
  <si>
    <t>Moore</t>
  </si>
  <si>
    <t>Robinison</t>
  </si>
  <si>
    <t>Mayi</t>
  </si>
  <si>
    <t>Salcedo</t>
  </si>
  <si>
    <t>Makha</t>
  </si>
  <si>
    <t>Barrett</t>
  </si>
  <si>
    <t>Brathwaite</t>
  </si>
  <si>
    <t>Askew-Thomas</t>
  </si>
  <si>
    <t>Lockward</t>
  </si>
  <si>
    <t>MAYANCELA</t>
  </si>
  <si>
    <t>Newton</t>
  </si>
  <si>
    <t>Willson</t>
  </si>
  <si>
    <t>Fortune</t>
  </si>
  <si>
    <t>Sayed</t>
  </si>
  <si>
    <t>Darby</t>
  </si>
  <si>
    <t>Adames</t>
  </si>
  <si>
    <t>Mirla</t>
  </si>
  <si>
    <t>Albert</t>
  </si>
  <si>
    <t>Kunene</t>
  </si>
  <si>
    <t>Villar</t>
  </si>
  <si>
    <t>Jallow</t>
  </si>
  <si>
    <t>Billingsley</t>
  </si>
  <si>
    <t>Blot</t>
  </si>
  <si>
    <t>Guida</t>
  </si>
  <si>
    <t>Mateo</t>
  </si>
  <si>
    <t>Parker</t>
  </si>
  <si>
    <t>Cochran</t>
  </si>
  <si>
    <t>Carter</t>
  </si>
  <si>
    <t>Feliz</t>
  </si>
  <si>
    <t>Sunday</t>
  </si>
  <si>
    <t>Garcia Collado</t>
  </si>
  <si>
    <t>Tucker</t>
  </si>
  <si>
    <t>Baron</t>
  </si>
  <si>
    <t>Islam</t>
  </si>
  <si>
    <t>Warnick</t>
  </si>
  <si>
    <t>Gado</t>
  </si>
  <si>
    <t>Reyes Abreu</t>
  </si>
  <si>
    <t>Urena</t>
  </si>
  <si>
    <t>Lugo</t>
  </si>
  <si>
    <t>Greene</t>
  </si>
  <si>
    <t>Barron</t>
  </si>
  <si>
    <t>Abdelgawad</t>
  </si>
  <si>
    <t>Castillo</t>
  </si>
  <si>
    <t>Dye</t>
  </si>
  <si>
    <t>Thaggard</t>
  </si>
  <si>
    <t>Hewitt</t>
  </si>
  <si>
    <t>Dominguez</t>
  </si>
  <si>
    <t>Bolden</t>
  </si>
  <si>
    <t>Rogers</t>
  </si>
  <si>
    <t>Headlan</t>
  </si>
  <si>
    <t>Lin</t>
  </si>
  <si>
    <t>Phillips</t>
  </si>
  <si>
    <t>Mestizo</t>
  </si>
  <si>
    <t>Martelli</t>
  </si>
  <si>
    <t>paez</t>
  </si>
  <si>
    <t>Rojas</t>
  </si>
  <si>
    <t>Garcia Cruz</t>
  </si>
  <si>
    <t>Argentin</t>
  </si>
  <si>
    <t>Miles</t>
  </si>
  <si>
    <t>Li</t>
  </si>
  <si>
    <t>Gibson</t>
  </si>
  <si>
    <t>Adodo-Addeh</t>
  </si>
  <si>
    <t>Treitedmy</t>
  </si>
  <si>
    <t>De La Rosa</t>
  </si>
  <si>
    <t>Rijo</t>
  </si>
  <si>
    <t>Lindsay</t>
  </si>
  <si>
    <t>Colon-Sierra</t>
  </si>
  <si>
    <t>Shuler</t>
  </si>
  <si>
    <t>Baker</t>
  </si>
  <si>
    <t>Frederick</t>
  </si>
  <si>
    <t>Mercado</t>
  </si>
  <si>
    <t>Sharma</t>
  </si>
  <si>
    <t>Harry</t>
  </si>
  <si>
    <t>McGee</t>
  </si>
  <si>
    <t>Samaroo</t>
  </si>
  <si>
    <t>Mantilla</t>
  </si>
  <si>
    <t>Alvarez</t>
  </si>
  <si>
    <t>Cifuentes</t>
  </si>
  <si>
    <t>Brewster-Simmons</t>
  </si>
  <si>
    <t>Kennerly</t>
  </si>
  <si>
    <t>Arias</t>
  </si>
  <si>
    <t>Tejada Guzman</t>
  </si>
  <si>
    <t>Pineda</t>
  </si>
  <si>
    <t>Josey Jr.</t>
  </si>
  <si>
    <t>Gooding</t>
  </si>
  <si>
    <t>Castellanos</t>
  </si>
  <si>
    <t>Feliciano</t>
  </si>
  <si>
    <t>Puello</t>
  </si>
  <si>
    <t>Pacheco</t>
  </si>
  <si>
    <t>Ayoub</t>
  </si>
  <si>
    <t>Bonner</t>
  </si>
  <si>
    <t>Muller</t>
  </si>
  <si>
    <t>Conwell</t>
  </si>
  <si>
    <t>Montero</t>
  </si>
  <si>
    <t>Zraick</t>
  </si>
  <si>
    <t>Hankerson</t>
  </si>
  <si>
    <t>Barreto</t>
  </si>
  <si>
    <t>Gadson</t>
  </si>
  <si>
    <t>Randolph</t>
  </si>
  <si>
    <t>Roque</t>
  </si>
  <si>
    <t>Holguin</t>
  </si>
  <si>
    <t>Lazu</t>
  </si>
  <si>
    <t>Golson</t>
  </si>
  <si>
    <t>Ray-Hart</t>
  </si>
  <si>
    <t>Silva</t>
  </si>
  <si>
    <t>McCants</t>
  </si>
  <si>
    <t>Breytman</t>
  </si>
  <si>
    <t>Salado</t>
  </si>
  <si>
    <t>Arocho</t>
  </si>
  <si>
    <t>Mungin</t>
  </si>
  <si>
    <t>Edwards</t>
  </si>
  <si>
    <t>Delgado</t>
  </si>
  <si>
    <t>Hammond</t>
  </si>
  <si>
    <t>Atell</t>
  </si>
  <si>
    <t>Canavatchel</t>
  </si>
  <si>
    <t>Gaudioso</t>
  </si>
  <si>
    <t>Sotomayor</t>
  </si>
  <si>
    <t>Figueroa</t>
  </si>
  <si>
    <t>Key</t>
  </si>
  <si>
    <t>Mortimer</t>
  </si>
  <si>
    <t>Horton</t>
  </si>
  <si>
    <t>Detres</t>
  </si>
  <si>
    <t>Sukhdeo</t>
  </si>
  <si>
    <t>Collazo</t>
  </si>
  <si>
    <t>Daffus</t>
  </si>
  <si>
    <t>Oller</t>
  </si>
  <si>
    <t>Sosa</t>
  </si>
  <si>
    <t>Isaie</t>
  </si>
  <si>
    <t>Cornell</t>
  </si>
  <si>
    <t>Whint</t>
  </si>
  <si>
    <t>Cazley</t>
  </si>
  <si>
    <t>Cocks</t>
  </si>
  <si>
    <t>Fothergill</t>
  </si>
  <si>
    <t>Gittens</t>
  </si>
  <si>
    <t>Alcantara</t>
  </si>
  <si>
    <t>Baldwin</t>
  </si>
  <si>
    <t>Fisher</t>
  </si>
  <si>
    <t>McCain</t>
  </si>
  <si>
    <t>Concepcion</t>
  </si>
  <si>
    <t>Garcia-Pichardo</t>
  </si>
  <si>
    <t>Valentine</t>
  </si>
  <si>
    <t>Polanski</t>
  </si>
  <si>
    <t>Boria</t>
  </si>
  <si>
    <t>Chung</t>
  </si>
  <si>
    <t>Blanco</t>
  </si>
  <si>
    <t>Robles</t>
  </si>
  <si>
    <t>Rondon Nunez</t>
  </si>
  <si>
    <t>West</t>
  </si>
  <si>
    <t>De Los Santos</t>
  </si>
  <si>
    <t>Tanco</t>
  </si>
  <si>
    <t>Amaro</t>
  </si>
  <si>
    <t>Herrera</t>
  </si>
  <si>
    <t>Estevez</t>
  </si>
  <si>
    <t>Durham</t>
  </si>
  <si>
    <t>Aquino</t>
  </si>
  <si>
    <t>Morla de Agosto</t>
  </si>
  <si>
    <t>Agramonte</t>
  </si>
  <si>
    <t>Dirubba</t>
  </si>
  <si>
    <t>Webster</t>
  </si>
  <si>
    <t>Buenrostro</t>
  </si>
  <si>
    <t>ROMAN</t>
  </si>
  <si>
    <t>Negron</t>
  </si>
  <si>
    <t>Cupid</t>
  </si>
  <si>
    <t>Stone</t>
  </si>
  <si>
    <t>Higgins</t>
  </si>
  <si>
    <t>Reynoso</t>
  </si>
  <si>
    <t>St. Louis</t>
  </si>
  <si>
    <t>Mukhamadieva</t>
  </si>
  <si>
    <t>Mayers</t>
  </si>
  <si>
    <t>Lopez De Hernandez</t>
  </si>
  <si>
    <t>Francois</t>
  </si>
  <si>
    <t>Ventura</t>
  </si>
  <si>
    <t>Matzke</t>
  </si>
  <si>
    <t>Almonte</t>
  </si>
  <si>
    <t>Sumter</t>
  </si>
  <si>
    <t>Kennedy</t>
  </si>
  <si>
    <t>Carey</t>
  </si>
  <si>
    <t>Otchere</t>
  </si>
  <si>
    <t>Ndiaye</t>
  </si>
  <si>
    <t>Miley</t>
  </si>
  <si>
    <t>Casaigne</t>
  </si>
  <si>
    <t>Vinson</t>
  </si>
  <si>
    <t>Kennard</t>
  </si>
  <si>
    <t>Butler</t>
  </si>
  <si>
    <t>Magee</t>
  </si>
  <si>
    <t>Ombongo-Golden</t>
  </si>
  <si>
    <t>Cardona</t>
  </si>
  <si>
    <t>Nerys</t>
  </si>
  <si>
    <t>Narcisse</t>
  </si>
  <si>
    <t>Telusma</t>
  </si>
  <si>
    <t>Wu</t>
  </si>
  <si>
    <t>Smalls</t>
  </si>
  <si>
    <t>Rosemond</t>
  </si>
  <si>
    <t>MCKEON</t>
  </si>
  <si>
    <t>Kee</t>
  </si>
  <si>
    <t>Almond</t>
  </si>
  <si>
    <t>Czeh</t>
  </si>
  <si>
    <t>Amanilla</t>
  </si>
  <si>
    <t>Bookman</t>
  </si>
  <si>
    <t>Osbourne Garlington</t>
  </si>
  <si>
    <t>Pina</t>
  </si>
  <si>
    <t>Dickey</t>
  </si>
  <si>
    <t>Sturgis</t>
  </si>
  <si>
    <t>Carney</t>
  </si>
  <si>
    <t>Blalock</t>
  </si>
  <si>
    <t>Evans</t>
  </si>
  <si>
    <t>Del Rosario</t>
  </si>
  <si>
    <t>Gonell</t>
  </si>
  <si>
    <t>Marroche</t>
  </si>
  <si>
    <t>Fobbs</t>
  </si>
  <si>
    <t>Cuadrado</t>
  </si>
  <si>
    <t>Cheeks</t>
  </si>
  <si>
    <t>Rosell</t>
  </si>
  <si>
    <t>Riley</t>
  </si>
  <si>
    <t>Carona</t>
  </si>
  <si>
    <t>Uddin</t>
  </si>
  <si>
    <t>Laureano</t>
  </si>
  <si>
    <t>Aurich</t>
  </si>
  <si>
    <t>Parra</t>
  </si>
  <si>
    <t>Storms</t>
  </si>
  <si>
    <t>Oliver</t>
  </si>
  <si>
    <t>Dawkins</t>
  </si>
  <si>
    <t>Feagin</t>
  </si>
  <si>
    <t>Guthridge</t>
  </si>
  <si>
    <t>Crean</t>
  </si>
  <si>
    <t>Minkins</t>
  </si>
  <si>
    <t>Tapia</t>
  </si>
  <si>
    <t>Bouchereau</t>
  </si>
  <si>
    <t>Grullon</t>
  </si>
  <si>
    <t>Vanhorne</t>
  </si>
  <si>
    <t>Bethune</t>
  </si>
  <si>
    <t>Shaffner</t>
  </si>
  <si>
    <t>Cobb</t>
  </si>
  <si>
    <t>Falilatou</t>
  </si>
  <si>
    <t>Silvestre</t>
  </si>
  <si>
    <t>Gossett</t>
  </si>
  <si>
    <t>Sample</t>
  </si>
  <si>
    <t>Berrios</t>
  </si>
  <si>
    <t>Jiminian</t>
  </si>
  <si>
    <t>Diaz Quiles</t>
  </si>
  <si>
    <t>Delgado-Rolon</t>
  </si>
  <si>
    <t>Dones</t>
  </si>
  <si>
    <t>Horning</t>
  </si>
  <si>
    <t>Carmichael</t>
  </si>
  <si>
    <t>Chaparro</t>
  </si>
  <si>
    <t>Holder</t>
  </si>
  <si>
    <t>Minot</t>
  </si>
  <si>
    <t>UZZAMAN</t>
  </si>
  <si>
    <t>Fuentes</t>
  </si>
  <si>
    <t>McCarthy</t>
  </si>
  <si>
    <t>Parada</t>
  </si>
  <si>
    <t>Mcknight</t>
  </si>
  <si>
    <t>Matthews</t>
  </si>
  <si>
    <t>Murillo</t>
  </si>
  <si>
    <t>Long</t>
  </si>
  <si>
    <t>Rolon</t>
  </si>
  <si>
    <t>Lofton</t>
  </si>
  <si>
    <t>Minaya</t>
  </si>
  <si>
    <t>Osorio</t>
  </si>
  <si>
    <t>Davila</t>
  </si>
  <si>
    <t>Boyer</t>
  </si>
  <si>
    <t>Amerman</t>
  </si>
  <si>
    <t>Hudson</t>
  </si>
  <si>
    <t>Goch</t>
  </si>
  <si>
    <t>Cruz Aponte</t>
  </si>
  <si>
    <t>Goode</t>
  </si>
  <si>
    <t>Varela</t>
  </si>
  <si>
    <t>Calix</t>
  </si>
  <si>
    <t>Sidibe</t>
  </si>
  <si>
    <t>Payne</t>
  </si>
  <si>
    <t>Bestman</t>
  </si>
  <si>
    <t>Monrose</t>
  </si>
  <si>
    <t>Caceres</t>
  </si>
  <si>
    <t>Salahuddin</t>
  </si>
  <si>
    <t>Rosario</t>
  </si>
  <si>
    <t>Kendrick</t>
  </si>
  <si>
    <t>Tanabu</t>
  </si>
  <si>
    <t>Manning</t>
  </si>
  <si>
    <t>Jamieson</t>
  </si>
  <si>
    <t>Meeks</t>
  </si>
  <si>
    <t>Bockman</t>
  </si>
  <si>
    <t>Omolayo</t>
  </si>
  <si>
    <t>Rosavilela</t>
  </si>
  <si>
    <t>Gerena</t>
  </si>
  <si>
    <t>Muñoz</t>
  </si>
  <si>
    <t>Respes</t>
  </si>
  <si>
    <t>Hendricks</t>
  </si>
  <si>
    <t>Quezada</t>
  </si>
  <si>
    <t>Fu</t>
  </si>
  <si>
    <t>Shabazz</t>
  </si>
  <si>
    <t>Gilliam</t>
  </si>
  <si>
    <t>Emam</t>
  </si>
  <si>
    <t>Camacho</t>
  </si>
  <si>
    <t>Moses</t>
  </si>
  <si>
    <t>Kinsey-Clark</t>
  </si>
  <si>
    <t>Guillebeaux</t>
  </si>
  <si>
    <t>Hall</t>
  </si>
  <si>
    <t>Philp</t>
  </si>
  <si>
    <t>Pelaez</t>
  </si>
  <si>
    <t>Adu</t>
  </si>
  <si>
    <t>Sarit</t>
  </si>
  <si>
    <t>Adlam</t>
  </si>
  <si>
    <t>Zeno</t>
  </si>
  <si>
    <t>Cepeda</t>
  </si>
  <si>
    <t>Dollisme</t>
  </si>
  <si>
    <t>Quildon</t>
  </si>
  <si>
    <t>Hough</t>
  </si>
  <si>
    <t>Ferrer</t>
  </si>
  <si>
    <t>Manzueta</t>
  </si>
  <si>
    <t>Martinez Guzman</t>
  </si>
  <si>
    <t>Goffe</t>
  </si>
  <si>
    <t>Russell</t>
  </si>
  <si>
    <t>Rondon</t>
  </si>
  <si>
    <t>Mclain</t>
  </si>
  <si>
    <t>Renkas</t>
  </si>
  <si>
    <t>Buthelezi</t>
  </si>
  <si>
    <t>Gerber</t>
  </si>
  <si>
    <t>Horsham</t>
  </si>
  <si>
    <t>Willis</t>
  </si>
  <si>
    <t>Springer</t>
  </si>
  <si>
    <t>Cintron Cosme</t>
  </si>
  <si>
    <t>Persaud</t>
  </si>
  <si>
    <t>Estrella</t>
  </si>
  <si>
    <t>Diao</t>
  </si>
  <si>
    <t>Castro- Escarraman</t>
  </si>
  <si>
    <t>Kromah</t>
  </si>
  <si>
    <t>Hydara</t>
  </si>
  <si>
    <t>Baez Rodriguez</t>
  </si>
  <si>
    <t>Nichtburg</t>
  </si>
  <si>
    <t>Charneco</t>
  </si>
  <si>
    <t>Guerin</t>
  </si>
  <si>
    <t>Millan</t>
  </si>
  <si>
    <t>Barua</t>
  </si>
  <si>
    <t>Wade</t>
  </si>
  <si>
    <t>Medrano</t>
  </si>
  <si>
    <t>Salce</t>
  </si>
  <si>
    <t>Owens</t>
  </si>
  <si>
    <t>Pratt</t>
  </si>
  <si>
    <t>Porro</t>
  </si>
  <si>
    <t>Lopez-Pinajote</t>
  </si>
  <si>
    <t>Regis</t>
  </si>
  <si>
    <t>Sultana</t>
  </si>
  <si>
    <t>Fadeyi</t>
  </si>
  <si>
    <t>Bardai</t>
  </si>
  <si>
    <t>Snyder</t>
  </si>
  <si>
    <t>Filpo</t>
  </si>
  <si>
    <t>Barry</t>
  </si>
  <si>
    <t>Fong</t>
  </si>
  <si>
    <t>Eji</t>
  </si>
  <si>
    <t>Solomon</t>
  </si>
  <si>
    <t>Serrano</t>
  </si>
  <si>
    <t>Diatta</t>
  </si>
  <si>
    <t>Aybar</t>
  </si>
  <si>
    <t>Meerbaum</t>
  </si>
  <si>
    <t>Thiam</t>
  </si>
  <si>
    <t>Tweel</t>
  </si>
  <si>
    <t>Stokes</t>
  </si>
  <si>
    <t>Johnnie</t>
  </si>
  <si>
    <t>Monegro</t>
  </si>
  <si>
    <t>Naula</t>
  </si>
  <si>
    <t>Corniel</t>
  </si>
  <si>
    <t>Quarto</t>
  </si>
  <si>
    <t>Figaro</t>
  </si>
  <si>
    <t>Delaney</t>
  </si>
  <si>
    <t>Farrell</t>
  </si>
  <si>
    <t>Gainer</t>
  </si>
  <si>
    <t>Taylor Toulson</t>
  </si>
  <si>
    <t>Reyes Fernandez</t>
  </si>
  <si>
    <t>Brannigan</t>
  </si>
  <si>
    <t>Dickerson</t>
  </si>
  <si>
    <t>Bonneau</t>
  </si>
  <si>
    <t>Morrison</t>
  </si>
  <si>
    <t>Carroll</t>
  </si>
  <si>
    <t>Velazquez</t>
  </si>
  <si>
    <t>Pardo</t>
  </si>
  <si>
    <t>Fuertes</t>
  </si>
  <si>
    <t>Gadaou</t>
  </si>
  <si>
    <t>Giddings</t>
  </si>
  <si>
    <t>Vadala</t>
  </si>
  <si>
    <t>Vazquez</t>
  </si>
  <si>
    <t>Madden</t>
  </si>
  <si>
    <t>O'Sullivan</t>
  </si>
  <si>
    <t>Steele</t>
  </si>
  <si>
    <t>Montalvo</t>
  </si>
  <si>
    <t>Lord</t>
  </si>
  <si>
    <t>Millerick</t>
  </si>
  <si>
    <t>Marshall</t>
  </si>
  <si>
    <t>Barbosa</t>
  </si>
  <si>
    <t>Schneller</t>
  </si>
  <si>
    <t>Veleva</t>
  </si>
  <si>
    <t>KELLY</t>
  </si>
  <si>
    <t>Jesup</t>
  </si>
  <si>
    <t>Bernandez</t>
  </si>
  <si>
    <t>Cordones</t>
  </si>
  <si>
    <t>Ramnarine</t>
  </si>
  <si>
    <t>Perry</t>
  </si>
  <si>
    <t>Bezman</t>
  </si>
  <si>
    <t>Mojica</t>
  </si>
  <si>
    <t>Sanchez-Vargas</t>
  </si>
  <si>
    <t>Cruz Vidal</t>
  </si>
  <si>
    <t>Vielot</t>
  </si>
  <si>
    <t>Mesa</t>
  </si>
  <si>
    <t>London</t>
  </si>
  <si>
    <t>Love Garris</t>
  </si>
  <si>
    <t>Audain</t>
  </si>
  <si>
    <t>Marunde</t>
  </si>
  <si>
    <t>Manrique</t>
  </si>
  <si>
    <t>Gutierrez</t>
  </si>
  <si>
    <t>Baptiste</t>
  </si>
  <si>
    <t>Jeffries</t>
  </si>
  <si>
    <t>Reina</t>
  </si>
  <si>
    <t>Grantham</t>
  </si>
  <si>
    <t>Mullings</t>
  </si>
  <si>
    <t>Mason</t>
  </si>
  <si>
    <t>Tejada</t>
  </si>
  <si>
    <t>Slacks</t>
  </si>
  <si>
    <t>Nebellet</t>
  </si>
  <si>
    <t>Blake</t>
  </si>
  <si>
    <t>Reynolds</t>
  </si>
  <si>
    <t>Vanterpool</t>
  </si>
  <si>
    <t>Dingle</t>
  </si>
  <si>
    <t>Elvy</t>
  </si>
  <si>
    <t>Allison</t>
  </si>
  <si>
    <t>Harper</t>
  </si>
  <si>
    <t>Caquias Ramos</t>
  </si>
  <si>
    <t>Diego</t>
  </si>
  <si>
    <t>Recinos</t>
  </si>
  <si>
    <t>Bullock</t>
  </si>
  <si>
    <t>Mata</t>
  </si>
  <si>
    <t>Fordham</t>
  </si>
  <si>
    <t>Trisbend</t>
  </si>
  <si>
    <t>Saylor</t>
  </si>
  <si>
    <t>Alladoumngue</t>
  </si>
  <si>
    <t>Kavalerchik</t>
  </si>
  <si>
    <t>Abbadi</t>
  </si>
  <si>
    <t>Pryce</t>
  </si>
  <si>
    <t>Laukam</t>
  </si>
  <si>
    <t>Locklear</t>
  </si>
  <si>
    <t>Cox</t>
  </si>
  <si>
    <t>Daniels</t>
  </si>
  <si>
    <t>Deas</t>
  </si>
  <si>
    <t>Klohe</t>
  </si>
  <si>
    <t>Boccara</t>
  </si>
  <si>
    <t>Monroe</t>
  </si>
  <si>
    <t>Ojebe</t>
  </si>
  <si>
    <t>Rocha</t>
  </si>
  <si>
    <t>Karim</t>
  </si>
  <si>
    <t>Almaguer</t>
  </si>
  <si>
    <t>Orta</t>
  </si>
  <si>
    <t>Saldana Morales</t>
  </si>
  <si>
    <t>Sancya</t>
  </si>
  <si>
    <t>Gayle</t>
  </si>
  <si>
    <t>Castaneda</t>
  </si>
  <si>
    <t>Moona</t>
  </si>
  <si>
    <t>Ludd</t>
  </si>
  <si>
    <t>Sopade</t>
  </si>
  <si>
    <t>Almanzar</t>
  </si>
  <si>
    <t>Lightstone</t>
  </si>
  <si>
    <t>D'Agenlo</t>
  </si>
  <si>
    <t>Valentin</t>
  </si>
  <si>
    <t>Wardlaw</t>
  </si>
  <si>
    <t>Marajh</t>
  </si>
  <si>
    <t>Pujols</t>
  </si>
  <si>
    <t>Aleman</t>
  </si>
  <si>
    <t>Zolnoski</t>
  </si>
  <si>
    <t>Dubreuil</t>
  </si>
  <si>
    <t>Jhones</t>
  </si>
  <si>
    <t>McCall</t>
  </si>
  <si>
    <t>Huggins</t>
  </si>
  <si>
    <t>Napolitano</t>
  </si>
  <si>
    <t>Linares</t>
  </si>
  <si>
    <t>Nimmons</t>
  </si>
  <si>
    <t>Khamraj</t>
  </si>
  <si>
    <t>Lanza</t>
  </si>
  <si>
    <t>Bermeo</t>
  </si>
  <si>
    <t>Cramer</t>
  </si>
  <si>
    <t>Salacks</t>
  </si>
  <si>
    <t>Campos</t>
  </si>
  <si>
    <t>Gregoire</t>
  </si>
  <si>
    <t>Moreau</t>
  </si>
  <si>
    <t>Colinet</t>
  </si>
  <si>
    <t>Hill</t>
  </si>
  <si>
    <t>Sarak</t>
  </si>
  <si>
    <t>Nuesi</t>
  </si>
  <si>
    <t>Levine</t>
  </si>
  <si>
    <t>Tineo</t>
  </si>
  <si>
    <t>Chancy</t>
  </si>
  <si>
    <t>Nowacki</t>
  </si>
  <si>
    <t>Littles</t>
  </si>
  <si>
    <t>Julius</t>
  </si>
  <si>
    <t>Haywood</t>
  </si>
  <si>
    <t>Lockett</t>
  </si>
  <si>
    <t>Natoli</t>
  </si>
  <si>
    <t>Hazell</t>
  </si>
  <si>
    <t>hightower</t>
  </si>
  <si>
    <t>Mims</t>
  </si>
  <si>
    <t>Yacolino</t>
  </si>
  <si>
    <t>Canty</t>
  </si>
  <si>
    <t>Rice</t>
  </si>
  <si>
    <t>Harmon</t>
  </si>
  <si>
    <t>sanchez</t>
  </si>
  <si>
    <t>Gillani</t>
  </si>
  <si>
    <t>Mead</t>
  </si>
  <si>
    <t>Gbarlea</t>
  </si>
  <si>
    <t>Adeleye</t>
  </si>
  <si>
    <t>Maxey</t>
  </si>
  <si>
    <t>Boutrin-Jones</t>
  </si>
  <si>
    <t>Nashen</t>
  </si>
  <si>
    <t>Watt</t>
  </si>
  <si>
    <t>Huston</t>
  </si>
  <si>
    <t>Coronel</t>
  </si>
  <si>
    <t>Munroe</t>
  </si>
  <si>
    <t>Magloire</t>
  </si>
  <si>
    <t>Cervantes</t>
  </si>
  <si>
    <t>Musik-Ayala</t>
  </si>
  <si>
    <t>Gardner</t>
  </si>
  <si>
    <t>Carvajal</t>
  </si>
  <si>
    <t>Remsey</t>
  </si>
  <si>
    <t>Biggs</t>
  </si>
  <si>
    <t>Blondet</t>
  </si>
  <si>
    <t>Debnam</t>
  </si>
  <si>
    <t>Loadholt</t>
  </si>
  <si>
    <t>Robletto</t>
  </si>
  <si>
    <t>Chambers</t>
  </si>
  <si>
    <t>Dalman</t>
  </si>
  <si>
    <t>Debrah</t>
  </si>
  <si>
    <t>Steer</t>
  </si>
  <si>
    <t>Asiedu</t>
  </si>
  <si>
    <t>Freeman</t>
  </si>
  <si>
    <t>Sidney</t>
  </si>
  <si>
    <t>Young-Mark</t>
  </si>
  <si>
    <t>Pascual</t>
  </si>
  <si>
    <t>Romero Castro</t>
  </si>
  <si>
    <t>Boucaud</t>
  </si>
  <si>
    <t>Bolivar</t>
  </si>
  <si>
    <t>Malanik</t>
  </si>
  <si>
    <t>Jang</t>
  </si>
  <si>
    <t>Jordan</t>
  </si>
  <si>
    <t>Peeples</t>
  </si>
  <si>
    <t>Mollette</t>
  </si>
  <si>
    <t>Wortman</t>
  </si>
  <si>
    <t>Mamolar</t>
  </si>
  <si>
    <t>Young</t>
  </si>
  <si>
    <t>Smoker</t>
  </si>
  <si>
    <t>Ham</t>
  </si>
  <si>
    <t>Baliban</t>
  </si>
  <si>
    <t>Kahan</t>
  </si>
  <si>
    <t>Caranza</t>
  </si>
  <si>
    <t>Frazier</t>
  </si>
  <si>
    <t>Costello</t>
  </si>
  <si>
    <t>Guilaouogui</t>
  </si>
  <si>
    <t>Bailey</t>
  </si>
  <si>
    <t>Defreitas</t>
  </si>
  <si>
    <t>Eady</t>
  </si>
  <si>
    <t>Payero</t>
  </si>
  <si>
    <t>Esteras</t>
  </si>
  <si>
    <t>Lawal</t>
  </si>
  <si>
    <t>Holley</t>
  </si>
  <si>
    <t>Brava</t>
  </si>
  <si>
    <t>Waller</t>
  </si>
  <si>
    <t>Diele</t>
  </si>
  <si>
    <t>Chonzom</t>
  </si>
  <si>
    <t>Mena</t>
  </si>
  <si>
    <t>Sandiford</t>
  </si>
  <si>
    <t>Taveras S</t>
  </si>
  <si>
    <t>Small</t>
  </si>
  <si>
    <t>Anzalota</t>
  </si>
  <si>
    <t>Alonzo Reyes</t>
  </si>
  <si>
    <t>Forbes</t>
  </si>
  <si>
    <t>Truick</t>
  </si>
  <si>
    <t>Bernard</t>
  </si>
  <si>
    <t>Zayas</t>
  </si>
  <si>
    <t>Schwartz</t>
  </si>
  <si>
    <t>Gonzales</t>
  </si>
  <si>
    <t>Seabrooks</t>
  </si>
  <si>
    <t>Sealy</t>
  </si>
  <si>
    <t>Ziegler</t>
  </si>
  <si>
    <t>Ferguson</t>
  </si>
  <si>
    <t>Guillen</t>
  </si>
  <si>
    <t>Spurgeon</t>
  </si>
  <si>
    <t>Femia</t>
  </si>
  <si>
    <t>Gapar</t>
  </si>
  <si>
    <t>Harvin</t>
  </si>
  <si>
    <t>Addison</t>
  </si>
  <si>
    <t>Irizarry</t>
  </si>
  <si>
    <t>Cliford</t>
  </si>
  <si>
    <t>Compton</t>
  </si>
  <si>
    <t>Rodriguez-Fouzi</t>
  </si>
  <si>
    <t>Harrington</t>
  </si>
  <si>
    <t>Bancroft</t>
  </si>
  <si>
    <t>McClean</t>
  </si>
  <si>
    <t>Marroquin</t>
  </si>
  <si>
    <t>Peña</t>
  </si>
  <si>
    <t>Bowe</t>
  </si>
  <si>
    <t>Roach</t>
  </si>
  <si>
    <t>Breeland</t>
  </si>
  <si>
    <t>Reinoso</t>
  </si>
  <si>
    <t>Serrata</t>
  </si>
  <si>
    <t>Leed</t>
  </si>
  <si>
    <t>Mott</t>
  </si>
  <si>
    <t>Amurrio</t>
  </si>
  <si>
    <t>Crisantos</t>
  </si>
  <si>
    <t>Hilario</t>
  </si>
  <si>
    <t>Husenovski</t>
  </si>
  <si>
    <t>Brujan</t>
  </si>
  <si>
    <t>Betances</t>
  </si>
  <si>
    <t>Diaz Guadalupe</t>
  </si>
  <si>
    <t>Holland</t>
  </si>
  <si>
    <t>Lanham</t>
  </si>
  <si>
    <t>Welch</t>
  </si>
  <si>
    <t>Thorn Taber</t>
  </si>
  <si>
    <t>Montealegre</t>
  </si>
  <si>
    <t>Clement</t>
  </si>
  <si>
    <t>Dudley</t>
  </si>
  <si>
    <t>Prater</t>
  </si>
  <si>
    <t>Sheftel-Brown</t>
  </si>
  <si>
    <t>McKay</t>
  </si>
  <si>
    <t>Muhammad</t>
  </si>
  <si>
    <t>Metayer</t>
  </si>
  <si>
    <t>Puente</t>
  </si>
  <si>
    <t>Sierra</t>
  </si>
  <si>
    <t>Omara</t>
  </si>
  <si>
    <t>Hilliard</t>
  </si>
  <si>
    <t>McIver</t>
  </si>
  <si>
    <t>Tovar</t>
  </si>
  <si>
    <t>Bascom</t>
  </si>
  <si>
    <t>Richards</t>
  </si>
  <si>
    <t>Anetor</t>
  </si>
  <si>
    <t>Fare</t>
  </si>
  <si>
    <t>Hardamon</t>
  </si>
  <si>
    <t>Durden</t>
  </si>
  <si>
    <t>Harewood</t>
  </si>
  <si>
    <t>Pimentel</t>
  </si>
  <si>
    <t>Mahulawde</t>
  </si>
  <si>
    <t>Canton</t>
  </si>
  <si>
    <t>Mcgowan</t>
  </si>
  <si>
    <t>Dejesus</t>
  </si>
  <si>
    <t>Buie</t>
  </si>
  <si>
    <t>Foster</t>
  </si>
  <si>
    <t>McKellar</t>
  </si>
  <si>
    <t>Collado</t>
  </si>
  <si>
    <t>Carrasco</t>
  </si>
  <si>
    <t>Arevalo Martinez</t>
  </si>
  <si>
    <t>Atkins-Jones</t>
  </si>
  <si>
    <t>Mays</t>
  </si>
  <si>
    <t>Oyebade</t>
  </si>
  <si>
    <t>Bastieu</t>
  </si>
  <si>
    <t>Farrar</t>
  </si>
  <si>
    <t>Perera</t>
  </si>
  <si>
    <t>Molina</t>
  </si>
  <si>
    <t>Arnold</t>
  </si>
  <si>
    <t>Thornhill- Kinch</t>
  </si>
  <si>
    <t>Watkins</t>
  </si>
  <si>
    <t>Minena</t>
  </si>
  <si>
    <t>St. Jean</t>
  </si>
  <si>
    <t>Glover</t>
  </si>
  <si>
    <t>Wint</t>
  </si>
  <si>
    <t>Carpenter</t>
  </si>
  <si>
    <t>Hiraldo</t>
  </si>
  <si>
    <t>Nwaoha</t>
  </si>
  <si>
    <t>Grogan</t>
  </si>
  <si>
    <t>Bradford</t>
  </si>
  <si>
    <t>Aguilar</t>
  </si>
  <si>
    <t>Palmer</t>
  </si>
  <si>
    <t>Irizzary</t>
  </si>
  <si>
    <t>Wellington</t>
  </si>
  <si>
    <t>Cain</t>
  </si>
  <si>
    <t>Ciapetta</t>
  </si>
  <si>
    <t>Josey</t>
  </si>
  <si>
    <t>Haynes</t>
  </si>
  <si>
    <t>Heard</t>
  </si>
  <si>
    <t>Brudnoy</t>
  </si>
  <si>
    <t>Diallo</t>
  </si>
  <si>
    <t>Hovey</t>
  </si>
  <si>
    <t>Baity</t>
  </si>
  <si>
    <t>Terris</t>
  </si>
  <si>
    <t>Morton</t>
  </si>
  <si>
    <t>Ramsey</t>
  </si>
  <si>
    <t>Donmez</t>
  </si>
  <si>
    <t>Frost</t>
  </si>
  <si>
    <t>Tao Tao</t>
  </si>
  <si>
    <t>Goff</t>
  </si>
  <si>
    <t>Christmas</t>
  </si>
  <si>
    <t>Faulk</t>
  </si>
  <si>
    <t>Klutsey</t>
  </si>
  <si>
    <t>Soacha</t>
  </si>
  <si>
    <t>Leyva</t>
  </si>
  <si>
    <t>Perlmutter</t>
  </si>
  <si>
    <t>Cumberbatch</t>
  </si>
  <si>
    <t>Roberts</t>
  </si>
  <si>
    <t>Schneider</t>
  </si>
  <si>
    <t>Shanahan</t>
  </si>
  <si>
    <t>Baez</t>
  </si>
  <si>
    <t>Metral</t>
  </si>
  <si>
    <t>Grayson</t>
  </si>
  <si>
    <t>Otero</t>
  </si>
  <si>
    <t>Peterkin</t>
  </si>
  <si>
    <t>Calcano</t>
  </si>
  <si>
    <t>Magny</t>
  </si>
  <si>
    <t>Carbonell</t>
  </si>
  <si>
    <t>Reynoso Garcia</t>
  </si>
  <si>
    <t>Saint-Pierre</t>
  </si>
  <si>
    <t>Alvarado</t>
  </si>
  <si>
    <t>Haduch</t>
  </si>
  <si>
    <t>French</t>
  </si>
  <si>
    <t>Balbosa</t>
  </si>
  <si>
    <t>Lozado</t>
  </si>
  <si>
    <t>Faison</t>
  </si>
  <si>
    <t>Christian</t>
  </si>
  <si>
    <t>Glenn</t>
  </si>
  <si>
    <t>Sheftall</t>
  </si>
  <si>
    <t>Colon Disla</t>
  </si>
  <si>
    <t>Thacher</t>
  </si>
  <si>
    <t>Yates</t>
  </si>
  <si>
    <t>Coker</t>
  </si>
  <si>
    <t>Harsch</t>
  </si>
  <si>
    <t>Torres Merced</t>
  </si>
  <si>
    <t>loadholt</t>
  </si>
  <si>
    <t>Valdez</t>
  </si>
  <si>
    <t>Ramales</t>
  </si>
  <si>
    <t>Varela M</t>
  </si>
  <si>
    <t>Dupre</t>
  </si>
  <si>
    <t>Miller Moore</t>
  </si>
  <si>
    <t>Galvan</t>
  </si>
  <si>
    <t>Fredericks</t>
  </si>
  <si>
    <t>Engles</t>
  </si>
  <si>
    <t>Sinclair</t>
  </si>
  <si>
    <t>Hinton</t>
  </si>
  <si>
    <t>Numan</t>
  </si>
  <si>
    <t>Bello</t>
  </si>
  <si>
    <t>Placid</t>
  </si>
  <si>
    <t>Vega-Garcia</t>
  </si>
  <si>
    <t>Porter</t>
  </si>
  <si>
    <t>Sey</t>
  </si>
  <si>
    <t>Tolentino</t>
  </si>
  <si>
    <t>Freire</t>
  </si>
  <si>
    <t>Tirado</t>
  </si>
  <si>
    <t>Crisostomo</t>
  </si>
  <si>
    <t>D. Chauca</t>
  </si>
  <si>
    <t>Bernardez</t>
  </si>
  <si>
    <t>Daley</t>
  </si>
  <si>
    <t>De la Rosa</t>
  </si>
  <si>
    <t>Poole</t>
  </si>
  <si>
    <t>St Louis</t>
  </si>
  <si>
    <t>Burns</t>
  </si>
  <si>
    <t>Hoque</t>
  </si>
  <si>
    <t>Gadsden</t>
  </si>
  <si>
    <t>Villalona</t>
  </si>
  <si>
    <t>Villa-Ruiz</t>
  </si>
  <si>
    <t>Griffith</t>
  </si>
  <si>
    <t>Aslamzada</t>
  </si>
  <si>
    <t>Groenwood</t>
  </si>
  <si>
    <t>Bain</t>
  </si>
  <si>
    <t>Purvis</t>
  </si>
  <si>
    <t>Gebert</t>
  </si>
  <si>
    <t>Foxe</t>
  </si>
  <si>
    <t>Tawiah</t>
  </si>
  <si>
    <t>Ebanks</t>
  </si>
  <si>
    <t>Penalo</t>
  </si>
  <si>
    <t>Reeves</t>
  </si>
  <si>
    <t>Odum</t>
  </si>
  <si>
    <t>Filion</t>
  </si>
  <si>
    <t>Mejia Portillo</t>
  </si>
  <si>
    <t>Smith- Hewitt</t>
  </si>
  <si>
    <t>Easton</t>
  </si>
  <si>
    <t>Als</t>
  </si>
  <si>
    <t>Fendley</t>
  </si>
  <si>
    <t>Hamza</t>
  </si>
  <si>
    <t>Adonis</t>
  </si>
  <si>
    <t>Scotland</t>
  </si>
  <si>
    <t>Curry</t>
  </si>
  <si>
    <t>Fell</t>
  </si>
  <si>
    <t>Bryant</t>
  </si>
  <si>
    <t>Sillah</t>
  </si>
  <si>
    <t>Escoto</t>
  </si>
  <si>
    <t>Keita</t>
  </si>
  <si>
    <t>Gellein</t>
  </si>
  <si>
    <t>Utsey</t>
  </si>
  <si>
    <t>Noorata</t>
  </si>
  <si>
    <t>Jourdain</t>
  </si>
  <si>
    <t>Chavis</t>
  </si>
  <si>
    <t>Manzanillo</t>
  </si>
  <si>
    <t>Morillo</t>
  </si>
  <si>
    <t>Dawodu</t>
  </si>
  <si>
    <t>Addico</t>
  </si>
  <si>
    <t>Moultrie</t>
  </si>
  <si>
    <t>Napoleon</t>
  </si>
  <si>
    <t>Dumonte</t>
  </si>
  <si>
    <t>Merritt</t>
  </si>
  <si>
    <t>Bates</t>
  </si>
  <si>
    <t>Malick</t>
  </si>
  <si>
    <t>Lawtone-Bowles</t>
  </si>
  <si>
    <t>Holden</t>
  </si>
  <si>
    <t>Uman</t>
  </si>
  <si>
    <t>Burnett</t>
  </si>
  <si>
    <t>Edmonds</t>
  </si>
  <si>
    <t>Lyons</t>
  </si>
  <si>
    <t>Henriquez</t>
  </si>
  <si>
    <t>Myers</t>
  </si>
  <si>
    <t>Vizcaino</t>
  </si>
  <si>
    <t>McDonald</t>
  </si>
  <si>
    <t>Charlot</t>
  </si>
  <si>
    <t>Catedral</t>
  </si>
  <si>
    <t>Rookwood</t>
  </si>
  <si>
    <t>Paige</t>
  </si>
  <si>
    <t>Alexandre</t>
  </si>
  <si>
    <t>McLaughlin</t>
  </si>
  <si>
    <t>Goubatova</t>
  </si>
  <si>
    <t>Augustin</t>
  </si>
  <si>
    <t>Caesar</t>
  </si>
  <si>
    <t>Tejeda</t>
  </si>
  <si>
    <t>Preyor</t>
  </si>
  <si>
    <t>Avila</t>
  </si>
  <si>
    <t>Kagan</t>
  </si>
  <si>
    <t>Meachum</t>
  </si>
  <si>
    <t>Ilyayeva</t>
  </si>
  <si>
    <t>Tates</t>
  </si>
  <si>
    <t>Capers</t>
  </si>
  <si>
    <t>Toombs</t>
  </si>
  <si>
    <t>Cody</t>
  </si>
  <si>
    <t>Coconi Potrero</t>
  </si>
  <si>
    <t>Kingston</t>
  </si>
  <si>
    <t>Omisola</t>
  </si>
  <si>
    <t>Franks</t>
  </si>
  <si>
    <t>Logan</t>
  </si>
  <si>
    <t>Streety</t>
  </si>
  <si>
    <t>Malone</t>
  </si>
  <si>
    <t>Garcia Lopez</t>
  </si>
  <si>
    <t>Mendoza-Matthews</t>
  </si>
  <si>
    <t>DeJesus</t>
  </si>
  <si>
    <t>Muniz</t>
  </si>
  <si>
    <t>Purcell</t>
  </si>
  <si>
    <t>Baksh</t>
  </si>
  <si>
    <t>Dacchille</t>
  </si>
  <si>
    <t>Grasso</t>
  </si>
  <si>
    <t>Chandler Coard</t>
  </si>
  <si>
    <t>Macauley</t>
  </si>
  <si>
    <t>Rodgers</t>
  </si>
  <si>
    <t>Nuralan</t>
  </si>
  <si>
    <t>Sanguinetti</t>
  </si>
  <si>
    <t>Leavitt</t>
  </si>
  <si>
    <t>OWENS</t>
  </si>
  <si>
    <t>Chery</t>
  </si>
  <si>
    <t>Igantovich</t>
  </si>
  <si>
    <t>Belgrave</t>
  </si>
  <si>
    <t>Marin</t>
  </si>
  <si>
    <t>Johns</t>
  </si>
  <si>
    <t>Loten</t>
  </si>
  <si>
    <t>Lilley</t>
  </si>
  <si>
    <t>Grier</t>
  </si>
  <si>
    <t>McClarin</t>
  </si>
  <si>
    <t>Bramble</t>
  </si>
  <si>
    <t>Bennett</t>
  </si>
  <si>
    <t>Frye</t>
  </si>
  <si>
    <t>Belin</t>
  </si>
  <si>
    <t>Guity</t>
  </si>
  <si>
    <t>Hoover</t>
  </si>
  <si>
    <t>Booker</t>
  </si>
  <si>
    <t>Siva</t>
  </si>
  <si>
    <t>Clay</t>
  </si>
  <si>
    <t>Gotay</t>
  </si>
  <si>
    <t>Hillstrom</t>
  </si>
  <si>
    <t>Alarcon</t>
  </si>
  <si>
    <t>Denehan</t>
  </si>
  <si>
    <t>Siguencia</t>
  </si>
  <si>
    <t>Cockfield</t>
  </si>
  <si>
    <t>Galdamez</t>
  </si>
  <si>
    <t>Wilkins</t>
  </si>
  <si>
    <t>Cotton</t>
  </si>
  <si>
    <t>Sampson</t>
  </si>
  <si>
    <t>O'Briant</t>
  </si>
  <si>
    <t>Alberto</t>
  </si>
  <si>
    <t>Castillo-Valencia</t>
  </si>
  <si>
    <t>Sanoe</t>
  </si>
  <si>
    <t>Najera</t>
  </si>
  <si>
    <t>Mercer</t>
  </si>
  <si>
    <t>Service</t>
  </si>
  <si>
    <t>Sylvester</t>
  </si>
  <si>
    <t>Jefferey</t>
  </si>
  <si>
    <t>Buchanan</t>
  </si>
  <si>
    <t>McIntosh</t>
  </si>
  <si>
    <t>Bowes</t>
  </si>
  <si>
    <t>Jiminez</t>
  </si>
  <si>
    <t>Oguamanam</t>
  </si>
  <si>
    <t>Newby</t>
  </si>
  <si>
    <t>Yapp</t>
  </si>
  <si>
    <t>Vega-Rivera</t>
  </si>
  <si>
    <t>Cayer</t>
  </si>
  <si>
    <t>Kusiak Carey</t>
  </si>
  <si>
    <t>Somthers</t>
  </si>
  <si>
    <t>Pichardo</t>
  </si>
  <si>
    <t>Salguero</t>
  </si>
  <si>
    <t>McHenry</t>
  </si>
  <si>
    <t>Alvarado Bobea</t>
  </si>
  <si>
    <t>Prasaud</t>
  </si>
  <si>
    <t>Gallagher</t>
  </si>
  <si>
    <t>McKinney</t>
  </si>
  <si>
    <t>Webb</t>
  </si>
  <si>
    <t>Catellanos</t>
  </si>
  <si>
    <t>Hogan</t>
  </si>
  <si>
    <t>Wise</t>
  </si>
  <si>
    <t>Quiroz</t>
  </si>
  <si>
    <t>Gimenez</t>
  </si>
  <si>
    <t>Wyche</t>
  </si>
  <si>
    <t>Dorjee</t>
  </si>
  <si>
    <t>Davidson</t>
  </si>
  <si>
    <t>Bromell</t>
  </si>
  <si>
    <t>Seward</t>
  </si>
  <si>
    <t>Izaguirre</t>
  </si>
  <si>
    <t>Granado</t>
  </si>
  <si>
    <t>Banwareesingh</t>
  </si>
  <si>
    <t>Lombard</t>
  </si>
  <si>
    <t>Buckle</t>
  </si>
  <si>
    <t>Lapaz</t>
  </si>
  <si>
    <t>Da Silva</t>
  </si>
  <si>
    <t>Atkinson</t>
  </si>
  <si>
    <t>Denis</t>
  </si>
  <si>
    <t>Cintron</t>
  </si>
  <si>
    <t>Brinson</t>
  </si>
  <si>
    <t>Winston-Orr</t>
  </si>
  <si>
    <t>Worthen</t>
  </si>
  <si>
    <t>LittleJohn</t>
  </si>
  <si>
    <t>Francisquini</t>
  </si>
  <si>
    <t>Mckenna</t>
  </si>
  <si>
    <t>Hines</t>
  </si>
  <si>
    <t>Nugent</t>
  </si>
  <si>
    <t>Pellot</t>
  </si>
  <si>
    <t>Obregon</t>
  </si>
  <si>
    <t>Mainor</t>
  </si>
  <si>
    <t>Cortorreal</t>
  </si>
  <si>
    <t>Herrington</t>
  </si>
  <si>
    <t>Newland</t>
  </si>
  <si>
    <t>Espinel</t>
  </si>
  <si>
    <t>Ojumu</t>
  </si>
  <si>
    <t>Quinn</t>
  </si>
  <si>
    <t>Goodridge</t>
  </si>
  <si>
    <t>Boomer</t>
  </si>
  <si>
    <t>Carloss</t>
  </si>
  <si>
    <t>Amezquita</t>
  </si>
  <si>
    <t>Ash</t>
  </si>
  <si>
    <t>Bradley</t>
  </si>
  <si>
    <t>Serebriakov</t>
  </si>
  <si>
    <t>Leach</t>
  </si>
  <si>
    <t>Mcrae</t>
  </si>
  <si>
    <t>Zawoiski</t>
  </si>
  <si>
    <t>Bibins</t>
  </si>
  <si>
    <t>Moreno Vega</t>
  </si>
  <si>
    <t>Ridley Parson</t>
  </si>
  <si>
    <t>Sumpter</t>
  </si>
  <si>
    <t>Romain</t>
  </si>
  <si>
    <t>Downes</t>
  </si>
  <si>
    <t>Bernabe</t>
  </si>
  <si>
    <t>Climes</t>
  </si>
  <si>
    <t>Devonish</t>
  </si>
  <si>
    <t>Watson</t>
  </si>
  <si>
    <t>Apolinario</t>
  </si>
  <si>
    <t>Pounding</t>
  </si>
  <si>
    <t>Saheed</t>
  </si>
  <si>
    <t>Clermont</t>
  </si>
  <si>
    <t>Rubinstein</t>
  </si>
  <si>
    <t>Yung</t>
  </si>
  <si>
    <t>Hussein</t>
  </si>
  <si>
    <t>Crespo-Ramos</t>
  </si>
  <si>
    <t>Rollgier-Marshall</t>
  </si>
  <si>
    <t>Abdullah</t>
  </si>
  <si>
    <t>Gras</t>
  </si>
  <si>
    <t>Blondell</t>
  </si>
  <si>
    <t>Robateau</t>
  </si>
  <si>
    <t>Aime</t>
  </si>
  <si>
    <t>Rothenberg</t>
  </si>
  <si>
    <t>Correy</t>
  </si>
  <si>
    <t>Mtambuzi</t>
  </si>
  <si>
    <t>Saunders Burks</t>
  </si>
  <si>
    <t>Peters</t>
  </si>
  <si>
    <t>Siegfrieft</t>
  </si>
  <si>
    <t>Westbrook</t>
  </si>
  <si>
    <t>Kellman</t>
  </si>
  <si>
    <t>Jubinsky</t>
  </si>
  <si>
    <t>Camurati</t>
  </si>
  <si>
    <t>Torres Adorno</t>
  </si>
  <si>
    <t>Corriders</t>
  </si>
  <si>
    <t>Fields</t>
  </si>
  <si>
    <t>Rucker</t>
  </si>
  <si>
    <t>Allende</t>
  </si>
  <si>
    <t>Flowers</t>
  </si>
  <si>
    <t>Colina</t>
  </si>
  <si>
    <t>Ifield</t>
  </si>
  <si>
    <t>Okonji</t>
  </si>
  <si>
    <t>Collier</t>
  </si>
  <si>
    <t>Pettus</t>
  </si>
  <si>
    <t>Dattaray</t>
  </si>
  <si>
    <t>Scott</t>
  </si>
  <si>
    <t>Simon</t>
  </si>
  <si>
    <t>Harden</t>
  </si>
  <si>
    <t>Hayardeny</t>
  </si>
  <si>
    <t>Hanley</t>
  </si>
  <si>
    <t>Knight</t>
  </si>
  <si>
    <t>Siri</t>
  </si>
  <si>
    <t>Sawney-Calleste</t>
  </si>
  <si>
    <t>Moran</t>
  </si>
  <si>
    <t>Doesserie-Mitchell</t>
  </si>
  <si>
    <t>Virgil</t>
  </si>
  <si>
    <t>Mials</t>
  </si>
  <si>
    <t>Cole</t>
  </si>
  <si>
    <t>Roseboro</t>
  </si>
  <si>
    <t>Park</t>
  </si>
  <si>
    <t>Hart</t>
  </si>
  <si>
    <t>Ferreria</t>
  </si>
  <si>
    <t>Cardenas</t>
  </si>
  <si>
    <t>Sheen</t>
  </si>
  <si>
    <t>Macaldo</t>
  </si>
  <si>
    <t>Balfour</t>
  </si>
  <si>
    <t>Meyer</t>
  </si>
  <si>
    <t>Lambert</t>
  </si>
  <si>
    <t>Dinkins</t>
  </si>
  <si>
    <t>Fermin-Pena</t>
  </si>
  <si>
    <t>Providence</t>
  </si>
  <si>
    <t>Qi</t>
  </si>
  <si>
    <t>Cheng</t>
  </si>
  <si>
    <t>Saladin</t>
  </si>
  <si>
    <t>Bauminger</t>
  </si>
  <si>
    <t>Winkler</t>
  </si>
  <si>
    <t>La Salle</t>
  </si>
  <si>
    <t>Hays</t>
  </si>
  <si>
    <t>Camilo</t>
  </si>
  <si>
    <t>Antigua</t>
  </si>
  <si>
    <t>Sarvis</t>
  </si>
  <si>
    <t>Kahn</t>
  </si>
  <si>
    <t>Joseph-Allen</t>
  </si>
  <si>
    <t>Biddle</t>
  </si>
  <si>
    <t>Cooper</t>
  </si>
  <si>
    <t>Armstrong</t>
  </si>
  <si>
    <t>McGhee</t>
  </si>
  <si>
    <t>Scrubb</t>
  </si>
  <si>
    <t>Langley</t>
  </si>
  <si>
    <t>Nygaard</t>
  </si>
  <si>
    <t>Lamar</t>
  </si>
  <si>
    <t>Outon</t>
  </si>
  <si>
    <t>Grant</t>
  </si>
  <si>
    <t>Milliner</t>
  </si>
  <si>
    <t>Bores</t>
  </si>
  <si>
    <t>Bondoc</t>
  </si>
  <si>
    <t>Tempey</t>
  </si>
  <si>
    <t>Zeidenberg</t>
  </si>
  <si>
    <t>Robillard</t>
  </si>
  <si>
    <t>Tenebaum</t>
  </si>
  <si>
    <t>Flotteron</t>
  </si>
  <si>
    <t>Lucas</t>
  </si>
  <si>
    <t>Taguchi</t>
  </si>
  <si>
    <t>Mateo Mejia</t>
  </si>
  <si>
    <t>Fortes</t>
  </si>
  <si>
    <t>Burke</t>
  </si>
  <si>
    <t>Yuan</t>
  </si>
  <si>
    <t>Desmond</t>
  </si>
  <si>
    <t>Garrett</t>
  </si>
  <si>
    <t>Mendenhall</t>
  </si>
  <si>
    <t>309 Beach 85th St</t>
  </si>
  <si>
    <t>436 Beach 64th St</t>
  </si>
  <si>
    <t>309a Beach 73rd St</t>
  </si>
  <si>
    <t>6946 Almeda Ave</t>
  </si>
  <si>
    <t>5409 Almeda Ave</t>
  </si>
  <si>
    <t>167 Beach 60th St</t>
  </si>
  <si>
    <t>146 Beach 59th St</t>
  </si>
  <si>
    <t>112 Beach 59th St</t>
  </si>
  <si>
    <t>141 Beach 56th Pl</t>
  </si>
  <si>
    <t>2230 New Haven Ave</t>
  </si>
  <si>
    <t>1323 Mcbride St</t>
  </si>
  <si>
    <t>410a Beach 25th St</t>
  </si>
  <si>
    <t>2280 Jaydee Ct</t>
  </si>
  <si>
    <t>1359 Chandler St</t>
  </si>
  <si>
    <t>711C Seagirt Ave</t>
  </si>
  <si>
    <t>2229 Dix Ave</t>
  </si>
  <si>
    <t>2251 Dix Ave</t>
  </si>
  <si>
    <t>634 Grassmere Ter</t>
  </si>
  <si>
    <t>333 Beach 32nd St</t>
  </si>
  <si>
    <t>1420 Gateway Blvd</t>
  </si>
  <si>
    <t>482 Beach 44th St</t>
  </si>
  <si>
    <t>18723 Hillside Ave</t>
  </si>
  <si>
    <t>21471 Jamaica Ave</t>
  </si>
  <si>
    <t>8821 Vanderweer Street</t>
  </si>
  <si>
    <t>10049 198th St</t>
  </si>
  <si>
    <t>8912 183rd St</t>
  </si>
  <si>
    <t>8019 88th Ave</t>
  </si>
  <si>
    <t>9118 86th St</t>
  </si>
  <si>
    <t>12121 103rd Ave</t>
  </si>
  <si>
    <t>9719 Lefferts Blvd</t>
  </si>
  <si>
    <t>9037 Pitkin Ave</t>
  </si>
  <si>
    <t>9728 76th St</t>
  </si>
  <si>
    <t>6922 Caldwell Ave</t>
  </si>
  <si>
    <t>4516 49th st</t>
  </si>
  <si>
    <t>4135 53rd St</t>
  </si>
  <si>
    <t>5926 48th Ave</t>
  </si>
  <si>
    <t>6615 Wetherole St</t>
  </si>
  <si>
    <t>9416 34th Rd</t>
  </si>
  <si>
    <t>3238 83rd St</t>
  </si>
  <si>
    <t>10232 45th Ave</t>
  </si>
  <si>
    <t>9730 57th Ave</t>
  </si>
  <si>
    <t>15048 75th Ave</t>
  </si>
  <si>
    <t>16606 75th Ave</t>
  </si>
  <si>
    <t>3920 205th St</t>
  </si>
  <si>
    <t>1870 211th St</t>
  </si>
  <si>
    <t>4351 165th St</t>
  </si>
  <si>
    <t>4339 158th St</t>
  </si>
  <si>
    <t>3608 192nd St</t>
  </si>
  <si>
    <t>14444 41st Ave</t>
  </si>
  <si>
    <t>13234 41st Ave</t>
  </si>
  <si>
    <t>3216 137th St</t>
  </si>
  <si>
    <t>3415 Parsons Blvd</t>
  </si>
  <si>
    <t>1465 Geneva Loop</t>
  </si>
  <si>
    <t>435 Grand Ave</t>
  </si>
  <si>
    <t>425 Grand Ave</t>
  </si>
  <si>
    <t>90 Downing St</t>
  </si>
  <si>
    <t>284 Cooper St</t>
  </si>
  <si>
    <t>216 Rockaway Ave</t>
  </si>
  <si>
    <t>249 Thomas S Boyland St</t>
  </si>
  <si>
    <t>216 Rockaway ave</t>
  </si>
  <si>
    <t>395 Bainbridge St</t>
  </si>
  <si>
    <t>21 Truxton St</t>
  </si>
  <si>
    <t>2192 Dean St</t>
  </si>
  <si>
    <t>1841 Atlantic Ave</t>
  </si>
  <si>
    <t>383 Lewis Ave</t>
  </si>
  <si>
    <t>1360 Herkimer St</t>
  </si>
  <si>
    <t>2028 Bergen St</t>
  </si>
  <si>
    <t>68 Buffalo Ave</t>
  </si>
  <si>
    <t>2276 Atlantic Ave</t>
  </si>
  <si>
    <t>151 Rockaway Ave</t>
  </si>
  <si>
    <t>1875 Atlantic Ave</t>
  </si>
  <si>
    <t>412 Thomas S Boyland st</t>
  </si>
  <si>
    <t>179 Mother Gaston Blvd</t>
  </si>
  <si>
    <t>15 B Dwight Street</t>
  </si>
  <si>
    <t>217 Van Brunt St</t>
  </si>
  <si>
    <t>1212 Newkirk Ave</t>
  </si>
  <si>
    <t>1317 E 14th St</t>
  </si>
  <si>
    <t>2511 Newkirk Ave</t>
  </si>
  <si>
    <t>120 E 19th St</t>
  </si>
  <si>
    <t>46 Linden Blvd</t>
  </si>
  <si>
    <t>538 E 21st St</t>
  </si>
  <si>
    <t>2010 Newkirk Ave</t>
  </si>
  <si>
    <t>95 E 18th St</t>
  </si>
  <si>
    <t>2025 Regent Pl</t>
  </si>
  <si>
    <t>98 Linden Blvd</t>
  </si>
  <si>
    <t>585 E 21st St</t>
  </si>
  <si>
    <t>1901 Dorchester Rd</t>
  </si>
  <si>
    <t>115 Ocean Ave</t>
  </si>
  <si>
    <t>1030 Carroll St</t>
  </si>
  <si>
    <t>232 Stuyvesant Ave</t>
  </si>
  <si>
    <t>4600 9th Ave</t>
  </si>
  <si>
    <t>483 Pacific St</t>
  </si>
  <si>
    <t>117 16th St</t>
  </si>
  <si>
    <t>1392 Sterling Pl</t>
  </si>
  <si>
    <t>789 Saint Marks Ave</t>
  </si>
  <si>
    <t>82 Rockaway Pkwy</t>
  </si>
  <si>
    <t>446 E 98th St</t>
  </si>
  <si>
    <t>171 E 93rd St</t>
  </si>
  <si>
    <t>485 Herzl St</t>
  </si>
  <si>
    <t>405 Rockaway Pkwy</t>
  </si>
  <si>
    <t>180 Grafton St</t>
  </si>
  <si>
    <t>2425 Nostrand Ave</t>
  </si>
  <si>
    <t>1546 E 24th St</t>
  </si>
  <si>
    <t>1023 Hegeman Ave</t>
  </si>
  <si>
    <t>110 Highland Pl</t>
  </si>
  <si>
    <t>465 Elton St</t>
  </si>
  <si>
    <t>115 Atkins Ave</t>
  </si>
  <si>
    <t>604 Georgia Ave</t>
  </si>
  <si>
    <t>443 Miller Ave</t>
  </si>
  <si>
    <t>510 Riverdale Ave</t>
  </si>
  <si>
    <t>454 Bradford St</t>
  </si>
  <si>
    <t>272 Pennsylvania Ave</t>
  </si>
  <si>
    <t>109 Marcus Garvey Blvd</t>
  </si>
  <si>
    <t>100 Pulaski St</t>
  </si>
  <si>
    <t>721 Willoughby Ave</t>
  </si>
  <si>
    <t>927 Lenox Rd</t>
  </si>
  <si>
    <t>5421 Beverley Rd</t>
  </si>
  <si>
    <t>738 Albany Ave</t>
  </si>
  <si>
    <t>3611 12th St</t>
  </si>
  <si>
    <t>2804 44th St</t>
  </si>
  <si>
    <t>2526 44th St</t>
  </si>
  <si>
    <t>1435 26th Ave</t>
  </si>
  <si>
    <t>3056 30th St</t>
  </si>
  <si>
    <t>155 Borden Ave</t>
  </si>
  <si>
    <t>3613 Greenpoint Ave</t>
  </si>
  <si>
    <t>3714 32nd St</t>
  </si>
  <si>
    <t>4610 Crane St</t>
  </si>
  <si>
    <t>4474 21st St</t>
  </si>
  <si>
    <t>2719 44th Dr</t>
  </si>
  <si>
    <t>135 W Kingsbridge Rd</t>
  </si>
  <si>
    <t>50 W Gun Hill Rd</t>
  </si>
  <si>
    <t>2555 Boston Rd</t>
  </si>
  <si>
    <t>760 E 218th St</t>
  </si>
  <si>
    <t>2145 Matthews Ave</t>
  </si>
  <si>
    <t>3030 Middletown Rd</t>
  </si>
  <si>
    <t>1472 Beach Ave</t>
  </si>
  <si>
    <t>2111 Southern Blvd</t>
  </si>
  <si>
    <t>1937 Daly Ave</t>
  </si>
  <si>
    <t>803 E 182nd St</t>
  </si>
  <si>
    <t>1520 Leland Ave</t>
  </si>
  <si>
    <t>870 Southern Blvd</t>
  </si>
  <si>
    <t>952 Aldus St</t>
  </si>
  <si>
    <t>2543 Decatur Ave</t>
  </si>
  <si>
    <t>1515 Selwyn Ave</t>
  </si>
  <si>
    <t>1475 Sheridan Ave</t>
  </si>
  <si>
    <t>2070 Ryer Ave</t>
  </si>
  <si>
    <t>1560 Grand Concourse</t>
  </si>
  <si>
    <t>810 E 152nd St</t>
  </si>
  <si>
    <t>1940 Andrews Ave S</t>
  </si>
  <si>
    <t>1777 Grand Concourse</t>
  </si>
  <si>
    <t>2001 Morris Ave</t>
  </si>
  <si>
    <t>228 W Tremont Ave</t>
  </si>
  <si>
    <t>2078 Morris Ave</t>
  </si>
  <si>
    <t>1775 Davidson Ave</t>
  </si>
  <si>
    <t>1628 Macombs Rd</t>
  </si>
  <si>
    <t>1678 Nelson Ave</t>
  </si>
  <si>
    <t>20 Richman Plz</t>
  </si>
  <si>
    <t>1669 Grand Ave</t>
  </si>
  <si>
    <t>1632 Undercliff Ave</t>
  </si>
  <si>
    <t>1765 Townsend Ave</t>
  </si>
  <si>
    <t>1505 Macombs Rd</t>
  </si>
  <si>
    <t>1075 Grand Concourse</t>
  </si>
  <si>
    <t>1555 Grand Concourse</t>
  </si>
  <si>
    <t>1220 Shakespeare Ave</t>
  </si>
  <si>
    <t>1307 Edward L grant hwy</t>
  </si>
  <si>
    <t>1080 Anderson Ave</t>
  </si>
  <si>
    <t>1230 Woodycrest Ave</t>
  </si>
  <si>
    <t>751 Walton Ave</t>
  </si>
  <si>
    <t>255 E.138 Street</t>
  </si>
  <si>
    <t>35 Cheryl Ave</t>
  </si>
  <si>
    <t>90 N Railroad Ave</t>
  </si>
  <si>
    <t>7 Navy Pier Ct</t>
  </si>
  <si>
    <t>506 Mosel Ave</t>
  </si>
  <si>
    <t>16 Vanderbilt Ave</t>
  </si>
  <si>
    <t>225 Park Hill Ave</t>
  </si>
  <si>
    <t>15 Mary St</t>
  </si>
  <si>
    <t>55 Austin Pl</t>
  </si>
  <si>
    <t>160 Park Hill Ave</t>
  </si>
  <si>
    <t>195 Steuben St</t>
  </si>
  <si>
    <t>274 Maple Pkwy</t>
  </si>
  <si>
    <t>258 Corson Ave</t>
  </si>
  <si>
    <t>165 Saint Marks Pl</t>
  </si>
  <si>
    <t>25 Henderson Ave</t>
  </si>
  <si>
    <t>34 Monroe Ave</t>
  </si>
  <si>
    <t>127 Corson Ave</t>
  </si>
  <si>
    <t>235 Jersey St</t>
  </si>
  <si>
    <t>198 Victory Blvd</t>
  </si>
  <si>
    <t>388 Richmond Ter</t>
  </si>
  <si>
    <t>115 Stuyvesant Pl</t>
  </si>
  <si>
    <t>2 Hendricks Ave</t>
  </si>
  <si>
    <t>516 Howard Ave</t>
  </si>
  <si>
    <t>1 Sickles St</t>
  </si>
  <si>
    <t>620 W 190th St</t>
  </si>
  <si>
    <t>2301 5th Ave</t>
  </si>
  <si>
    <t>58 E 117th St</t>
  </si>
  <si>
    <t>5025 Broadway</t>
  </si>
  <si>
    <t>41 Park Ter W</t>
  </si>
  <si>
    <t>251 Sherman Ave</t>
  </si>
  <si>
    <t>506 W 178th St</t>
  </si>
  <si>
    <t>260 Audubon Ave</t>
  </si>
  <si>
    <t>600 W 183rd St</t>
  </si>
  <si>
    <t>615 W 186th St</t>
  </si>
  <si>
    <t>353 Fort Washington Ave</t>
  </si>
  <si>
    <t>539 W 179th St</t>
  </si>
  <si>
    <t>563 West 184th Street</t>
  </si>
  <si>
    <t>555 Edgecombe Ave</t>
  </si>
  <si>
    <t>100 Fort Washington Ave</t>
  </si>
  <si>
    <t>1090 Saint Nicholas Ave</t>
  </si>
  <si>
    <t>124 Fort Washington Ave</t>
  </si>
  <si>
    <t>523 W 162nd St</t>
  </si>
  <si>
    <t>565 W 162nd St</t>
  </si>
  <si>
    <t>47 Fort Washington Ave</t>
  </si>
  <si>
    <t>502 W 151st St</t>
  </si>
  <si>
    <t>1325 5th Ave</t>
  </si>
  <si>
    <t>1873 2nd Ave</t>
  </si>
  <si>
    <t>107 E 100th St</t>
  </si>
  <si>
    <t>91 E 116th St</t>
  </si>
  <si>
    <t>1575 Lexington Ave</t>
  </si>
  <si>
    <t>4 W 121st St</t>
  </si>
  <si>
    <t>666 W End Ave</t>
  </si>
  <si>
    <t>155 W 81st St</t>
  </si>
  <si>
    <t>1410 York Ave</t>
  </si>
  <si>
    <t>99 Pine St</t>
  </si>
  <si>
    <t>315 Pulaski St</t>
  </si>
  <si>
    <t>918 E 226th St</t>
  </si>
  <si>
    <t>326 Grafton St</t>
  </si>
  <si>
    <t>1211 Southern Blvd</t>
  </si>
  <si>
    <t>220 W 167th St</t>
  </si>
  <si>
    <t>1350 Park Pl</t>
  </si>
  <si>
    <t>739 Coster St</t>
  </si>
  <si>
    <t>123 Vermilyea Ave</t>
  </si>
  <si>
    <t>611 Flatbush Ave</t>
  </si>
  <si>
    <t>312 Court St</t>
  </si>
  <si>
    <t>464 Howard Ave</t>
  </si>
  <si>
    <t>2771 Marion Avenue</t>
  </si>
  <si>
    <t>858 Beck St</t>
  </si>
  <si>
    <t>25 Lafayette Ave</t>
  </si>
  <si>
    <t>1995 Morris Ave</t>
  </si>
  <si>
    <t>1070 Fox St</t>
  </si>
  <si>
    <t>675 Lincoln Ave</t>
  </si>
  <si>
    <t>1355 New York Ave</t>
  </si>
  <si>
    <t>2075 2nd Ave</t>
  </si>
  <si>
    <t>209 E 165th St</t>
  </si>
  <si>
    <t>325 E 194th St</t>
  </si>
  <si>
    <t>1192 Ocean Ave</t>
  </si>
  <si>
    <t>51 E 129th St # 55</t>
  </si>
  <si>
    <t>15 Taxter Pl</t>
  </si>
  <si>
    <t>124 Sherman Ave</t>
  </si>
  <si>
    <t>380 Schenck Ave</t>
  </si>
  <si>
    <t>1812 Palisade Pl</t>
  </si>
  <si>
    <t>521 W 186th St</t>
  </si>
  <si>
    <t>588 Decatur St</t>
  </si>
  <si>
    <t>1663 Garfield St</t>
  </si>
  <si>
    <t>426 E 118th st</t>
  </si>
  <si>
    <t>430 Saratoga Ave</t>
  </si>
  <si>
    <t>1847 Univ Ave</t>
  </si>
  <si>
    <t>19 Hill St</t>
  </si>
  <si>
    <t>1415 Mott Ave</t>
  </si>
  <si>
    <t>1030 Winthrop St</t>
  </si>
  <si>
    <t>111 Piave Ave</t>
  </si>
  <si>
    <t>185 E 92nd St</t>
  </si>
  <si>
    <t>3534 Bronx Blvd</t>
  </si>
  <si>
    <t>2237 Dix Ave</t>
  </si>
  <si>
    <t>40 Sharrotts Ln</t>
  </si>
  <si>
    <t>771 Herkimer St</t>
  </si>
  <si>
    <t>112 W 144th St</t>
  </si>
  <si>
    <t>112 W 138th St</t>
  </si>
  <si>
    <t>489 Lincoln Ave</t>
  </si>
  <si>
    <t>101-125 W 147th St</t>
  </si>
  <si>
    <t>1631 Saint Marks Ave</t>
  </si>
  <si>
    <t>651 Elton St</t>
  </si>
  <si>
    <t>100 E 118th St</t>
  </si>
  <si>
    <t>547 W 160th St</t>
  </si>
  <si>
    <t>229 Seaman Ave</t>
  </si>
  <si>
    <t>3215 34th St</t>
  </si>
  <si>
    <t>941 Rogers Pl</t>
  </si>
  <si>
    <t>251 Mother Gaston Blvd</t>
  </si>
  <si>
    <t>101 W 165th St</t>
  </si>
  <si>
    <t>1170 Walton Ave</t>
  </si>
  <si>
    <t>2 Elton St</t>
  </si>
  <si>
    <t>487 Herzl St</t>
  </si>
  <si>
    <t>148 Bismark Ave</t>
  </si>
  <si>
    <t>22129 90th Ave</t>
  </si>
  <si>
    <t>737 Liberty Ave</t>
  </si>
  <si>
    <t>1230 woodycrest Ave</t>
  </si>
  <si>
    <t>178 Riverdale Ave</t>
  </si>
  <si>
    <t>1320 Eastern Pkwy</t>
  </si>
  <si>
    <t>1326 Clay Ave</t>
  </si>
  <si>
    <t>980 Aldus St</t>
  </si>
  <si>
    <t>1415 Bristow St</t>
  </si>
  <si>
    <t>9405 133rd St</t>
  </si>
  <si>
    <t>117 Sherman Ave</t>
  </si>
  <si>
    <t>381 Sumpter St</t>
  </si>
  <si>
    <t>1035 Anderson Ave</t>
  </si>
  <si>
    <t>198 Clarkson Ave</t>
  </si>
  <si>
    <t>301 Grant Ave</t>
  </si>
  <si>
    <t>215 E 164th St</t>
  </si>
  <si>
    <t>1581 Fulton Ave</t>
  </si>
  <si>
    <t>15516 Cherry Ave</t>
  </si>
  <si>
    <t>14220 Franklin Ave</t>
  </si>
  <si>
    <t>3620 Parsons Blvd</t>
  </si>
  <si>
    <t>1307 Merriam Ave</t>
  </si>
  <si>
    <t>413 E 114th St</t>
  </si>
  <si>
    <t>241 Sherman Ave</t>
  </si>
  <si>
    <t>7215 41st Ave</t>
  </si>
  <si>
    <t>139 Father Capodanno Blvd</t>
  </si>
  <si>
    <t>1819 Weeks Ave</t>
  </si>
  <si>
    <t>47 Montauk Ave</t>
  </si>
  <si>
    <t>421 E 94th St</t>
  </si>
  <si>
    <t>371 Etna St</t>
  </si>
  <si>
    <t>191 Orchard St</t>
  </si>
  <si>
    <t>558 Riverdale Ave</t>
  </si>
  <si>
    <t>2591 Pitkin Ave</t>
  </si>
  <si>
    <t>540 W 145th St</t>
  </si>
  <si>
    <t>40 W Mosholu Pkwy S</t>
  </si>
  <si>
    <t>563 W 191st St</t>
  </si>
  <si>
    <t>707 Miller Ave</t>
  </si>
  <si>
    <t>202 Walker St</t>
  </si>
  <si>
    <t>448 Beach 48th St</t>
  </si>
  <si>
    <t>8858 76th St</t>
  </si>
  <si>
    <t>12399 Flatlands Ave</t>
  </si>
  <si>
    <t>830 Fox St</t>
  </si>
  <si>
    <t>545 Edgecombe Ave</t>
  </si>
  <si>
    <t>14545 222nd St</t>
  </si>
  <si>
    <t>30 Ebbitts St</t>
  </si>
  <si>
    <t>293 Mac Dougal St</t>
  </si>
  <si>
    <t>1932 Strauss St</t>
  </si>
  <si>
    <t>14217 130th Ave</t>
  </si>
  <si>
    <t>323 Rose Ave</t>
  </si>
  <si>
    <t>4110 Bowne St</t>
  </si>
  <si>
    <t>380 E 18th St</t>
  </si>
  <si>
    <t>150 Jumel St</t>
  </si>
  <si>
    <t>1920 Union St</t>
  </si>
  <si>
    <t>490 Lincoln Ave</t>
  </si>
  <si>
    <t>908 Thomas S Boyland St</t>
  </si>
  <si>
    <t>79 Milford St</t>
  </si>
  <si>
    <t>336 Fort Washington Ave</t>
  </si>
  <si>
    <t>1162 Sheridan Ave</t>
  </si>
  <si>
    <t>495 Pine St</t>
  </si>
  <si>
    <t>139 Beach 26th St</t>
  </si>
  <si>
    <t>805 Fairmount Pl</t>
  </si>
  <si>
    <t>990 Anderson Ave</t>
  </si>
  <si>
    <t>1384 Mcbride St</t>
  </si>
  <si>
    <t>1495 Grand Concourse</t>
  </si>
  <si>
    <t>3856 10th Ave</t>
  </si>
  <si>
    <t>129 Westend Ave</t>
  </si>
  <si>
    <t>670 Sheffield Ave</t>
  </si>
  <si>
    <t>1398 Pitkin Ave</t>
  </si>
  <si>
    <t>6560 Booth St</t>
  </si>
  <si>
    <t>1505 Grand Concourse</t>
  </si>
  <si>
    <t>125 Mount Hope Pl</t>
  </si>
  <si>
    <t>409 W 127th St</t>
  </si>
  <si>
    <t>878 Euclid Ave</t>
  </si>
  <si>
    <t>133 Beach 56th Pl</t>
  </si>
  <si>
    <t>125 Beach 17th St</t>
  </si>
  <si>
    <t>369 Milford St</t>
  </si>
  <si>
    <t>2211 New Haven Ave</t>
  </si>
  <si>
    <t>2095 Mohegan Ave</t>
  </si>
  <si>
    <t>2 E 128th St</t>
  </si>
  <si>
    <t>331 E 109th St</t>
  </si>
  <si>
    <t>115 E 116th St</t>
  </si>
  <si>
    <t>14939 88th St</t>
  </si>
  <si>
    <t>61 Macdougal St</t>
  </si>
  <si>
    <t>972 Eastern Pkwy</t>
  </si>
  <si>
    <t>2170 Atlantic Ave</t>
  </si>
  <si>
    <t>722 Van Siclen Ave</t>
  </si>
  <si>
    <t>655 Warwick St</t>
  </si>
  <si>
    <t>211 E 54th St</t>
  </si>
  <si>
    <t>3121 Ditmars Blvd</t>
  </si>
  <si>
    <t>1405 5th Ave</t>
  </si>
  <si>
    <t>165 W 169th St</t>
  </si>
  <si>
    <t>1346 Dickens St</t>
  </si>
  <si>
    <t>22907 56th Ave</t>
  </si>
  <si>
    <t>2080 1st Ave</t>
  </si>
  <si>
    <t>128 Beach 26th St</t>
  </si>
  <si>
    <t>217 E 120th St</t>
  </si>
  <si>
    <t>1733 Univ Ave</t>
  </si>
  <si>
    <t>1001 University Ave</t>
  </si>
  <si>
    <t>50 W 139th St</t>
  </si>
  <si>
    <t>855 E 19th St</t>
  </si>
  <si>
    <t>91 Broad St</t>
  </si>
  <si>
    <t>145 Elmira Loop</t>
  </si>
  <si>
    <t>125 Seaman Ave</t>
  </si>
  <si>
    <t>410 Eastern Pkwy</t>
  </si>
  <si>
    <t>2245 Dix Ave</t>
  </si>
  <si>
    <t>1715 Walton Ave</t>
  </si>
  <si>
    <t>1964 1st Ave</t>
  </si>
  <si>
    <t>35 E 106th St</t>
  </si>
  <si>
    <t>354 E 54th St</t>
  </si>
  <si>
    <t>1545 Saint Marks Ave</t>
  </si>
  <si>
    <t>1457 Leland Ave</t>
  </si>
  <si>
    <t>220 Osgood Ave</t>
  </si>
  <si>
    <t>11539 135th St</t>
  </si>
  <si>
    <t>18709 Linden Blvd</t>
  </si>
  <si>
    <t>568 Cleveland St</t>
  </si>
  <si>
    <t>20 Vandalia Ave</t>
  </si>
  <si>
    <t>902 Drew st</t>
  </si>
  <si>
    <t>1860 Billingsley Ter</t>
  </si>
  <si>
    <t>165 Seaman Ave</t>
  </si>
  <si>
    <t>531 W 145th St</t>
  </si>
  <si>
    <t>640 Beach 69th St</t>
  </si>
  <si>
    <t>228a Jersey St</t>
  </si>
  <si>
    <t>7002 Parsons Blvd</t>
  </si>
  <si>
    <t>631 E 220th St</t>
  </si>
  <si>
    <t>812 E 227th St</t>
  </si>
  <si>
    <t>279 Van Siclen Ave</t>
  </si>
  <si>
    <t>30 Richman Plz</t>
  </si>
  <si>
    <t>2155 Morris Ave</t>
  </si>
  <si>
    <t>3546 65th St</t>
  </si>
  <si>
    <t>690 Macon St</t>
  </si>
  <si>
    <t>765 Lincoln Ave</t>
  </si>
  <si>
    <t>645 Prospect Ave</t>
  </si>
  <si>
    <t>364 W 18th St</t>
  </si>
  <si>
    <t>556 Thomas S Boyland St</t>
  </si>
  <si>
    <t>148 Marcus Garvey Blvd</t>
  </si>
  <si>
    <t>248 Audubon Ave</t>
  </si>
  <si>
    <t>6822 Fleet St</t>
  </si>
  <si>
    <t>1065 Jerome Ave # 81</t>
  </si>
  <si>
    <t>16 Sandra Ln</t>
  </si>
  <si>
    <t>5057 Broadway</t>
  </si>
  <si>
    <t>60 Hamilton Ave</t>
  </si>
  <si>
    <t>8435 Lander St</t>
  </si>
  <si>
    <t>378 Throop Ave</t>
  </si>
  <si>
    <t>1770 Davidson Ave</t>
  </si>
  <si>
    <t>4865 Broadway</t>
  </si>
  <si>
    <t>9503 Cresskill Pl</t>
  </si>
  <si>
    <t>2181 Strauss St</t>
  </si>
  <si>
    <t>2277 Andrews Ave</t>
  </si>
  <si>
    <t>453 E 117th St</t>
  </si>
  <si>
    <t>3519 161st St</t>
  </si>
  <si>
    <t>217 Hamilton Ave</t>
  </si>
  <si>
    <t>200 Nagle Ave</t>
  </si>
  <si>
    <t>10925 Merrick Blvd</t>
  </si>
  <si>
    <t>2253 Loring Pl N</t>
  </si>
  <si>
    <t>723 Hancock St</t>
  </si>
  <si>
    <t>1361 Pinson St</t>
  </si>
  <si>
    <t>2018 Monterey Ave</t>
  </si>
  <si>
    <t>1140 Woodycrest Ave</t>
  </si>
  <si>
    <t>185 Park Hill Ave</t>
  </si>
  <si>
    <t>700 Ocean Ave</t>
  </si>
  <si>
    <t>291 Bainbridge St</t>
  </si>
  <si>
    <t>288 Pelton Ave</t>
  </si>
  <si>
    <t>437 Wyona St</t>
  </si>
  <si>
    <t>555 Bradford St</t>
  </si>
  <si>
    <t>922 Broadway</t>
  </si>
  <si>
    <t>1350 University Ave</t>
  </si>
  <si>
    <t>231 Sherman Ave</t>
  </si>
  <si>
    <t>14518 34th Ave</t>
  </si>
  <si>
    <t>501 W 184th St</t>
  </si>
  <si>
    <t>10204 89th St</t>
  </si>
  <si>
    <t>1954 1st Ave</t>
  </si>
  <si>
    <t>327 Franklin Ave</t>
  </si>
  <si>
    <t>711 Macon St</t>
  </si>
  <si>
    <t>1075 Kelly St</t>
  </si>
  <si>
    <t>335 E 115th St # 7</t>
  </si>
  <si>
    <t>700 W 175th St</t>
  </si>
  <si>
    <t>1920 Osbourne Pl</t>
  </si>
  <si>
    <t>521 W 185th St</t>
  </si>
  <si>
    <t>2226 Loring Pl N</t>
  </si>
  <si>
    <t>132 Scribner Ave</t>
  </si>
  <si>
    <t>120 Sherman Ave</t>
  </si>
  <si>
    <t>960 Grand Concourse</t>
  </si>
  <si>
    <t>71 Thompson St</t>
  </si>
  <si>
    <t>385 Prospect Ave</t>
  </si>
  <si>
    <t>34 Layton Ave</t>
  </si>
  <si>
    <t>8 W 169th St</t>
  </si>
  <si>
    <t>763 Eastern Pkwy</t>
  </si>
  <si>
    <t>600 W 161st St</t>
  </si>
  <si>
    <t>1293 E New York Ave</t>
  </si>
  <si>
    <t>511 Bradford St</t>
  </si>
  <si>
    <t>1664 Davidson Ave</t>
  </si>
  <si>
    <t>1120 Bryant Ave</t>
  </si>
  <si>
    <t>90 Laurel Hill Ter</t>
  </si>
  <si>
    <t>593 Flushing Ave</t>
  </si>
  <si>
    <t>2701 Grand Concourse</t>
  </si>
  <si>
    <t>2540 23rd St</t>
  </si>
  <si>
    <t>10420 68th Dr</t>
  </si>
  <si>
    <t>48 Post Ave</t>
  </si>
  <si>
    <t>18 Jabcobus Place</t>
  </si>
  <si>
    <t>1336 Herkimer St</t>
  </si>
  <si>
    <t>5 Minerva Pl</t>
  </si>
  <si>
    <t>1933 Union St</t>
  </si>
  <si>
    <t>2267 2nd Ave</t>
  </si>
  <si>
    <t>350 Vanderbilt Ave</t>
  </si>
  <si>
    <t>1575 E New York Ave</t>
  </si>
  <si>
    <t>666 W 188th St</t>
  </si>
  <si>
    <t>121 Sherman Ave</t>
  </si>
  <si>
    <t>4049 167th St</t>
  </si>
  <si>
    <t>135 Roff St</t>
  </si>
  <si>
    <t>99 Marble Hill Ave</t>
  </si>
  <si>
    <t>520 Tinton Ave</t>
  </si>
  <si>
    <t>7414 Rockaway Blvd</t>
  </si>
  <si>
    <t>38 6th Ave</t>
  </si>
  <si>
    <t>10 Post Ave</t>
  </si>
  <si>
    <t>2932 Beach Channel Dr</t>
  </si>
  <si>
    <t>461 Milford St</t>
  </si>
  <si>
    <t>10 Richman Plz</t>
  </si>
  <si>
    <t>148 Corson Ave</t>
  </si>
  <si>
    <t>382 Beach 25th St</t>
  </si>
  <si>
    <t>161 Boerum St</t>
  </si>
  <si>
    <t>835 Home St</t>
  </si>
  <si>
    <t>1705 Zerega Ave</t>
  </si>
  <si>
    <t>125 W 168th St</t>
  </si>
  <si>
    <t>1844 Stuart St</t>
  </si>
  <si>
    <t>232 Schenectady Ave</t>
  </si>
  <si>
    <t>392 Rockaway Pkwy</t>
  </si>
  <si>
    <t>1082 Southern Blvd</t>
  </si>
  <si>
    <t>749 Lafayette Ave</t>
  </si>
  <si>
    <t>141 Park Hill Ave</t>
  </si>
  <si>
    <t>1212 Grand Concourse</t>
  </si>
  <si>
    <t>19 Cooper St</t>
  </si>
  <si>
    <t>315 E 102nd St</t>
  </si>
  <si>
    <t>71 Pilling St</t>
  </si>
  <si>
    <t>1490 Hornell Loop</t>
  </si>
  <si>
    <t>4 Hardy St</t>
  </si>
  <si>
    <t>23 Arden St</t>
  </si>
  <si>
    <t>1372 Shakespeare Ave</t>
  </si>
  <si>
    <t>11555 208th St</t>
  </si>
  <si>
    <t>1111 Gerard Ave</t>
  </si>
  <si>
    <t>2168 Fulton St</t>
  </si>
  <si>
    <t>1405 Townsend Ave</t>
  </si>
  <si>
    <t>385 Lewis Ave</t>
  </si>
  <si>
    <t>250 E 105th St</t>
  </si>
  <si>
    <t>5085 Broadway</t>
  </si>
  <si>
    <t>504 Thatford Ave</t>
  </si>
  <si>
    <t>1500 Hoe Ave</t>
  </si>
  <si>
    <t>34 Post Ave</t>
  </si>
  <si>
    <t>12001 142nd St</t>
  </si>
  <si>
    <t>207 Schaefer st</t>
  </si>
  <si>
    <t>1262 Lafayette Ave</t>
  </si>
  <si>
    <t>109 Post Ave</t>
  </si>
  <si>
    <t>655 W 160th St</t>
  </si>
  <si>
    <t>1144 Simpson St</t>
  </si>
  <si>
    <t>1815 Grand Concourse</t>
  </si>
  <si>
    <t>500 W 30th Street</t>
  </si>
  <si>
    <t>1777 Madison Ave</t>
  </si>
  <si>
    <t>106 Gerry St</t>
  </si>
  <si>
    <t>55 Raritan Ave</t>
  </si>
  <si>
    <t>416 E 187th St</t>
  </si>
  <si>
    <t>578 Academy St</t>
  </si>
  <si>
    <t>12 E 177th St</t>
  </si>
  <si>
    <t>3019 Bessemund Ave</t>
  </si>
  <si>
    <t>1432 Pacific St</t>
  </si>
  <si>
    <t>643 Central Ave</t>
  </si>
  <si>
    <t>1129 Vyse Ave</t>
  </si>
  <si>
    <t>2131 Clinton Ave</t>
  </si>
  <si>
    <t>19r Fairway Ave</t>
  </si>
  <si>
    <t>667 W 161st St</t>
  </si>
  <si>
    <t>19 E 109th St</t>
  </si>
  <si>
    <t>141 Watkins st</t>
  </si>
  <si>
    <t>95 Seaman Ave</t>
  </si>
  <si>
    <t>901 Franklin Ave</t>
  </si>
  <si>
    <t>1050 Soundview Ave</t>
  </si>
  <si>
    <t>1175 Gerard Ave</t>
  </si>
  <si>
    <t>10242 63rd Rd</t>
  </si>
  <si>
    <t>18805 Linden Blvd</t>
  </si>
  <si>
    <t>1781 Riverside Dr</t>
  </si>
  <si>
    <t>166 W 118th St</t>
  </si>
  <si>
    <t>395 Auduban Avenue</t>
  </si>
  <si>
    <t>226 E 203rd St</t>
  </si>
  <si>
    <t>3420 78TH St</t>
  </si>
  <si>
    <t>1380 Univeristy Aveune</t>
  </si>
  <si>
    <t>1326 Grand Concourse</t>
  </si>
  <si>
    <t>555 W 173rd St</t>
  </si>
  <si>
    <t>252 Sherman Ave</t>
  </si>
  <si>
    <t>1892 Morris Ave</t>
  </si>
  <si>
    <t>180 E 18th St</t>
  </si>
  <si>
    <t>408 E 154th St</t>
  </si>
  <si>
    <t>987 Hegeman Ave</t>
  </si>
  <si>
    <t>110 Rochester Ave</t>
  </si>
  <si>
    <t>830 Beck St</t>
  </si>
  <si>
    <t>574 W 176th St</t>
  </si>
  <si>
    <t>159 Bay 34th St</t>
  </si>
  <si>
    <t>24115 86th Ave</t>
  </si>
  <si>
    <t>8907 139th St</t>
  </si>
  <si>
    <t>35 Covert St</t>
  </si>
  <si>
    <t>693 Flatbush Ave</t>
  </si>
  <si>
    <t>18501 Hilburn Ave</t>
  </si>
  <si>
    <t>3551 95th St</t>
  </si>
  <si>
    <t>915 Kelly St</t>
  </si>
  <si>
    <t>2028 Morris Ave</t>
  </si>
  <si>
    <t>2734 Claflin Ave</t>
  </si>
  <si>
    <t>535 E 142nd St</t>
  </si>
  <si>
    <t>9213 76th St</t>
  </si>
  <si>
    <t>1466 Beach Ave</t>
  </si>
  <si>
    <t>712 Macon St</t>
  </si>
  <si>
    <t>1889 sedgwick ave</t>
  </si>
  <si>
    <t>2080 Lafontaine Ave</t>
  </si>
  <si>
    <t>3971 Gouverneur Ave</t>
  </si>
  <si>
    <t>260 Park Hill Ave</t>
  </si>
  <si>
    <t>1600 Sedgwick Ave</t>
  </si>
  <si>
    <t>202 Lott Ave</t>
  </si>
  <si>
    <t>13740 45th Ave</t>
  </si>
  <si>
    <t>4135 149th St</t>
  </si>
  <si>
    <t>1264 Sheridan Ave</t>
  </si>
  <si>
    <t>957 Aldus St</t>
  </si>
  <si>
    <t>1254 Decatur St</t>
  </si>
  <si>
    <t>1338 Manor Ave</t>
  </si>
  <si>
    <t>119 Vermilyea Ave</t>
  </si>
  <si>
    <t>860 Riverside Dr</t>
  </si>
  <si>
    <t>545 Bradford St</t>
  </si>
  <si>
    <t>65 Seaman Ave</t>
  </si>
  <si>
    <t>14430 Roosevelt Ave</t>
  </si>
  <si>
    <t>1460 Grand Concourse</t>
  </si>
  <si>
    <t>602 44th St</t>
  </si>
  <si>
    <t>211 W 101st St</t>
  </si>
  <si>
    <t>12 Bangor St</t>
  </si>
  <si>
    <t>8049 88th Rd</t>
  </si>
  <si>
    <t>509 W 212th St</t>
  </si>
  <si>
    <t>10721 Jamaica Ave</t>
  </si>
  <si>
    <t>424 Britton Ave</t>
  </si>
  <si>
    <t>1454 Grand Concourse</t>
  </si>
  <si>
    <t>324 Beach 63rd Ar</t>
  </si>
  <si>
    <t>333 Ovington Ave</t>
  </si>
  <si>
    <t>2518 Seagirt Ave</t>
  </si>
  <si>
    <t>1717 Vyse Ave</t>
  </si>
  <si>
    <t>1743 Davidson Ave</t>
  </si>
  <si>
    <t>161 E 96th St</t>
  </si>
  <si>
    <t>38 Post Ave</t>
  </si>
  <si>
    <t>1985 Webster Ave</t>
  </si>
  <si>
    <t>8050 Baxter Ave</t>
  </si>
  <si>
    <t>144-30 Rooselvelt Ave</t>
  </si>
  <si>
    <t>535 W 151st St</t>
  </si>
  <si>
    <t>1417 Wythe Pl</t>
  </si>
  <si>
    <t>145 W Kingsbridge Rd</t>
  </si>
  <si>
    <t>1306 Chisholm St</t>
  </si>
  <si>
    <t>1515 Macombs Rd</t>
  </si>
  <si>
    <t>355 E 187th St</t>
  </si>
  <si>
    <t>554 W 181st St</t>
  </si>
  <si>
    <t>3542 Holland Ave</t>
  </si>
  <si>
    <t>940 Fox St</t>
  </si>
  <si>
    <t>1652 Popham Ave</t>
  </si>
  <si>
    <t>8645 Saint James Ave</t>
  </si>
  <si>
    <t>27 Granite St</t>
  </si>
  <si>
    <t>333 Beach 67th St</t>
  </si>
  <si>
    <t>89-95 Seaman Avenue</t>
  </si>
  <si>
    <t>135 Essex St</t>
  </si>
  <si>
    <t>731 New Jersey Ave</t>
  </si>
  <si>
    <t>2325 Cambreleng Ave</t>
  </si>
  <si>
    <t>385 Chestnut St</t>
  </si>
  <si>
    <t>152 Marcus Garvey Blvd</t>
  </si>
  <si>
    <t>396 Saratoga Ave</t>
  </si>
  <si>
    <t>350 Pennsylvania Ave</t>
  </si>
  <si>
    <t>248 Sherman Ave</t>
  </si>
  <si>
    <t>1301 Hoe Ave</t>
  </si>
  <si>
    <t>21005 43rd Ave</t>
  </si>
  <si>
    <t>75 Piedmont Ave</t>
  </si>
  <si>
    <t>1005 Jerome Ave</t>
  </si>
  <si>
    <t>2026 Seagirt Blvd</t>
  </si>
  <si>
    <t>2073 davidson ave</t>
  </si>
  <si>
    <t>1085 Walton ave</t>
  </si>
  <si>
    <t>109 E 59th St</t>
  </si>
  <si>
    <t>178 Rockaway Pkwy</t>
  </si>
  <si>
    <t>135 Chrystie St</t>
  </si>
  <si>
    <t>356 Sumpter St</t>
  </si>
  <si>
    <t>811 Saint Johns Pl</t>
  </si>
  <si>
    <t>362 Darlington Ave</t>
  </si>
  <si>
    <t>109 Laurel Ave</t>
  </si>
  <si>
    <t>2301 1st Ave</t>
  </si>
  <si>
    <t>249 Harman St</t>
  </si>
  <si>
    <t>309 E 110th St</t>
  </si>
  <si>
    <t>40 Richman Plz</t>
  </si>
  <si>
    <t>271 Hawthorne St</t>
  </si>
  <si>
    <t>2324 Beach Channel Dr</t>
  </si>
  <si>
    <t>1223 white plains rd</t>
  </si>
  <si>
    <t>1624 Madison Ave</t>
  </si>
  <si>
    <t>1100 W Farms Rd</t>
  </si>
  <si>
    <t>14011 Ash Ave</t>
  </si>
  <si>
    <t>873 Intervale Ave</t>
  </si>
  <si>
    <t>945 E 163rd St</t>
  </si>
  <si>
    <t>2107 East 137th Street</t>
  </si>
  <si>
    <t>115 Hamilton Pl</t>
  </si>
  <si>
    <t>458 Ruby St</t>
  </si>
  <si>
    <t>36 Bedford Park Blvd E</t>
  </si>
  <si>
    <t>372 E 167th St</t>
  </si>
  <si>
    <t>10649 Princeton St</t>
  </si>
  <si>
    <t>14725 88th Ave</t>
  </si>
  <si>
    <t>500 Bristol St</t>
  </si>
  <si>
    <t>2201 Norton Ave</t>
  </si>
  <si>
    <t>185 Saint Marks Pl</t>
  </si>
  <si>
    <t>220 W 149th St</t>
  </si>
  <si>
    <t>249 Thomas S Boyland st</t>
  </si>
  <si>
    <t>247 Audubon Ave</t>
  </si>
  <si>
    <t>1015 Bay 31st St</t>
  </si>
  <si>
    <t>701 W 179th St</t>
  </si>
  <si>
    <t>2115 Honeywell Ave</t>
  </si>
  <si>
    <t>3650 Bronx Blvd</t>
  </si>
  <si>
    <t>23210 Hillside Ave</t>
  </si>
  <si>
    <t>116 Riverdale Ave</t>
  </si>
  <si>
    <t>1215 Grand Concourse</t>
  </si>
  <si>
    <t>21 Saint Pauls Ct</t>
  </si>
  <si>
    <t>2999 8th Ave</t>
  </si>
  <si>
    <t>2130 1st Ave</t>
  </si>
  <si>
    <t>282 E 35th St</t>
  </si>
  <si>
    <t>11 E 107th St</t>
  </si>
  <si>
    <t>1410 New Haven Ave</t>
  </si>
  <si>
    <t>549 Isham St</t>
  </si>
  <si>
    <t>2180 Grand Concourse</t>
  </si>
  <si>
    <t>711D Seagirt Ave</t>
  </si>
  <si>
    <t>2610 18th St</t>
  </si>
  <si>
    <t>15 E Clarke Pl</t>
  </si>
  <si>
    <t>558 W 164th St</t>
  </si>
  <si>
    <t>12911 Jamaica Ave</t>
  </si>
  <si>
    <t>607 Flatbush Ave</t>
  </si>
  <si>
    <t>1975 Davidson Ave</t>
  </si>
  <si>
    <t>126B Hendricks Ave</t>
  </si>
  <si>
    <t>2679 Decatur Ave</t>
  </si>
  <si>
    <t>1300 Richmond Ave</t>
  </si>
  <si>
    <t>5715 Shore Front Pkwy</t>
  </si>
  <si>
    <t>10 Kimberly Ln</t>
  </si>
  <si>
    <t>800 Hancock St</t>
  </si>
  <si>
    <t>399 Kosciuszko St</t>
  </si>
  <si>
    <t>327 43rd St</t>
  </si>
  <si>
    <t>207 Park Pl</t>
  </si>
  <si>
    <t>104 Vermilyea Ave</t>
  </si>
  <si>
    <t>715 W 180th St</t>
  </si>
  <si>
    <t>760 Park Ave</t>
  </si>
  <si>
    <t>22 E 112th St</t>
  </si>
  <si>
    <t>45 Twin Pines Dr</t>
  </si>
  <si>
    <t>11 Fort George Hill</t>
  </si>
  <si>
    <t>124 E 117th ST</t>
  </si>
  <si>
    <t>66 Post Ave</t>
  </si>
  <si>
    <t>622 Gipson St</t>
  </si>
  <si>
    <t>711 Seagirt Avenue</t>
  </si>
  <si>
    <t>21810 Spencer Ave</t>
  </si>
  <si>
    <t>11714 Van Wyck Expy</t>
  </si>
  <si>
    <t>20214 Hollis Ave</t>
  </si>
  <si>
    <t>14133 79th Ave</t>
  </si>
  <si>
    <t>1790 Fulton St</t>
  </si>
  <si>
    <t>600 Ocean Ave</t>
  </si>
  <si>
    <t>804 Cleveland St</t>
  </si>
  <si>
    <t>459 Milford St</t>
  </si>
  <si>
    <t>494 New Lots Ave</t>
  </si>
  <si>
    <t>1145 Morrison Ave</t>
  </si>
  <si>
    <t>2802 Olinville Ave</t>
  </si>
  <si>
    <t>3366 Decatur Ave</t>
  </si>
  <si>
    <t>870 Elsmere Pl</t>
  </si>
  <si>
    <t>939 Intervale Ave</t>
  </si>
  <si>
    <t>1023 Southern Blvd</t>
  </si>
  <si>
    <t>255 E 176th St</t>
  </si>
  <si>
    <t>1100 Franklin Ave</t>
  </si>
  <si>
    <t>1749 Grand Concourse</t>
  </si>
  <si>
    <t>95 Thayer St</t>
  </si>
  <si>
    <t>55 Cooper St</t>
  </si>
  <si>
    <t>154 E 106th St</t>
  </si>
  <si>
    <t>23 Tessa Ct</t>
  </si>
  <si>
    <t>2242 Tiebout Ave</t>
  </si>
  <si>
    <t>558 Ralph Ave</t>
  </si>
  <si>
    <t>1590 Madison Ave</t>
  </si>
  <si>
    <t>3407 Dekalb Ave</t>
  </si>
  <si>
    <t>1235 Morris Ave</t>
  </si>
  <si>
    <t>1525 Nelson Ave</t>
  </si>
  <si>
    <t>830 Elton Ave</t>
  </si>
  <si>
    <t>1777 grand concourse</t>
  </si>
  <si>
    <t>1827 Nostrand Ave</t>
  </si>
  <si>
    <t>58 Lewis Ave</t>
  </si>
  <si>
    <t>389 E 151st St</t>
  </si>
  <si>
    <t>202 Westervelt Ave</t>
  </si>
  <si>
    <t>250 Beach 15th St</t>
  </si>
  <si>
    <t>184 Irving Ave</t>
  </si>
  <si>
    <t>405 Westminster Rd</t>
  </si>
  <si>
    <t>725 Miller Ave</t>
  </si>
  <si>
    <t>618 Academy St</t>
  </si>
  <si>
    <t>1008 Summit Ave</t>
  </si>
  <si>
    <t>2449 33rd St</t>
  </si>
  <si>
    <t>601 W 180th St</t>
  </si>
  <si>
    <t>141 Hendricks Ave</t>
  </si>
  <si>
    <t>114 E 104th St</t>
  </si>
  <si>
    <t>16640 88th Ave</t>
  </si>
  <si>
    <t>3774 33rd St</t>
  </si>
  <si>
    <t>14210 Roosevelt Ave</t>
  </si>
  <si>
    <t>2011 MORRIS AVE</t>
  </si>
  <si>
    <t>152 Sherman Avenue</t>
  </si>
  <si>
    <t>1444 Lincoln Pl</t>
  </si>
  <si>
    <t>890 Flushing Ave</t>
  </si>
  <si>
    <t>2025 Valentine Ave</t>
  </si>
  <si>
    <t>1760 Madison Ave</t>
  </si>
  <si>
    <t>333 3rd Ave</t>
  </si>
  <si>
    <t>435 GRAND AVE</t>
  </si>
  <si>
    <t>2162 Valentine Ave</t>
  </si>
  <si>
    <t>711A Seagirt Ave</t>
  </si>
  <si>
    <t>69 E 176th St</t>
  </si>
  <si>
    <t>92 Crystal St</t>
  </si>
  <si>
    <t>990 Bronx Park S</t>
  </si>
  <si>
    <t>16212 95th St</t>
  </si>
  <si>
    <t>1331 Bay St</t>
  </si>
  <si>
    <t>1255 Blake Ave</t>
  </si>
  <si>
    <t>154 E 175th St</t>
  </si>
  <si>
    <t>4325 Hunter St</t>
  </si>
  <si>
    <t>163 E 178th St</t>
  </si>
  <si>
    <t>1944 Madison Ave</t>
  </si>
  <si>
    <t>95 Linden Blvd</t>
  </si>
  <si>
    <t>198 Crescent St</t>
  </si>
  <si>
    <t>532 W 145th St</t>
  </si>
  <si>
    <t>803 W 180th St</t>
  </si>
  <si>
    <t>6336 98th Pl</t>
  </si>
  <si>
    <t>1460 Sterling Pl</t>
  </si>
  <si>
    <t>127 E 117th St</t>
  </si>
  <si>
    <t>9427 Kings Hwy</t>
  </si>
  <si>
    <t>3502 Hull Ave</t>
  </si>
  <si>
    <t>280 E Burnside Ave</t>
  </si>
  <si>
    <t>2103 Honeywell Ave</t>
  </si>
  <si>
    <t>352 Montauk Ave</t>
  </si>
  <si>
    <t>595 Autumn Ave</t>
  </si>
  <si>
    <t>140 Park Hill Ave</t>
  </si>
  <si>
    <t>2313 Strauss St</t>
  </si>
  <si>
    <t>1661 Saint Johns Pl</t>
  </si>
  <si>
    <t>1574 Beach Ave</t>
  </si>
  <si>
    <t>1123 E Tremont Ave</t>
  </si>
  <si>
    <t>661 Jefferson Pl</t>
  </si>
  <si>
    <t>1115 forest ave</t>
  </si>
  <si>
    <t>124 E 176th St</t>
  </si>
  <si>
    <t>1505 Townsend Ave</t>
  </si>
  <si>
    <t>11 E 125th St</t>
  </si>
  <si>
    <t>117 E 118th St</t>
  </si>
  <si>
    <t>164 E 104th St</t>
  </si>
  <si>
    <t>167 E 115th St</t>
  </si>
  <si>
    <t>4 E 107th St</t>
  </si>
  <si>
    <t>78 Rome Ave</t>
  </si>
  <si>
    <t>3339 Park Ave</t>
  </si>
  <si>
    <t>645 Water St</t>
  </si>
  <si>
    <t>136 Seaman Ave</t>
  </si>
  <si>
    <t>855 E 9th St</t>
  </si>
  <si>
    <t>1551 Williamsbridge Rd</t>
  </si>
  <si>
    <t>2446 Yates Ave</t>
  </si>
  <si>
    <t>120 Beach 19th St</t>
  </si>
  <si>
    <t>11636 141st St</t>
  </si>
  <si>
    <t>829 Halsey St</t>
  </si>
  <si>
    <t>393 Essex St</t>
  </si>
  <si>
    <t>231 E 117th St</t>
  </si>
  <si>
    <t>103 Vermilyea Ave</t>
  </si>
  <si>
    <t>47b Village Ln</t>
  </si>
  <si>
    <t>1952 1st Ave</t>
  </si>
  <si>
    <t>3403 Foster Ave</t>
  </si>
  <si>
    <t>11 Seaman Ave</t>
  </si>
  <si>
    <t>154 Vermilyea Ave</t>
  </si>
  <si>
    <t>1652 Park Ave</t>
  </si>
  <si>
    <t>327 Van Duzer St</t>
  </si>
  <si>
    <t>3511 Linden Pl</t>
  </si>
  <si>
    <t>1160 Cromwell Ave</t>
  </si>
  <si>
    <t>506 W 213th St</t>
  </si>
  <si>
    <t>451 E 116th St</t>
  </si>
  <si>
    <t>901 Walton Ave</t>
  </si>
  <si>
    <t>567 W 186th St</t>
  </si>
  <si>
    <t>377 Lincoln Rd</t>
  </si>
  <si>
    <t>799 E Gun Hill Rd</t>
  </si>
  <si>
    <t>63 Irving Pl</t>
  </si>
  <si>
    <t>1049 Glenmore Ave</t>
  </si>
  <si>
    <t>445 Linwood St</t>
  </si>
  <si>
    <t>455 Linwood St</t>
  </si>
  <si>
    <t>3115 95th St Bsmt</t>
  </si>
  <si>
    <t>995 E 167th St</t>
  </si>
  <si>
    <t>127 E 107th St</t>
  </si>
  <si>
    <t>900 Grand Concourse</t>
  </si>
  <si>
    <t>8802 Little Neck Pkwy</t>
  </si>
  <si>
    <t>662 Halsey St</t>
  </si>
  <si>
    <t>743 Empire Blvd</t>
  </si>
  <si>
    <t>566a Bristol St</t>
  </si>
  <si>
    <t>267 E 175th St</t>
  </si>
  <si>
    <t>101 Cooper St</t>
  </si>
  <si>
    <t>1315 Eastern Pkwy</t>
  </si>
  <si>
    <t>19 Vermilyea Ave</t>
  </si>
  <si>
    <t>1253 Brunswick Ave</t>
  </si>
  <si>
    <t>190 Beach 27th St</t>
  </si>
  <si>
    <t>792 Sterling Pl</t>
  </si>
  <si>
    <t>177 E 117th st</t>
  </si>
  <si>
    <t>23 Vermilyea Ave</t>
  </si>
  <si>
    <t>775 Riverside Dr</t>
  </si>
  <si>
    <t>585 E 16th St</t>
  </si>
  <si>
    <t>34 Hillside Ave</t>
  </si>
  <si>
    <t>555 W 184th St</t>
  </si>
  <si>
    <t>501 E 161st St</t>
  </si>
  <si>
    <t>2181 Pacific St</t>
  </si>
  <si>
    <t>266 Hemlock St</t>
  </si>
  <si>
    <t>20 Sherman Ave</t>
  </si>
  <si>
    <t>155 E Mosholu Pkwy N</t>
  </si>
  <si>
    <t>315 E 5th St</t>
  </si>
  <si>
    <t>2239 Creston Ave</t>
  </si>
  <si>
    <t>832 Midwood St</t>
  </si>
  <si>
    <t>711c Seagirt Ave</t>
  </si>
  <si>
    <t>772 Union St</t>
  </si>
  <si>
    <t>1254 Sherman Ave</t>
  </si>
  <si>
    <t>140 Vermilyea Ave</t>
  </si>
  <si>
    <t>645 W 160th St</t>
  </si>
  <si>
    <t>1250 Grand Concourse</t>
  </si>
  <si>
    <t>16 Elliot Pl</t>
  </si>
  <si>
    <t>929 Bruckner Blvd</t>
  </si>
  <si>
    <t>1940 Andrews Ave</t>
  </si>
  <si>
    <t>658 W 188th St</t>
  </si>
  <si>
    <t>272 Sherman Ave</t>
  </si>
  <si>
    <t>510 Atlantic Ave</t>
  </si>
  <si>
    <t>8 Rutland Rd</t>
  </si>
  <si>
    <t>12 Vernon Ave</t>
  </si>
  <si>
    <t>441 E 116th St</t>
  </si>
  <si>
    <t>1295 Grand Concourse</t>
  </si>
  <si>
    <t>8806 Parsons Blvd</t>
  </si>
  <si>
    <t>2295 Morris Ave</t>
  </si>
  <si>
    <t>1692 Park Ave</t>
  </si>
  <si>
    <t>1685 Monroe Ave</t>
  </si>
  <si>
    <t>650 W 173rd St</t>
  </si>
  <si>
    <t>3556 Rochambeau Ave</t>
  </si>
  <si>
    <t>585 W 204th St</t>
  </si>
  <si>
    <t>1950 Bryant Ave</t>
  </si>
  <si>
    <t>9708 Kings Hwy</t>
  </si>
  <si>
    <t>1422 Nelson Ave</t>
  </si>
  <si>
    <t>12333 83rd Ave</t>
  </si>
  <si>
    <t>569 Academy St</t>
  </si>
  <si>
    <t>229 Columbus Ave</t>
  </si>
  <si>
    <t>1285 Delmar Loop</t>
  </si>
  <si>
    <t>388 Van Duzer St</t>
  </si>
  <si>
    <t>1315 Merriam Ave</t>
  </si>
  <si>
    <t>119 Beach 56th Pl</t>
  </si>
  <si>
    <t>1075 Nelson Ave</t>
  </si>
  <si>
    <t>151 Daniel Low Ter</t>
  </si>
  <si>
    <t>1339 Bristow St</t>
  </si>
  <si>
    <t>510 Riverdale ave</t>
  </si>
  <si>
    <t>107 Post Ave</t>
  </si>
  <si>
    <t>274 E 93rd St</t>
  </si>
  <si>
    <t>1475 Townsend Ave</t>
  </si>
  <si>
    <t>1485 Macombs Rd</t>
  </si>
  <si>
    <t>21002 93rd Ave</t>
  </si>
  <si>
    <t>2 Minerva Pl</t>
  </si>
  <si>
    <t>623 W 207th St</t>
  </si>
  <si>
    <t>1675 Lincoln Pl</t>
  </si>
  <si>
    <t>199 Sherman Ave</t>
  </si>
  <si>
    <t>443 Wyona St</t>
  </si>
  <si>
    <t>254 Seaman Ave</t>
  </si>
  <si>
    <t>2543 Beach Channel Dr</t>
  </si>
  <si>
    <t>402 E 136th St</t>
  </si>
  <si>
    <t>103 Post Ave</t>
  </si>
  <si>
    <t>1111 Grant Ave</t>
  </si>
  <si>
    <t>135 Beach 56th Pl</t>
  </si>
  <si>
    <t>552 W 186th St</t>
  </si>
  <si>
    <t>3920 Broadway</t>
  </si>
  <si>
    <t>279 Halsey St</t>
  </si>
  <si>
    <t>226 W Tremont Ave</t>
  </si>
  <si>
    <t>14224 38th Ave</t>
  </si>
  <si>
    <t>69 W Burnside Ave</t>
  </si>
  <si>
    <t>269 Arlington Ave</t>
  </si>
  <si>
    <t>120 Tapscott St</t>
  </si>
  <si>
    <t>2403 41st St</t>
  </si>
  <si>
    <t>1938 Bronxdale Ave</t>
  </si>
  <si>
    <t>1901 Madison Ave</t>
  </si>
  <si>
    <t>1480 Popham Ave</t>
  </si>
  <si>
    <t>14340 222nd St</t>
  </si>
  <si>
    <t>19605 110th Ave</t>
  </si>
  <si>
    <t>57-63 Wadsworth Terrace</t>
  </si>
  <si>
    <t>3133 90th St</t>
  </si>
  <si>
    <t>3330 103rd St</t>
  </si>
  <si>
    <t>746 Sheffield Ave</t>
  </si>
  <si>
    <t>1180 Anderson Ave</t>
  </si>
  <si>
    <t>260 Audubon ave</t>
  </si>
  <si>
    <t>2944 Beach Channel Dr</t>
  </si>
  <si>
    <t>200 E 110th St</t>
  </si>
  <si>
    <t>1450 Jesup Ave</t>
  </si>
  <si>
    <t>4001 10th St</t>
  </si>
  <si>
    <t>524 E 119th St</t>
  </si>
  <si>
    <t>1321 Mcbride St</t>
  </si>
  <si>
    <t>25353 149th Ave</t>
  </si>
  <si>
    <t>1114 Gerard Ave</t>
  </si>
  <si>
    <t>97 Crooke Ave</t>
  </si>
  <si>
    <t>50 Kimberly Ln</t>
  </si>
  <si>
    <t>610 Academy St</t>
  </si>
  <si>
    <t>387 Shepherd Ave</t>
  </si>
  <si>
    <t>2299 Andrews Ave</t>
  </si>
  <si>
    <t>260 Howard Ave</t>
  </si>
  <si>
    <t>2420 Morris Ave</t>
  </si>
  <si>
    <t>13 E 124th St</t>
  </si>
  <si>
    <t>1327 Southern Blvd</t>
  </si>
  <si>
    <t>101 W 106th St</t>
  </si>
  <si>
    <t>243 E 120th St</t>
  </si>
  <si>
    <t>725 Riverside Dr</t>
  </si>
  <si>
    <t>360 Cabrini Blvd</t>
  </si>
  <si>
    <t>2742 Mcintosh St</t>
  </si>
  <si>
    <t>1340 Stratford Ave</t>
  </si>
  <si>
    <t>46 Sullivan St</t>
  </si>
  <si>
    <t>1061 Rutland Rd</t>
  </si>
  <si>
    <t>2015 Foster Ave</t>
  </si>
  <si>
    <t>965 E 31st St</t>
  </si>
  <si>
    <t>320 E 109th St</t>
  </si>
  <si>
    <t>39 Henry St</t>
  </si>
  <si>
    <t>2051 Grand Ave</t>
  </si>
  <si>
    <t>2825 grand concourse</t>
  </si>
  <si>
    <t>1970 Walton Ave</t>
  </si>
  <si>
    <t>151 Holden Blvd</t>
  </si>
  <si>
    <t>92 Van Cortlandt Park S</t>
  </si>
  <si>
    <t>244 Richmond Ter</t>
  </si>
  <si>
    <t>17545 88th Ave</t>
  </si>
  <si>
    <t>216 Newport St</t>
  </si>
  <si>
    <t>3726 65th St</t>
  </si>
  <si>
    <t>2670 Bainbridge Ave</t>
  </si>
  <si>
    <t>117 Brook St</t>
  </si>
  <si>
    <t>14 Thayer St</t>
  </si>
  <si>
    <t>9716 101st Ave</t>
  </si>
  <si>
    <t>15110 35th Ave</t>
  </si>
  <si>
    <t>1 Edgar Ter</t>
  </si>
  <si>
    <t>8 Navy Pier Ct</t>
  </si>
  <si>
    <t>411 Beach 54th St</t>
  </si>
  <si>
    <t>19215b 69th Ave</t>
  </si>
  <si>
    <t>2174 Pitkin Ave</t>
  </si>
  <si>
    <t>1191 Anderson Ave</t>
  </si>
  <si>
    <t>189 Sherman Ave</t>
  </si>
  <si>
    <t>13317 Sanford Ave</t>
  </si>
  <si>
    <t>159 Eastern Pkwy</t>
  </si>
  <si>
    <t>1047 47th Ave</t>
  </si>
  <si>
    <t>1014 Gerard Ave</t>
  </si>
  <si>
    <t>278 Targee St</t>
  </si>
  <si>
    <t>2505 Bedford Ave</t>
  </si>
  <si>
    <t>100 W 163rd St</t>
  </si>
  <si>
    <t>157 Vermilyea Ave</t>
  </si>
  <si>
    <t>8380 118th St</t>
  </si>
  <si>
    <t>591 Logan St</t>
  </si>
  <si>
    <t>75 Thompson St</t>
  </si>
  <si>
    <t>1208 Franklin Ave</t>
  </si>
  <si>
    <t>2075 Creston Ave</t>
  </si>
  <si>
    <t>152 E 84th St</t>
  </si>
  <si>
    <t>802 Belmont Ave</t>
  </si>
  <si>
    <t>10 W 169th St</t>
  </si>
  <si>
    <t>1459 Wythe Pl</t>
  </si>
  <si>
    <t>561 W 186th St</t>
  </si>
  <si>
    <t>31 Jackson Ave</t>
  </si>
  <si>
    <t>1944 Mcgraw Ave</t>
  </si>
  <si>
    <t>61 Ellwood St</t>
  </si>
  <si>
    <t>595 E 170th St</t>
  </si>
  <si>
    <t>2195 Grand Concourse</t>
  </si>
  <si>
    <t>1580 Thieriot Ave</t>
  </si>
  <si>
    <t>285 Bainbridge St</t>
  </si>
  <si>
    <t>135 Beach 19th St</t>
  </si>
  <si>
    <t>730 Grand Concourse</t>
  </si>
  <si>
    <t>2000 Valentine Ave</t>
  </si>
  <si>
    <t>1049 Montgomery St</t>
  </si>
  <si>
    <t>4011 60th St</t>
  </si>
  <si>
    <t>536 E 96th St</t>
  </si>
  <si>
    <t>249 Beach 15th St</t>
  </si>
  <si>
    <t>15109 34th Ave</t>
  </si>
  <si>
    <t>1926 Crotona Pkwy</t>
  </si>
  <si>
    <t>9 Post Ave</t>
  </si>
  <si>
    <t>25766 145th Ave</t>
  </si>
  <si>
    <t>888 Grand Concourse</t>
  </si>
  <si>
    <t>5449 Almeda Ave</t>
  </si>
  <si>
    <t>15904 Sanford Ave</t>
  </si>
  <si>
    <t>272 Sherman ave</t>
  </si>
  <si>
    <t>17 Tryon Ave</t>
  </si>
  <si>
    <t>2110 1st Ave</t>
  </si>
  <si>
    <t>14858 87th Rd</t>
  </si>
  <si>
    <t>201 E 18th St</t>
  </si>
  <si>
    <t>2590 35th St</t>
  </si>
  <si>
    <t>3678 White Plains Rd</t>
  </si>
  <si>
    <t>4311 Byron Ave</t>
  </si>
  <si>
    <t>930 Ogden Ave</t>
  </si>
  <si>
    <t>750 E 163rd St</t>
  </si>
  <si>
    <t>986 Ogden Ave</t>
  </si>
  <si>
    <t>9112 175th St</t>
  </si>
  <si>
    <t>1677 Prospect PL</t>
  </si>
  <si>
    <t>1767 Davidson Ave</t>
  </si>
  <si>
    <t>2045 Shore Blvd</t>
  </si>
  <si>
    <t>108 E Clarke Pl</t>
  </si>
  <si>
    <t>86 Fountain Ave</t>
  </si>
  <si>
    <t>201 Hale Ave</t>
  </si>
  <si>
    <t>606 W 191st St</t>
  </si>
  <si>
    <t>2985 Botanical Sq</t>
  </si>
  <si>
    <t>28 Montgomery Ave</t>
  </si>
  <si>
    <t>130 E 104th St</t>
  </si>
  <si>
    <t>67 Manhattan Ave</t>
  </si>
  <si>
    <t>2765 Atlantic Ave</t>
  </si>
  <si>
    <t>203 Atkins Ave</t>
  </si>
  <si>
    <t>158 E 119th St</t>
  </si>
  <si>
    <t>439 Castleton Ave</t>
  </si>
  <si>
    <t>1165 Saint Johns Pl</t>
  </si>
  <si>
    <t>287 Audubon Ave</t>
  </si>
  <si>
    <t>615 W 164th St</t>
  </si>
  <si>
    <t>824 Southern Blvd</t>
  </si>
  <si>
    <t>4411 Church Ave</t>
  </si>
  <si>
    <t>542 Chauncey St</t>
  </si>
  <si>
    <t>461 Wales Ave</t>
  </si>
  <si>
    <t>1065 Jerome Ave</t>
  </si>
  <si>
    <t>1442 Boston Rd</t>
  </si>
  <si>
    <t>160 Vermilyea Ave</t>
  </si>
  <si>
    <t>245 E 124th St</t>
  </si>
  <si>
    <t>577 Isham Street</t>
  </si>
  <si>
    <t>1004 Hegeman Ave</t>
  </si>
  <si>
    <t>137 Stownsen Avenue</t>
  </si>
  <si>
    <t>309 W 76th St</t>
  </si>
  <si>
    <t>12445 Flatlands Ave</t>
  </si>
  <si>
    <t>509 W 176th St</t>
  </si>
  <si>
    <t>13446 161st St</t>
  </si>
  <si>
    <t>120 Kenilworth Pl</t>
  </si>
  <si>
    <t>101 Sherman Avenue</t>
  </si>
  <si>
    <t>356 Pine Street</t>
  </si>
  <si>
    <t>12102 Sutphin Blvd</t>
  </si>
  <si>
    <t>729 Eldert Ln</t>
  </si>
  <si>
    <t>2860 Ocean Ave</t>
  </si>
  <si>
    <t>500 E 134th St</t>
  </si>
  <si>
    <t>102 W 134th St</t>
  </si>
  <si>
    <t>659 Euclid Ave</t>
  </si>
  <si>
    <t>577 Isham St</t>
  </si>
  <si>
    <t>843 E 161st St</t>
  </si>
  <si>
    <t>3852 10th ave</t>
  </si>
  <si>
    <t>1532 Townsend Ave</t>
  </si>
  <si>
    <t>6733 Kissena Blvd</t>
  </si>
  <si>
    <t>269 Grand Concourse</t>
  </si>
  <si>
    <t>631 Beach 9th St</t>
  </si>
  <si>
    <t>1145 Univ Ave</t>
  </si>
  <si>
    <t>1898 Harrison Ave</t>
  </si>
  <si>
    <t>9711 Horace Harding Expy</t>
  </si>
  <si>
    <t>244 E 117th St</t>
  </si>
  <si>
    <t>200 Garfield Pl</t>
  </si>
  <si>
    <t>340 Haven Ave</t>
  </si>
  <si>
    <t>1456 Jesup Ave</t>
  </si>
  <si>
    <t>354 E Mosholu Pkwy S</t>
  </si>
  <si>
    <t>101 Sherman Ave</t>
  </si>
  <si>
    <t>356 Arlington Ave</t>
  </si>
  <si>
    <t>267 W 152nd St</t>
  </si>
  <si>
    <t>316 Beach 101st St</t>
  </si>
  <si>
    <t>418 W 20th St</t>
  </si>
  <si>
    <t>580 W 161st St</t>
  </si>
  <si>
    <t>9507 Kings Hwy</t>
  </si>
  <si>
    <t>3441 42nd St</t>
  </si>
  <si>
    <t>4831 44th St</t>
  </si>
  <si>
    <t>466 Marcy Ave</t>
  </si>
  <si>
    <t>982 Fox St</t>
  </si>
  <si>
    <t>51 E 129th St</t>
  </si>
  <si>
    <t>280 Park Hill Ave</t>
  </si>
  <si>
    <t>277 Rockaway Pkwy</t>
  </si>
  <si>
    <t>1173 Grand Concourse</t>
  </si>
  <si>
    <t>238 W 238th St</t>
  </si>
  <si>
    <t>1457 Ogden Ave</t>
  </si>
  <si>
    <t>482 Riverdale Ave</t>
  </si>
  <si>
    <t>43-45 Curtis Place</t>
  </si>
  <si>
    <t>1454 Walton Ave</t>
  </si>
  <si>
    <t>15804 Sanford Ave</t>
  </si>
  <si>
    <t>2359 Dean St</t>
  </si>
  <si>
    <t>666 Wyona St</t>
  </si>
  <si>
    <t>1348 Sheridan Ave</t>
  </si>
  <si>
    <t>10147 95th St</t>
  </si>
  <si>
    <t>232 E 106th St</t>
  </si>
  <si>
    <t>117 Sherman Avenue</t>
  </si>
  <si>
    <t>524 Vandalia Ave</t>
  </si>
  <si>
    <t>892 Glenmore Ave</t>
  </si>
  <si>
    <t>42 Saint Felix St</t>
  </si>
  <si>
    <t>1425 Wythe Pl</t>
  </si>
  <si>
    <t>2516 Tratman Ave</t>
  </si>
  <si>
    <t>712 E 27th St</t>
  </si>
  <si>
    <t>1274 5th Ave</t>
  </si>
  <si>
    <t>15 Post Ave</t>
  </si>
  <si>
    <t>103 Barbey st</t>
  </si>
  <si>
    <t>18417 140th Ave</t>
  </si>
  <si>
    <t>1972 Walton Ave</t>
  </si>
  <si>
    <t>924 Hancock St</t>
  </si>
  <si>
    <t>60 Thayer St</t>
  </si>
  <si>
    <t>275 Grant Ave</t>
  </si>
  <si>
    <t>94 Fountain Ave</t>
  </si>
  <si>
    <t>630 W 172nd St</t>
  </si>
  <si>
    <t>212 Sherman Ave</t>
  </si>
  <si>
    <t>415 E 16th St</t>
  </si>
  <si>
    <t>390 E 153rd St</t>
  </si>
  <si>
    <t>580 W 215th St</t>
  </si>
  <si>
    <t>10412 105th St</t>
  </si>
  <si>
    <t>549 Cleveland St</t>
  </si>
  <si>
    <t>319 E 91st St</t>
  </si>
  <si>
    <t>113 Sherman Ave</t>
  </si>
  <si>
    <t>658 Ashford St</t>
  </si>
  <si>
    <t>1549 Townsend Ave</t>
  </si>
  <si>
    <t>115 Post Ave</t>
  </si>
  <si>
    <t>109 W 111th St</t>
  </si>
  <si>
    <t>10460 Queens Blvd</t>
  </si>
  <si>
    <t>2501 Oceancrest Blvd</t>
  </si>
  <si>
    <t>9912 65th Rd</t>
  </si>
  <si>
    <t>54 Bristol St</t>
  </si>
  <si>
    <t>157 W 131st St</t>
  </si>
  <si>
    <t>1204 Shakespeare Ave</t>
  </si>
  <si>
    <t>1571 Fulton Ave</t>
  </si>
  <si>
    <t>2014 Morris Ave</t>
  </si>
  <si>
    <t>410 Beach 54th St</t>
  </si>
  <si>
    <t>1901 Loring Pl S</t>
  </si>
  <si>
    <t>462 E 115th St</t>
  </si>
  <si>
    <t>1545 Fulton Ave</t>
  </si>
  <si>
    <t>285 Shepherd Ave</t>
  </si>
  <si>
    <t>300 Vernon Ave</t>
  </si>
  <si>
    <t>2442 Morris Ave</t>
  </si>
  <si>
    <t>2060 White Plains Rd</t>
  </si>
  <si>
    <t>940 Simpson St</t>
  </si>
  <si>
    <t>900 Fox St</t>
  </si>
  <si>
    <t>1504 Sheridan Ave</t>
  </si>
  <si>
    <t>184 Mount Eden Pkwy</t>
  </si>
  <si>
    <t>1804 Harrison Ave</t>
  </si>
  <si>
    <t>30 Nicholas Ave</t>
  </si>
  <si>
    <t>63 Post Ave</t>
  </si>
  <si>
    <t>1086 President St</t>
  </si>
  <si>
    <t>2845 University Ave</t>
  </si>
  <si>
    <t>2500 University Ave</t>
  </si>
  <si>
    <t>611 E 76th St</t>
  </si>
  <si>
    <t>902 Drew St</t>
  </si>
  <si>
    <t>1917 Cropsey Ave</t>
  </si>
  <si>
    <t>421 E 116th St</t>
  </si>
  <si>
    <t>389 Herzl St</t>
  </si>
  <si>
    <t>106 Cabrini Blvd</t>
  </si>
  <si>
    <t>3721 80th St</t>
  </si>
  <si>
    <t>50 Linden Blvd</t>
  </si>
  <si>
    <t>19715 91st Rd</t>
  </si>
  <si>
    <t>421 Union St</t>
  </si>
  <si>
    <t>544 Academy St</t>
  </si>
  <si>
    <t>1336 Saint Marks Ave</t>
  </si>
  <si>
    <t>517 W 212th St</t>
  </si>
  <si>
    <t>22404 67th Ave</t>
  </si>
  <si>
    <t>1509 Eastern Pkwy</t>
  </si>
  <si>
    <t>250 Macdougal St</t>
  </si>
  <si>
    <t>1115 Jerome ave</t>
  </si>
  <si>
    <t>2158 Atlantic Ave</t>
  </si>
  <si>
    <t>425 W 160th St</t>
  </si>
  <si>
    <t>50 E 196th St</t>
  </si>
  <si>
    <t>271 Bainbridge Street</t>
  </si>
  <si>
    <t>984 Greene Ave</t>
  </si>
  <si>
    <t>735 E 182nd St</t>
  </si>
  <si>
    <t>815 W 180th St</t>
  </si>
  <si>
    <t>1330 Intervale Ave</t>
  </si>
  <si>
    <t>1595 Madison Ave</t>
  </si>
  <si>
    <t>67 E 175th St</t>
  </si>
  <si>
    <t>54 E 176th St</t>
  </si>
  <si>
    <t>212 Highland Pl</t>
  </si>
  <si>
    <t>104 Terrace View Ave</t>
  </si>
  <si>
    <t>553 58th St</t>
  </si>
  <si>
    <t>800 E 180th St</t>
  </si>
  <si>
    <t>1353 Pinson St</t>
  </si>
  <si>
    <t>1011 Neilson St</t>
  </si>
  <si>
    <t>909 Kelly St</t>
  </si>
  <si>
    <t>113 Victory Blvd</t>
  </si>
  <si>
    <t>158 E 110th St</t>
  </si>
  <si>
    <t>85 Holland Ave</t>
  </si>
  <si>
    <t>208 Montauk Ave</t>
  </si>
  <si>
    <t>165 Sherman Ave</t>
  </si>
  <si>
    <t>133 Crystal St</t>
  </si>
  <si>
    <t>1665 Palmetto St</t>
  </si>
  <si>
    <t>4309 165th St</t>
  </si>
  <si>
    <t>889 Dawson St</t>
  </si>
  <si>
    <t>788 Howard Ave</t>
  </si>
  <si>
    <t>20 Laurel Hill Ter</t>
  </si>
  <si>
    <t>2707 Gifford Ave</t>
  </si>
  <si>
    <t>1890 Walton Ave</t>
  </si>
  <si>
    <t>155a Beach 27th St</t>
  </si>
  <si>
    <t>1360 Plimpton Ave</t>
  </si>
  <si>
    <t>174 Prospect Park W</t>
  </si>
  <si>
    <t>485 12th St</t>
  </si>
  <si>
    <t>420 W 206th St</t>
  </si>
  <si>
    <t>14454 35th Ave</t>
  </si>
  <si>
    <t>711 Jerome St</t>
  </si>
  <si>
    <t>1215 Frisco Ave</t>
  </si>
  <si>
    <t>2049 Seagirt Blvd</t>
  </si>
  <si>
    <t>5145 Almeda Ave</t>
  </si>
  <si>
    <t>562 W 190th St</t>
  </si>
  <si>
    <t>132 Sherman Ave</t>
  </si>
  <si>
    <t>66 E Tremont Ave</t>
  </si>
  <si>
    <t>139-06 34th Rd</t>
  </si>
  <si>
    <t>720 W 180th St</t>
  </si>
  <si>
    <t>420 E 111th St</t>
  </si>
  <si>
    <t>241 E 120th St</t>
  </si>
  <si>
    <t>2545 Grand Concourse</t>
  </si>
  <si>
    <t>611 W 176th St</t>
  </si>
  <si>
    <t>3727 86th St</t>
  </si>
  <si>
    <t>2112 Fulton St</t>
  </si>
  <si>
    <t>1795 Riverside Dr</t>
  </si>
  <si>
    <t>562 Bolton Ave</t>
  </si>
  <si>
    <t>580 Van Duzer St</t>
  </si>
  <si>
    <t>1370 Saint Nicholas Ave</t>
  </si>
  <si>
    <t>3930 3rd ave</t>
  </si>
  <si>
    <t>9315 Fort Hamilton Pkwy</t>
  </si>
  <si>
    <t>376 Madison Ave</t>
  </si>
  <si>
    <t>9150 191st St</t>
  </si>
  <si>
    <t>1425 Univ Ave</t>
  </si>
  <si>
    <t>1347 Mcbride St</t>
  </si>
  <si>
    <t>317 Lefferts Ave</t>
  </si>
  <si>
    <t>208 Berriman St</t>
  </si>
  <si>
    <t>2170 Univ Ave</t>
  </si>
  <si>
    <t>1665 Monroe Ave</t>
  </si>
  <si>
    <t>344 E 176th St</t>
  </si>
  <si>
    <t>349 Rockaway Pkwy</t>
  </si>
  <si>
    <t>1491 Lexington Ave</t>
  </si>
  <si>
    <t>156 Vernon Ave</t>
  </si>
  <si>
    <t>111 Beach St</t>
  </si>
  <si>
    <t>120 Beach 26th St</t>
  </si>
  <si>
    <t>600 Van Siclen Ave</t>
  </si>
  <si>
    <t>12-25 118th Street</t>
  </si>
  <si>
    <t>701 Coney Island Ave</t>
  </si>
  <si>
    <t>485 Pacific St</t>
  </si>
  <si>
    <t>1466 Townsend Ave</t>
  </si>
  <si>
    <t>13415 232nd St</t>
  </si>
  <si>
    <t>2353 Pacific St</t>
  </si>
  <si>
    <t>345 Herzl St</t>
  </si>
  <si>
    <t>1474 Bushwick Ave</t>
  </si>
  <si>
    <t>22 Park Hill Ave</t>
  </si>
  <si>
    <t>850 Amsterdam Ave</t>
  </si>
  <si>
    <t>331 Etna Street</t>
  </si>
  <si>
    <t>809 W 177th St</t>
  </si>
  <si>
    <t>515 Crescent St</t>
  </si>
  <si>
    <t>565 W 181st St</t>
  </si>
  <si>
    <t>403 Kosciuszko St</t>
  </si>
  <si>
    <t>1775 Weeks Ave</t>
  </si>
  <si>
    <t>1075 Nelson Ave 6B</t>
  </si>
  <si>
    <t>601 E 163rd St</t>
  </si>
  <si>
    <t>1023 Rutland Rd</t>
  </si>
  <si>
    <t>1854 7th Ave</t>
  </si>
  <si>
    <t>546 Isham St</t>
  </si>
  <si>
    <t>1295 5th Ave</t>
  </si>
  <si>
    <t>111 E 100th St</t>
  </si>
  <si>
    <t>18 Irving Ave</t>
  </si>
  <si>
    <t>788 Fox St</t>
  </si>
  <si>
    <t>469 Ridgewood Ave</t>
  </si>
  <si>
    <t>1380 Univ Ave</t>
  </si>
  <si>
    <t>120 Schroeders Ave</t>
  </si>
  <si>
    <t>2103 Honeywell Ave # 5</t>
  </si>
  <si>
    <t>881 E 162nd St</t>
  </si>
  <si>
    <t>1900 Lexington Ave</t>
  </si>
  <si>
    <t>1725 Saint Marks Ave</t>
  </si>
  <si>
    <t>1164 Cromwell Ave</t>
  </si>
  <si>
    <t>547 W 135th St</t>
  </si>
  <si>
    <t>1114 Morris Ave</t>
  </si>
  <si>
    <t>73 Cooper St</t>
  </si>
  <si>
    <t>2212 Ditmas Ave</t>
  </si>
  <si>
    <t>550 Academy St</t>
  </si>
  <si>
    <t>836 Hancock St</t>
  </si>
  <si>
    <t>1011 Nameoke St</t>
  </si>
  <si>
    <t>854 Myrtle Ave</t>
  </si>
  <si>
    <t>471 Hancock St</t>
  </si>
  <si>
    <t>270 Van Siclen Ave</t>
  </si>
  <si>
    <t>755 Jackson Ave</t>
  </si>
  <si>
    <t>95 Harrison St</t>
  </si>
  <si>
    <t>107 E 126th St</t>
  </si>
  <si>
    <t>355 Marion St</t>
  </si>
  <si>
    <t>2298 Richmond Ter</t>
  </si>
  <si>
    <t>1711 Fulton St</t>
  </si>
  <si>
    <t>425 W 205th St</t>
  </si>
  <si>
    <t>105 Beach 56th Pl</t>
  </si>
  <si>
    <t>1062 Elton St</t>
  </si>
  <si>
    <t>1060 Anderson Ave</t>
  </si>
  <si>
    <t>19 W 105th St</t>
  </si>
  <si>
    <t>1125 Findlay Ave</t>
  </si>
  <si>
    <t>2001 Morris Avenue</t>
  </si>
  <si>
    <t>3402 153rd St</t>
  </si>
  <si>
    <t>1430 Seagirt Blvd</t>
  </si>
  <si>
    <t>1018 Eastern Pkwy</t>
  </si>
  <si>
    <t>1140 President St</t>
  </si>
  <si>
    <t>28 Saint Marys Ave</t>
  </si>
  <si>
    <t>601 W 156th St</t>
  </si>
  <si>
    <t>1447 doris st</t>
  </si>
  <si>
    <t>1833 Park Pl</t>
  </si>
  <si>
    <t>219 Hamilton Ave</t>
  </si>
  <si>
    <t>3541 94th St</t>
  </si>
  <si>
    <t>1990 Lexington Ave</t>
  </si>
  <si>
    <t>344 Marion St</t>
  </si>
  <si>
    <t>1521 Sheridan Ave</t>
  </si>
  <si>
    <t>257 Mother Gaston Blvd</t>
  </si>
  <si>
    <t>600 E 178th St</t>
  </si>
  <si>
    <t>11421 208th St</t>
  </si>
  <si>
    <t>204 Sherman Ave</t>
  </si>
  <si>
    <t>1415 Mott Ave Apt 4</t>
  </si>
  <si>
    <t>395 Troy Ave</t>
  </si>
  <si>
    <t>2600 Creston Ave</t>
  </si>
  <si>
    <t>5009 Broadway</t>
  </si>
  <si>
    <t>170 S Portland Ave</t>
  </si>
  <si>
    <t>45 Victory Blvd</t>
  </si>
  <si>
    <t>3784 10th Ave</t>
  </si>
  <si>
    <t>4746 40th St</t>
  </si>
  <si>
    <t>132 Seaman Ave</t>
  </si>
  <si>
    <t>901 Drew St</t>
  </si>
  <si>
    <t>244 E 7th St</t>
  </si>
  <si>
    <t>424 W 48th St</t>
  </si>
  <si>
    <t>3106 Lewmay Rd</t>
  </si>
  <si>
    <t>1311 Merriam Ave</t>
  </si>
  <si>
    <t>1309 5TH AVE</t>
  </si>
  <si>
    <t>363 E 163rd St</t>
  </si>
  <si>
    <t>164 Steuben St</t>
  </si>
  <si>
    <t>1068 Winthrop St</t>
  </si>
  <si>
    <t>10135 Woodhaven Blvd</t>
  </si>
  <si>
    <t>11 West 10th Broad Channel</t>
  </si>
  <si>
    <t>2448 Rockaway Fwy</t>
  </si>
  <si>
    <t>1213 Neilson St</t>
  </si>
  <si>
    <t>1157 Intervale Ave</t>
  </si>
  <si>
    <t>2242 Webster Avenue</t>
  </si>
  <si>
    <t>2230 Univ Ave</t>
  </si>
  <si>
    <t>122 E 104th St</t>
  </si>
  <si>
    <t>333 E 181st St</t>
  </si>
  <si>
    <t>195 Benziger Ave</t>
  </si>
  <si>
    <t>9610 57th Ave</t>
  </si>
  <si>
    <t>867 Saint Marks Ave</t>
  </si>
  <si>
    <t>447 E 116th St</t>
  </si>
  <si>
    <t>711C Seagirt Arve</t>
  </si>
  <si>
    <t>105 3rd Ave</t>
  </si>
  <si>
    <t>5301 32nd Ave</t>
  </si>
  <si>
    <t>74 Norwood Ave</t>
  </si>
  <si>
    <t>81 Ludlow St</t>
  </si>
  <si>
    <t>31 Leonard St</t>
  </si>
  <si>
    <t>734 Crescent St</t>
  </si>
  <si>
    <t>11130 Inwood St</t>
  </si>
  <si>
    <t>1074 Eastern Pkwy</t>
  </si>
  <si>
    <t>3279 Hull Ave</t>
  </si>
  <si>
    <t>12640 149th St</t>
  </si>
  <si>
    <t>165 Nagle Ave</t>
  </si>
  <si>
    <t>979 42nd St</t>
  </si>
  <si>
    <t>1356 Walton Ave</t>
  </si>
  <si>
    <t>642 Eldert Ln</t>
  </si>
  <si>
    <t>208 Nagle Ave</t>
  </si>
  <si>
    <t>348 Dewey Ave</t>
  </si>
  <si>
    <t>2310 93rd St</t>
  </si>
  <si>
    <t>1771 Monroe Ave</t>
  </si>
  <si>
    <t>5731 Waldron St</t>
  </si>
  <si>
    <t>128 Fort Washington Ave</t>
  </si>
  <si>
    <t>610 W 180th St</t>
  </si>
  <si>
    <t>22 E 108th St</t>
  </si>
  <si>
    <t>596 logan St</t>
  </si>
  <si>
    <t>520 Isham St</t>
  </si>
  <si>
    <t>260 Fort Washington Ave</t>
  </si>
  <si>
    <t>1165 Gerard Ave</t>
  </si>
  <si>
    <t>601 W 174th St</t>
  </si>
  <si>
    <t>11880 Metropolitan Ave</t>
  </si>
  <si>
    <t>300 E 163rd St</t>
  </si>
  <si>
    <t>130 Fort Washington Ave</t>
  </si>
  <si>
    <t>9728 57th Ave</t>
  </si>
  <si>
    <t>336 Throop Ave</t>
  </si>
  <si>
    <t>975 Walton Ave</t>
  </si>
  <si>
    <t>223 E 89th St</t>
  </si>
  <si>
    <t>1036B Rev James A Polite Ave</t>
  </si>
  <si>
    <t>800 Victory Blvd</t>
  </si>
  <si>
    <t>100 Arden St</t>
  </si>
  <si>
    <t>540 W 157th St</t>
  </si>
  <si>
    <t>1325 Pennsylvania Ave</t>
  </si>
  <si>
    <t>1082 Gerard Ave</t>
  </si>
  <si>
    <t>662 Brooklyn Ave</t>
  </si>
  <si>
    <t>1450 Gateway Blvd</t>
  </si>
  <si>
    <t>1711 Randall Ave</t>
  </si>
  <si>
    <t>272 Targee St</t>
  </si>
  <si>
    <t>4002 Gouverneur Ave</t>
  </si>
  <si>
    <t>2 Starboard Ct</t>
  </si>
  <si>
    <t>9602 57th Ave</t>
  </si>
  <si>
    <t>130 Lefferts Pl</t>
  </si>
  <si>
    <t>826 E 16th St</t>
  </si>
  <si>
    <t>660 E 98th St</t>
  </si>
  <si>
    <t>1620 Caton Ave</t>
  </si>
  <si>
    <t>300 10th St</t>
  </si>
  <si>
    <t>3731 Crescent St</t>
  </si>
  <si>
    <t>520 Concord Ave</t>
  </si>
  <si>
    <t>3961 carpenter ave</t>
  </si>
  <si>
    <t>297 Lenox RD</t>
  </si>
  <si>
    <t>595 Van Duzer St</t>
  </si>
  <si>
    <t>5707 Shore Front Pkwy</t>
  </si>
  <si>
    <t>127 Bainbridge St</t>
  </si>
  <si>
    <t>100 Haven Ave</t>
  </si>
  <si>
    <t>1024 Gipson St</t>
  </si>
  <si>
    <t>9825 Horace Harding Expy</t>
  </si>
  <si>
    <t>1890 Pacific St</t>
  </si>
  <si>
    <t>1918 Pacific St</t>
  </si>
  <si>
    <t>35 Marcy Pl</t>
  </si>
  <si>
    <t>524 Jerome St</t>
  </si>
  <si>
    <t>2308 Mott Ave</t>
  </si>
  <si>
    <t>2042 Seagirt Blvd</t>
  </si>
  <si>
    <t>9325 Fort Hamilton Pkwy</t>
  </si>
  <si>
    <t>409 Macon St</t>
  </si>
  <si>
    <t>7525 153rd St</t>
  </si>
  <si>
    <t>129 E 102nd St</t>
  </si>
  <si>
    <t>21879 98th Ave</t>
  </si>
  <si>
    <t>1969 Bergen St</t>
  </si>
  <si>
    <t>180 Park Hill Ave</t>
  </si>
  <si>
    <t>105 E 192nd St</t>
  </si>
  <si>
    <t>40 Thayer St</t>
  </si>
  <si>
    <t>500 W 213th St</t>
  </si>
  <si>
    <t>4308 40th St</t>
  </si>
  <si>
    <t>250 W 146th St</t>
  </si>
  <si>
    <t>985 Anderson Ave</t>
  </si>
  <si>
    <t>815 Gerard Ave</t>
  </si>
  <si>
    <t>26 Ebbitts St</t>
  </si>
  <si>
    <t>2011 Amsterdam Ave</t>
  </si>
  <si>
    <t>2106 Union St</t>
  </si>
  <si>
    <t>75 E 116th St</t>
  </si>
  <si>
    <t>7221 153rd St</t>
  </si>
  <si>
    <t>26 Post Ave</t>
  </si>
  <si>
    <t>2448 rockaway fwy</t>
  </si>
  <si>
    <t>1967 Marmion Ave</t>
  </si>
  <si>
    <t>449 W 206th St</t>
  </si>
  <si>
    <t>59 E 3rd St</t>
  </si>
  <si>
    <t>1234 Hoe Ave</t>
  </si>
  <si>
    <t>532 Bradford St</t>
  </si>
  <si>
    <t>87 Post Ave</t>
  </si>
  <si>
    <t>221 Sherman Ave</t>
  </si>
  <si>
    <t>124 Beach 31st St</t>
  </si>
  <si>
    <t>22 Post Ave</t>
  </si>
  <si>
    <t>727 6th Ave</t>
  </si>
  <si>
    <t>663 Howard Ave</t>
  </si>
  <si>
    <t>367 Wadsworth Ave</t>
  </si>
  <si>
    <t>4035 67th St</t>
  </si>
  <si>
    <t>11644 217th St</t>
  </si>
  <si>
    <t>505 Rockaway pkwy</t>
  </si>
  <si>
    <t>5124 Beach Channel Dr</t>
  </si>
  <si>
    <t>8417 Glenwood Rd</t>
  </si>
  <si>
    <t>12 E 116th St</t>
  </si>
  <si>
    <t>2050 Union St</t>
  </si>
  <si>
    <t>501 E 87th St</t>
  </si>
  <si>
    <t>2430 Lyvere St</t>
  </si>
  <si>
    <t>1769 Vyse Ave</t>
  </si>
  <si>
    <t>4530 Broadway</t>
  </si>
  <si>
    <t>3354 83rd St</t>
  </si>
  <si>
    <t>25 E 21st St</t>
  </si>
  <si>
    <t>1187 Anderson Ave</t>
  </si>
  <si>
    <t>333 E 92nd St</t>
  </si>
  <si>
    <t>259 Martense St</t>
  </si>
  <si>
    <t>438 Atkins Ave</t>
  </si>
  <si>
    <t>404 Screvin Ave</t>
  </si>
  <si>
    <t>228 W 149th St</t>
  </si>
  <si>
    <t>120 Alcott Pl</t>
  </si>
  <si>
    <t>468 Chauncey St</t>
  </si>
  <si>
    <t>360 Snediker Ave</t>
  </si>
  <si>
    <t>751 Forest Ave</t>
  </si>
  <si>
    <t>271 E 150th St</t>
  </si>
  <si>
    <t>75 Kimberly Ln</t>
  </si>
  <si>
    <t>468 W 140th St</t>
  </si>
  <si>
    <t>210 W 251st St</t>
  </si>
  <si>
    <t>1069 Flushing Ave</t>
  </si>
  <si>
    <t>562 W 174th St</t>
  </si>
  <si>
    <t>7 Hegeman ave</t>
  </si>
  <si>
    <t>13955 35th Ave</t>
  </si>
  <si>
    <t>2715 Webb ave</t>
  </si>
  <si>
    <t>304 E 8th St</t>
  </si>
  <si>
    <t>690 Bay St</t>
  </si>
  <si>
    <t>502 W 139th St</t>
  </si>
  <si>
    <t>480 Saint Nicholas Ave</t>
  </si>
  <si>
    <t>2353 Pacific st</t>
  </si>
  <si>
    <t>1176 President St</t>
  </si>
  <si>
    <t>409 E 120th St</t>
  </si>
  <si>
    <t>89 Seaman Ave</t>
  </si>
  <si>
    <t>2 Pinehurst Ave</t>
  </si>
  <si>
    <t>1368 Eggert Pl</t>
  </si>
  <si>
    <t>79 W 182nd St</t>
  </si>
  <si>
    <t>245 Hawthorne St</t>
  </si>
  <si>
    <t>358 Saint Johns Pl</t>
  </si>
  <si>
    <t>683 Barbey ST</t>
  </si>
  <si>
    <t>127 e 107th St</t>
  </si>
  <si>
    <t>213 Bennett Ave</t>
  </si>
  <si>
    <t>1342 Sterling Pl</t>
  </si>
  <si>
    <t>4966 Broadway</t>
  </si>
  <si>
    <t>551 W 185th St</t>
  </si>
  <si>
    <t>2265 Strauss St</t>
  </si>
  <si>
    <t>903 Summit Ave</t>
  </si>
  <si>
    <t>2265 Grand Ave</t>
  </si>
  <si>
    <t>75 Montgomery St</t>
  </si>
  <si>
    <t>281 York Ave</t>
  </si>
  <si>
    <t>9410 64th Rd</t>
  </si>
  <si>
    <t>769 Saint Marks Ave</t>
  </si>
  <si>
    <t>320 Wadsworth Ave</t>
  </si>
  <si>
    <t>73-83 Vermilyea Avenue</t>
  </si>
  <si>
    <t>1070 E New York Ave</t>
  </si>
  <si>
    <t>829 Schenck Ave</t>
  </si>
  <si>
    <t>214 Rockaway Pkwy</t>
  </si>
  <si>
    <t>36 Euclid Ave</t>
  </si>
  <si>
    <t>1242 President St</t>
  </si>
  <si>
    <t>1030 Ocean Ave</t>
  </si>
  <si>
    <t>54 Linden Blvd</t>
  </si>
  <si>
    <t>720 Bergen St</t>
  </si>
  <si>
    <t>31 Park Ter W</t>
  </si>
  <si>
    <t>2 Ellwood St</t>
  </si>
  <si>
    <t>9711 Alstyne Ave</t>
  </si>
  <si>
    <t>700 Victory Blvd</t>
  </si>
  <si>
    <t>2305 Linden Blvd</t>
  </si>
  <si>
    <t>2270 Walton Ave</t>
  </si>
  <si>
    <t>1924 2nd Ave</t>
  </si>
  <si>
    <t>7212 Dismas Blvd.</t>
  </si>
  <si>
    <t>356 Van Siclen Ave</t>
  </si>
  <si>
    <t>1481 5th Ave</t>
  </si>
  <si>
    <t>145 Seaman Ave</t>
  </si>
  <si>
    <t>570 Fort Washington Ave</t>
  </si>
  <si>
    <t>1825 Atlantic Ave</t>
  </si>
  <si>
    <t>442 W 164th St</t>
  </si>
  <si>
    <t>456 Schenectady Ave</t>
  </si>
  <si>
    <t>11325 Sea View Ave</t>
  </si>
  <si>
    <t>161 S Elliott Pl</t>
  </si>
  <si>
    <t>116 Sherman Ave</t>
  </si>
  <si>
    <t>2101 Creston Ave</t>
  </si>
  <si>
    <t>1512 Townsend Ave</t>
  </si>
  <si>
    <t>65 E 110th St</t>
  </si>
  <si>
    <t>252 Sherman Aveue</t>
  </si>
  <si>
    <t>735 Walton Ave</t>
  </si>
  <si>
    <t>55 Sickles St</t>
  </si>
  <si>
    <t>184 Nagle Ave</t>
  </si>
  <si>
    <t>249 Thomas s Boyland st</t>
  </si>
  <si>
    <t>717 Coster St # 719</t>
  </si>
  <si>
    <t>235 E 39th St</t>
  </si>
  <si>
    <t>570 W 156th St</t>
  </si>
  <si>
    <t>PO Box 661564</t>
  </si>
  <si>
    <t>540 Osborn St</t>
  </si>
  <si>
    <t>512 W 158th St</t>
  </si>
  <si>
    <t>270 Nagle Ave</t>
  </si>
  <si>
    <t>50 Park Ter E</t>
  </si>
  <si>
    <t>45 E Mosholu Pkwy N</t>
  </si>
  <si>
    <t>1 Marble Hill Ave</t>
  </si>
  <si>
    <t>12220 Ocean Promenade</t>
  </si>
  <si>
    <t>200 W 15th St</t>
  </si>
  <si>
    <t>639 W 204th St</t>
  </si>
  <si>
    <t>160 4th Ave</t>
  </si>
  <si>
    <t>600 W 144th St</t>
  </si>
  <si>
    <t>14135 85th Rd</t>
  </si>
  <si>
    <t>220 Wadsworth Ave</t>
  </si>
  <si>
    <t>600 Hylan Blvd</t>
  </si>
  <si>
    <t>1859 Walton Ave</t>
  </si>
  <si>
    <t>200 Haven Ave</t>
  </si>
  <si>
    <t>602 W 137th St</t>
  </si>
  <si>
    <t>4001 12th St</t>
  </si>
  <si>
    <t>5002 3rd Ave</t>
  </si>
  <si>
    <t>175 Ardsley Loop</t>
  </si>
  <si>
    <t>114 E 97th St</t>
  </si>
  <si>
    <t>30 Daniel Low Ter</t>
  </si>
  <si>
    <t>344 Marion st</t>
  </si>
  <si>
    <t>114 Elliot Pl</t>
  </si>
  <si>
    <t>904 Winthrop St</t>
  </si>
  <si>
    <t>1478 Walton Ave</t>
  </si>
  <si>
    <t>3144 Hull Ave</t>
  </si>
  <si>
    <t>638 West 160</t>
  </si>
  <si>
    <t>2181 Pacific st</t>
  </si>
  <si>
    <t>1885 Eastern Pkwy</t>
  </si>
  <si>
    <t>401 E 115th St</t>
  </si>
  <si>
    <t>1365 Saint Nicholas Ave</t>
  </si>
  <si>
    <t>454 Fort Washington Ave</t>
  </si>
  <si>
    <t>3510 75th St</t>
  </si>
  <si>
    <t>235 Seaman Ave</t>
  </si>
  <si>
    <t>455 Carlton Ave</t>
  </si>
  <si>
    <t>939 Woodycrest Ave</t>
  </si>
  <si>
    <t>3026 Wickham Ave</t>
  </si>
  <si>
    <t>2420 Maclay Ave</t>
  </si>
  <si>
    <t>25 W 128th st</t>
  </si>
  <si>
    <t>264 Elizabeth St</t>
  </si>
  <si>
    <t>209 Sumpter St</t>
  </si>
  <si>
    <t>835 E 155th St</t>
  </si>
  <si>
    <t>1265 Gerard Ave</t>
  </si>
  <si>
    <t>45 Arden St</t>
  </si>
  <si>
    <t>528 W 123rd St</t>
  </si>
  <si>
    <t>1652 Park ave</t>
  </si>
  <si>
    <t>150 W 225th St</t>
  </si>
  <si>
    <t>585 N Railroad Ave</t>
  </si>
  <si>
    <t>1541 Williamsbridge Rd</t>
  </si>
  <si>
    <t>299 Saint Marks Pl</t>
  </si>
  <si>
    <t>3822 Bailey Ave</t>
  </si>
  <si>
    <t>543 W 211th St</t>
  </si>
  <si>
    <t>507 W 186th St</t>
  </si>
  <si>
    <t>961 Saint Nicholas Ave</t>
  </si>
  <si>
    <t>670 Riverside Dr</t>
  </si>
  <si>
    <t>30 Post Ave</t>
  </si>
  <si>
    <t>190 E 206th St</t>
  </si>
  <si>
    <t>250 Fort Washington Ave</t>
  </si>
  <si>
    <t>3852 10th Ave</t>
  </si>
  <si>
    <t>427 Fort Washington Ave</t>
  </si>
  <si>
    <t>2086 2nd Ave</t>
  </si>
  <si>
    <t>831 Bartholdi St</t>
  </si>
  <si>
    <t>101 Daniel Low Ter</t>
  </si>
  <si>
    <t>2320 BRONX PARK E</t>
  </si>
  <si>
    <t>241 E Mosholu Pkwy N</t>
  </si>
  <si>
    <t>100 Stuyvesant Pl</t>
  </si>
  <si>
    <t>1575 Townsend Ave</t>
  </si>
  <si>
    <t>3971 Monticello Ave</t>
  </si>
  <si>
    <t>930 Grand Concourse</t>
  </si>
  <si>
    <t>615 W 173rd St</t>
  </si>
  <si>
    <t>500 W 172nd St</t>
  </si>
  <si>
    <t>1195 Anderson Ave</t>
  </si>
  <si>
    <t>650 Lenox Ave</t>
  </si>
  <si>
    <t>8285 116th St</t>
  </si>
  <si>
    <t>1991 Sedgwick Ave</t>
  </si>
  <si>
    <t>2110 Frederick Douglass Blvd</t>
  </si>
  <si>
    <t>312 W 112th St</t>
  </si>
  <si>
    <t>14978 Weller Ln</t>
  </si>
  <si>
    <t>543 47th Ave</t>
  </si>
  <si>
    <t>30 Allen St</t>
  </si>
  <si>
    <t>407 Audubon Ave</t>
  </si>
  <si>
    <t>2101 Cedar Ave</t>
  </si>
  <si>
    <t>790 Eldert Ln</t>
  </si>
  <si>
    <t>801 W 181st St</t>
  </si>
  <si>
    <t>4918 43rd Ave</t>
  </si>
  <si>
    <t>7311 217th St</t>
  </si>
  <si>
    <t>4857 Broadway</t>
  </si>
  <si>
    <t>1420 Freeport Loop</t>
  </si>
  <si>
    <t>2685 University Ave</t>
  </si>
  <si>
    <t>45 Sickles St</t>
  </si>
  <si>
    <t>85 Seaman Ave</t>
  </si>
  <si>
    <t>3525 Bainbridge Ave</t>
  </si>
  <si>
    <t>2102 Amsterdam Avenue</t>
  </si>
  <si>
    <t>43 Sheffield Ave</t>
  </si>
  <si>
    <t>1197 Grand Concourse</t>
  </si>
  <si>
    <t>1991 Sedgewick Avenue</t>
  </si>
  <si>
    <t>14445 35th Ave</t>
  </si>
  <si>
    <t>4124 45th St</t>
  </si>
  <si>
    <t>1401 Elm Ave</t>
  </si>
  <si>
    <t>2757 Claflin Ave</t>
  </si>
  <si>
    <t>501 W 189th St</t>
  </si>
  <si>
    <t>80 Arden St</t>
  </si>
  <si>
    <t>4142 24th St</t>
  </si>
  <si>
    <t>2160 Matthews Ave</t>
  </si>
  <si>
    <t>122 Roe St</t>
  </si>
  <si>
    <t>788 Riverside Dr</t>
  </si>
  <si>
    <t>288 Crown St</t>
  </si>
  <si>
    <t>117 sherman ave</t>
  </si>
  <si>
    <t>225 E 95th St</t>
  </si>
  <si>
    <t>122 E 103rd St</t>
  </si>
  <si>
    <t>9805 67th Ave</t>
  </si>
  <si>
    <t>134 Haven Ave</t>
  </si>
  <si>
    <t>385 Fort Washington Avenue</t>
  </si>
  <si>
    <t>802 W 190th St</t>
  </si>
  <si>
    <t>6071 67th Ave</t>
  </si>
  <si>
    <t>520 W 218th St</t>
  </si>
  <si>
    <t>60 E 196th St</t>
  </si>
  <si>
    <t>1 Floor</t>
  </si>
  <si>
    <t>2nd Floor</t>
  </si>
  <si>
    <t>6B</t>
  </si>
  <si>
    <t>2nd Floor - Rear</t>
  </si>
  <si>
    <t>A</t>
  </si>
  <si>
    <t>3rd Floor</t>
  </si>
  <si>
    <t>Apt 1</t>
  </si>
  <si>
    <t>10B</t>
  </si>
  <si>
    <t>3E</t>
  </si>
  <si>
    <t>2D</t>
  </si>
  <si>
    <t>#7-D</t>
  </si>
  <si>
    <t>3A</t>
  </si>
  <si>
    <t>2R</t>
  </si>
  <si>
    <t>2L</t>
  </si>
  <si>
    <t>Basement</t>
  </si>
  <si>
    <t>1st Floor</t>
  </si>
  <si>
    <t>1st fl</t>
  </si>
  <si>
    <t>5F</t>
  </si>
  <si>
    <t>2B</t>
  </si>
  <si>
    <t>G2</t>
  </si>
  <si>
    <t>B6</t>
  </si>
  <si>
    <t>Apt 3</t>
  </si>
  <si>
    <t>3b</t>
  </si>
  <si>
    <t>Apt. 1E</t>
  </si>
  <si>
    <t>1st Fl</t>
  </si>
  <si>
    <t>3P</t>
  </si>
  <si>
    <t>1A</t>
  </si>
  <si>
    <t>4C</t>
  </si>
  <si>
    <t>1h</t>
  </si>
  <si>
    <t>D4</t>
  </si>
  <si>
    <t>1R</t>
  </si>
  <si>
    <t>21B</t>
  </si>
  <si>
    <t>5J</t>
  </si>
  <si>
    <t>2N</t>
  </si>
  <si>
    <t>19G</t>
  </si>
  <si>
    <t>3-0</t>
  </si>
  <si>
    <t>2C</t>
  </si>
  <si>
    <t>18H</t>
  </si>
  <si>
    <t>7K</t>
  </si>
  <si>
    <t>3L</t>
  </si>
  <si>
    <t>2nd Fl</t>
  </si>
  <si>
    <t>1B</t>
  </si>
  <si>
    <t>3K</t>
  </si>
  <si>
    <t>#2</t>
  </si>
  <si>
    <t>4A</t>
  </si>
  <si>
    <t>3Q</t>
  </si>
  <si>
    <t>15B</t>
  </si>
  <si>
    <t>3F</t>
  </si>
  <si>
    <t>3J</t>
  </si>
  <si>
    <t>2H</t>
  </si>
  <si>
    <t>2-M</t>
  </si>
  <si>
    <t>C7</t>
  </si>
  <si>
    <t>4D</t>
  </si>
  <si>
    <t>1-B</t>
  </si>
  <si>
    <t>1D</t>
  </si>
  <si>
    <t>B7</t>
  </si>
  <si>
    <t>B1</t>
  </si>
  <si>
    <t>60C</t>
  </si>
  <si>
    <t>42C</t>
  </si>
  <si>
    <t>6J</t>
  </si>
  <si>
    <t>7E</t>
  </si>
  <si>
    <t>17E</t>
  </si>
  <si>
    <t>E4</t>
  </si>
  <si>
    <t>4-C</t>
  </si>
  <si>
    <t>2 Room 2A</t>
  </si>
  <si>
    <t>4F</t>
  </si>
  <si>
    <t>#17A</t>
  </si>
  <si>
    <t>7B</t>
  </si>
  <si>
    <t>A-3</t>
  </si>
  <si>
    <t>Apt 2R</t>
  </si>
  <si>
    <t>D2</t>
  </si>
  <si>
    <t>1C</t>
  </si>
  <si>
    <t>3C</t>
  </si>
  <si>
    <t>Private House</t>
  </si>
  <si>
    <t>basement</t>
  </si>
  <si>
    <t>1 C</t>
  </si>
  <si>
    <t>3R</t>
  </si>
  <si>
    <t>3-E</t>
  </si>
  <si>
    <t>6A</t>
  </si>
  <si>
    <t>5I</t>
  </si>
  <si>
    <t>5L</t>
  </si>
  <si>
    <t>3c</t>
  </si>
  <si>
    <t>A2</t>
  </si>
  <si>
    <t>Apt 5C</t>
  </si>
  <si>
    <t>7A</t>
  </si>
  <si>
    <t>Bsmnt</t>
  </si>
  <si>
    <t>12 E</t>
  </si>
  <si>
    <t>2J</t>
  </si>
  <si>
    <t>B2</t>
  </si>
  <si>
    <t>4G</t>
  </si>
  <si>
    <t>2F</t>
  </si>
  <si>
    <t>9E</t>
  </si>
  <si>
    <t>3B</t>
  </si>
  <si>
    <t>4B</t>
  </si>
  <si>
    <t>GG</t>
  </si>
  <si>
    <t>4H</t>
  </si>
  <si>
    <t>CC</t>
  </si>
  <si>
    <t>Basement 2</t>
  </si>
  <si>
    <t>5E</t>
  </si>
  <si>
    <t>7-K</t>
  </si>
  <si>
    <t>2A</t>
  </si>
  <si>
    <t>5B</t>
  </si>
  <si>
    <t>2P</t>
  </si>
  <si>
    <t>4CN</t>
  </si>
  <si>
    <t>6M</t>
  </si>
  <si>
    <t>53A</t>
  </si>
  <si>
    <t>6n</t>
  </si>
  <si>
    <t>5C</t>
  </si>
  <si>
    <t>Apt. 1B</t>
  </si>
  <si>
    <t>5D</t>
  </si>
  <si>
    <t>1st floor</t>
  </si>
  <si>
    <t>G</t>
  </si>
  <si>
    <t>2a</t>
  </si>
  <si>
    <t>3B12</t>
  </si>
  <si>
    <t>5DD</t>
  </si>
  <si>
    <t>6I</t>
  </si>
  <si>
    <t>6C</t>
  </si>
  <si>
    <t>28F</t>
  </si>
  <si>
    <t>8B</t>
  </si>
  <si>
    <t>3D</t>
  </si>
  <si>
    <t>16D</t>
  </si>
  <si>
    <t>6F</t>
  </si>
  <si>
    <t>17G</t>
  </si>
  <si>
    <t>1-A</t>
  </si>
  <si>
    <t>6D</t>
  </si>
  <si>
    <t>4L</t>
  </si>
  <si>
    <t>4-F</t>
  </si>
  <si>
    <t>PH</t>
  </si>
  <si>
    <t>E</t>
  </si>
  <si>
    <t>13G</t>
  </si>
  <si>
    <t>5A</t>
  </si>
  <si>
    <t>12B</t>
  </si>
  <si>
    <t>Apt. 1</t>
  </si>
  <si>
    <t>10N</t>
  </si>
  <si>
    <t>24A</t>
  </si>
  <si>
    <t>1K</t>
  </si>
  <si>
    <t>38B</t>
  </si>
  <si>
    <t>1E</t>
  </si>
  <si>
    <t>40A</t>
  </si>
  <si>
    <t>1G</t>
  </si>
  <si>
    <t>14D</t>
  </si>
  <si>
    <t>A17</t>
  </si>
  <si>
    <t>6Z</t>
  </si>
  <si>
    <t>1F</t>
  </si>
  <si>
    <t>B</t>
  </si>
  <si>
    <t>6H</t>
  </si>
  <si>
    <t>2nd floor</t>
  </si>
  <si>
    <t>1T</t>
  </si>
  <si>
    <t>6V</t>
  </si>
  <si>
    <t>6G</t>
  </si>
  <si>
    <t>E1</t>
  </si>
  <si>
    <t>J</t>
  </si>
  <si>
    <t>D32</t>
  </si>
  <si>
    <t>52 N</t>
  </si>
  <si>
    <t>C8</t>
  </si>
  <si>
    <t>35J</t>
  </si>
  <si>
    <t>D809</t>
  </si>
  <si>
    <t>House 1</t>
  </si>
  <si>
    <t>4E</t>
  </si>
  <si>
    <t>5T</t>
  </si>
  <si>
    <t>4N</t>
  </si>
  <si>
    <t>2G</t>
  </si>
  <si>
    <t>4P</t>
  </si>
  <si>
    <t>1 B</t>
  </si>
  <si>
    <t>3rd FL</t>
  </si>
  <si>
    <t>6L</t>
  </si>
  <si>
    <t>16 H</t>
  </si>
  <si>
    <t>3H</t>
  </si>
  <si>
    <t>9F</t>
  </si>
  <si>
    <t>7C</t>
  </si>
  <si>
    <t>B-36</t>
  </si>
  <si>
    <t>5G</t>
  </si>
  <si>
    <t>b2</t>
  </si>
  <si>
    <t>3rd</t>
  </si>
  <si>
    <t>B21</t>
  </si>
  <si>
    <t>2M</t>
  </si>
  <si>
    <t>2E</t>
  </si>
  <si>
    <t>8H</t>
  </si>
  <si>
    <t>6l</t>
  </si>
  <si>
    <t>Apt. 4G</t>
  </si>
  <si>
    <t>1M</t>
  </si>
  <si>
    <t>5Y</t>
  </si>
  <si>
    <t>12F</t>
  </si>
  <si>
    <t>5H</t>
  </si>
  <si>
    <t>4-L</t>
  </si>
  <si>
    <t>1-H</t>
  </si>
  <si>
    <t>1 R</t>
  </si>
  <si>
    <t>36K</t>
  </si>
  <si>
    <t>10F</t>
  </si>
  <si>
    <t>4th Fl</t>
  </si>
  <si>
    <t>17 A</t>
  </si>
  <si>
    <t>A4</t>
  </si>
  <si>
    <t>3I</t>
  </si>
  <si>
    <t>6-O</t>
  </si>
  <si>
    <t>28A</t>
  </si>
  <si>
    <t>A5C</t>
  </si>
  <si>
    <t>2-B</t>
  </si>
  <si>
    <t>Apt 2C</t>
  </si>
  <si>
    <t>2Y</t>
  </si>
  <si>
    <t>5N</t>
  </si>
  <si>
    <t>1f</t>
  </si>
  <si>
    <t>North 10</t>
  </si>
  <si>
    <t>3rd FL.</t>
  </si>
  <si>
    <t>20C</t>
  </si>
  <si>
    <t>3U</t>
  </si>
  <si>
    <t>17K</t>
  </si>
  <si>
    <t>25 A</t>
  </si>
  <si>
    <t>1st Flr.</t>
  </si>
  <si>
    <t>Ground Floor</t>
  </si>
  <si>
    <t>10M</t>
  </si>
  <si>
    <t>6N</t>
  </si>
  <si>
    <t>Bsmt</t>
  </si>
  <si>
    <t>8C</t>
  </si>
  <si>
    <t>B18</t>
  </si>
  <si>
    <t>B-55</t>
  </si>
  <si>
    <t>4-B</t>
  </si>
  <si>
    <t>9C1</t>
  </si>
  <si>
    <t>A28</t>
  </si>
  <si>
    <t>1H</t>
  </si>
  <si>
    <t>1-C</t>
  </si>
  <si>
    <t>apt 1</t>
  </si>
  <si>
    <t>2K</t>
  </si>
  <si>
    <t>2nd FL</t>
  </si>
  <si>
    <t>23L</t>
  </si>
  <si>
    <t>18S</t>
  </si>
  <si>
    <t>3N</t>
  </si>
  <si>
    <t>20F</t>
  </si>
  <si>
    <t>37c</t>
  </si>
  <si>
    <t>#3T</t>
  </si>
  <si>
    <t>13B</t>
  </si>
  <si>
    <t>#1</t>
  </si>
  <si>
    <t>3-U</t>
  </si>
  <si>
    <t>1L</t>
  </si>
  <si>
    <t>Apt.45</t>
  </si>
  <si>
    <t>Apt. 5E</t>
  </si>
  <si>
    <t>30F</t>
  </si>
  <si>
    <t>6h</t>
  </si>
  <si>
    <t>Apt A</t>
  </si>
  <si>
    <t>S51</t>
  </si>
  <si>
    <t>6-J</t>
  </si>
  <si>
    <t>27D</t>
  </si>
  <si>
    <t>10A</t>
  </si>
  <si>
    <t>3G</t>
  </si>
  <si>
    <t>11E</t>
  </si>
  <si>
    <t>Apt. 4C</t>
  </si>
  <si>
    <t>2 Rear</t>
  </si>
  <si>
    <t>#1F</t>
  </si>
  <si>
    <t>Apt 1N</t>
  </si>
  <si>
    <t>26B</t>
  </si>
  <si>
    <t>6E</t>
  </si>
  <si>
    <t>14E</t>
  </si>
  <si>
    <t>Garden Floor</t>
  </si>
  <si>
    <t>4J</t>
  </si>
  <si>
    <t>15S</t>
  </si>
  <si>
    <t>47A</t>
  </si>
  <si>
    <t>C15</t>
  </si>
  <si>
    <t>18 B</t>
  </si>
  <si>
    <t>Apt 209</t>
  </si>
  <si>
    <t>Apt.6G</t>
  </si>
  <si>
    <t>DV Shelter</t>
  </si>
  <si>
    <t>A-34</t>
  </si>
  <si>
    <t>apt #2</t>
  </si>
  <si>
    <t>11M</t>
  </si>
  <si>
    <t>4K</t>
  </si>
  <si>
    <t>Apt 605</t>
  </si>
  <si>
    <t>22G</t>
  </si>
  <si>
    <t>BSMT</t>
  </si>
  <si>
    <t>1y</t>
  </si>
  <si>
    <t>3-B</t>
  </si>
  <si>
    <t>4b</t>
  </si>
  <si>
    <t>4g</t>
  </si>
  <si>
    <t>D</t>
  </si>
  <si>
    <t>1i</t>
  </si>
  <si>
    <t>6-L</t>
  </si>
  <si>
    <t>4U</t>
  </si>
  <si>
    <t>15H</t>
  </si>
  <si>
    <t>A81</t>
  </si>
  <si>
    <t>1 floor</t>
  </si>
  <si>
    <t>2 FL</t>
  </si>
  <si>
    <t>6K</t>
  </si>
  <si>
    <t>15D</t>
  </si>
  <si>
    <t>5S</t>
  </si>
  <si>
    <t>4h</t>
  </si>
  <si>
    <t>10S</t>
  </si>
  <si>
    <t>7G</t>
  </si>
  <si>
    <t>6i</t>
  </si>
  <si>
    <t>5R</t>
  </si>
  <si>
    <t>11H</t>
  </si>
  <si>
    <t>22F</t>
  </si>
  <si>
    <t>3AN</t>
  </si>
  <si>
    <t>17A</t>
  </si>
  <si>
    <t>7V</t>
  </si>
  <si>
    <t>R510</t>
  </si>
  <si>
    <t>8F</t>
  </si>
  <si>
    <t>1-E</t>
  </si>
  <si>
    <t>52A</t>
  </si>
  <si>
    <t>31A</t>
  </si>
  <si>
    <t>C3E</t>
  </si>
  <si>
    <t>23B</t>
  </si>
  <si>
    <t>ST1</t>
  </si>
  <si>
    <t>16M</t>
  </si>
  <si>
    <t>17GA</t>
  </si>
  <si>
    <t>19B</t>
  </si>
  <si>
    <t>1-D</t>
  </si>
  <si>
    <t>Apt A-15</t>
  </si>
  <si>
    <t>Apt.2L</t>
  </si>
  <si>
    <t>2d</t>
  </si>
  <si>
    <t>5-J</t>
  </si>
  <si>
    <t>21 E</t>
  </si>
  <si>
    <t>4S</t>
  </si>
  <si>
    <t>B5</t>
  </si>
  <si>
    <t>63A</t>
  </si>
  <si>
    <t>D1</t>
  </si>
  <si>
    <t>3A - 1st floor</t>
  </si>
  <si>
    <t>Apt 3C</t>
  </si>
  <si>
    <t>B66</t>
  </si>
  <si>
    <t>16B</t>
  </si>
  <si>
    <t>7R</t>
  </si>
  <si>
    <t>1-R</t>
  </si>
  <si>
    <t>Floor 2</t>
  </si>
  <si>
    <t>D312</t>
  </si>
  <si>
    <t>LG3</t>
  </si>
  <si>
    <t>2 C</t>
  </si>
  <si>
    <t>3-R</t>
  </si>
  <si>
    <t>37A</t>
  </si>
  <si>
    <t>3-A</t>
  </si>
  <si>
    <t>12E</t>
  </si>
  <si>
    <t>BB</t>
  </si>
  <si>
    <t>A49</t>
  </si>
  <si>
    <t>2 floor</t>
  </si>
  <si>
    <t>18 C</t>
  </si>
  <si>
    <t>2nd Floor, #2</t>
  </si>
  <si>
    <t>1405W</t>
  </si>
  <si>
    <t>14B</t>
  </si>
  <si>
    <t>17N</t>
  </si>
  <si>
    <t>#3B</t>
  </si>
  <si>
    <t>2-H</t>
  </si>
  <si>
    <t>D1B</t>
  </si>
  <si>
    <t>C2C</t>
  </si>
  <si>
    <t>1Q</t>
  </si>
  <si>
    <t>4 B</t>
  </si>
  <si>
    <t>Apt 7H</t>
  </si>
  <si>
    <t>Apt. 6F</t>
  </si>
  <si>
    <t>28G</t>
  </si>
  <si>
    <t>17 H</t>
  </si>
  <si>
    <t>7H</t>
  </si>
  <si>
    <t>26k</t>
  </si>
  <si>
    <t>rent house</t>
  </si>
  <si>
    <t>C</t>
  </si>
  <si>
    <t>3O</t>
  </si>
  <si>
    <t>Apt. B</t>
  </si>
  <si>
    <t>Apt 5G</t>
  </si>
  <si>
    <t>9K</t>
  </si>
  <si>
    <t>14C</t>
  </si>
  <si>
    <t>305A</t>
  </si>
  <si>
    <t>17 GI</t>
  </si>
  <si>
    <t>Room 3</t>
  </si>
  <si>
    <t>28E</t>
  </si>
  <si>
    <t>9DN</t>
  </si>
  <si>
    <t>Front apartment</t>
  </si>
  <si>
    <t>1-F</t>
  </si>
  <si>
    <t>A41</t>
  </si>
  <si>
    <t>5-G</t>
  </si>
  <si>
    <t>5Q</t>
  </si>
  <si>
    <t>Apt 409</t>
  </si>
  <si>
    <t>R607</t>
  </si>
  <si>
    <t>13P</t>
  </si>
  <si>
    <t>Room #10</t>
  </si>
  <si>
    <t>1AA</t>
  </si>
  <si>
    <t>11R</t>
  </si>
  <si>
    <t>45A</t>
  </si>
  <si>
    <t>7F</t>
  </si>
  <si>
    <t>11-B</t>
  </si>
  <si>
    <t>D6A</t>
  </si>
  <si>
    <t>37 A</t>
  </si>
  <si>
    <t>3rd floor</t>
  </si>
  <si>
    <t>23M</t>
  </si>
  <si>
    <t>2-A</t>
  </si>
  <si>
    <t>D9</t>
  </si>
  <si>
    <t>10D</t>
  </si>
  <si>
    <t>22P</t>
  </si>
  <si>
    <t>3l</t>
  </si>
  <si>
    <t>12H</t>
  </si>
  <si>
    <t>5-0</t>
  </si>
  <si>
    <t>#2F</t>
  </si>
  <si>
    <t>A-4</t>
  </si>
  <si>
    <t>2nd fl</t>
  </si>
  <si>
    <t>4-O</t>
  </si>
  <si>
    <t>12D</t>
  </si>
  <si>
    <t>38J</t>
  </si>
  <si>
    <t>39B</t>
  </si>
  <si>
    <t>A5</t>
  </si>
  <si>
    <t>12 A</t>
  </si>
  <si>
    <t>11B</t>
  </si>
  <si>
    <t>24-D</t>
  </si>
  <si>
    <t>29F</t>
  </si>
  <si>
    <t>2I</t>
  </si>
  <si>
    <t>1FL</t>
  </si>
  <si>
    <t>Apt. 3C</t>
  </si>
  <si>
    <t>59A</t>
  </si>
  <si>
    <t>2 Fl.</t>
  </si>
  <si>
    <t>0J</t>
  </si>
  <si>
    <t>1-G</t>
  </si>
  <si>
    <t>3M</t>
  </si>
  <si>
    <t>33K</t>
  </si>
  <si>
    <t>3-D</t>
  </si>
  <si>
    <t>Apt 5K</t>
  </si>
  <si>
    <t>F2</t>
  </si>
  <si>
    <t>12 C</t>
  </si>
  <si>
    <t>1S</t>
  </si>
  <si>
    <t>1I</t>
  </si>
  <si>
    <t>65A</t>
  </si>
  <si>
    <t>18L</t>
  </si>
  <si>
    <t>5-H</t>
  </si>
  <si>
    <t>W3N</t>
  </si>
  <si>
    <t>R411</t>
  </si>
  <si>
    <t>E5</t>
  </si>
  <si>
    <t>Apt 33</t>
  </si>
  <si>
    <t>1st door</t>
  </si>
  <si>
    <t>Second Floor, room 1</t>
  </si>
  <si>
    <t>9H</t>
  </si>
  <si>
    <t>F</t>
  </si>
  <si>
    <t>A-32</t>
  </si>
  <si>
    <t>15 T</t>
  </si>
  <si>
    <t>6k</t>
  </si>
  <si>
    <t>#2FL</t>
  </si>
  <si>
    <t>41A</t>
  </si>
  <si>
    <t>9C</t>
  </si>
  <si>
    <t>A31</t>
  </si>
  <si>
    <t>4RE</t>
  </si>
  <si>
    <t>E306</t>
  </si>
  <si>
    <t>24B</t>
  </si>
  <si>
    <t>19N</t>
  </si>
  <si>
    <t>3d</t>
  </si>
  <si>
    <t>14H</t>
  </si>
  <si>
    <t>A21</t>
  </si>
  <si>
    <t>23 A</t>
  </si>
  <si>
    <t>8-O</t>
  </si>
  <si>
    <t>9Y</t>
  </si>
  <si>
    <t>5-B</t>
  </si>
  <si>
    <t>5K</t>
  </si>
  <si>
    <t>33B</t>
  </si>
  <si>
    <t>5W</t>
  </si>
  <si>
    <t>A-23</t>
  </si>
  <si>
    <t>2416W</t>
  </si>
  <si>
    <t>4-J</t>
  </si>
  <si>
    <t>27F</t>
  </si>
  <si>
    <t>7L</t>
  </si>
  <si>
    <t>1 Rm 2</t>
  </si>
  <si>
    <t>15V</t>
  </si>
  <si>
    <t>1J (back bedroom)</t>
  </si>
  <si>
    <t>2nd Fl Rm C</t>
  </si>
  <si>
    <t>6R</t>
  </si>
  <si>
    <t>2nd Fl.</t>
  </si>
  <si>
    <t>3-L</t>
  </si>
  <si>
    <t>1g</t>
  </si>
  <si>
    <t>16-0</t>
  </si>
  <si>
    <t>2 Fl</t>
  </si>
  <si>
    <t>495A</t>
  </si>
  <si>
    <t>FF</t>
  </si>
  <si>
    <t>22L</t>
  </si>
  <si>
    <t>6S</t>
  </si>
  <si>
    <t>10G</t>
  </si>
  <si>
    <t>43B</t>
  </si>
  <si>
    <t>2-G</t>
  </si>
  <si>
    <t>Apt 8C</t>
  </si>
  <si>
    <t>1N</t>
  </si>
  <si>
    <t>k</t>
  </si>
  <si>
    <t>8M</t>
  </si>
  <si>
    <t>1st</t>
  </si>
  <si>
    <t>#3L</t>
  </si>
  <si>
    <t>11J</t>
  </si>
  <si>
    <t>4f</t>
  </si>
  <si>
    <t>A6</t>
  </si>
  <si>
    <t>B3</t>
  </si>
  <si>
    <t>11L</t>
  </si>
  <si>
    <t>C6D</t>
  </si>
  <si>
    <t>Room 2</t>
  </si>
  <si>
    <t>A-58</t>
  </si>
  <si>
    <t>1X</t>
  </si>
  <si>
    <t>3W</t>
  </si>
  <si>
    <t>11C</t>
  </si>
  <si>
    <t>s10</t>
  </si>
  <si>
    <t>3T</t>
  </si>
  <si>
    <t>25E</t>
  </si>
  <si>
    <t>6-B</t>
  </si>
  <si>
    <t>22A</t>
  </si>
  <si>
    <t>2106W</t>
  </si>
  <si>
    <t>Apt 2 Room 3</t>
  </si>
  <si>
    <t>18B</t>
  </si>
  <si>
    <t>2RE</t>
  </si>
  <si>
    <t>2-S</t>
  </si>
  <si>
    <t>11D</t>
  </si>
  <si>
    <t>11S</t>
  </si>
  <si>
    <t>17 F</t>
  </si>
  <si>
    <t>L501</t>
  </si>
  <si>
    <t>1 E</t>
  </si>
  <si>
    <t>20K</t>
  </si>
  <si>
    <t>4 M</t>
  </si>
  <si>
    <t>18J</t>
  </si>
  <si>
    <t>1l</t>
  </si>
  <si>
    <t>Apt. 1 2nd floor</t>
  </si>
  <si>
    <t>BA</t>
  </si>
  <si>
    <t>Apt 2</t>
  </si>
  <si>
    <t>10R</t>
  </si>
  <si>
    <t>2X</t>
  </si>
  <si>
    <t>1J</t>
  </si>
  <si>
    <t>8P</t>
  </si>
  <si>
    <t>3a</t>
  </si>
  <si>
    <t>36B</t>
  </si>
  <si>
    <t>5d</t>
  </si>
  <si>
    <t>4M</t>
  </si>
  <si>
    <t>15G</t>
  </si>
  <si>
    <t>15 J</t>
  </si>
  <si>
    <t>C22</t>
  </si>
  <si>
    <t>11F</t>
  </si>
  <si>
    <t>39-A</t>
  </si>
  <si>
    <t>2-D</t>
  </si>
  <si>
    <t>12-0</t>
  </si>
  <si>
    <t>E-3</t>
  </si>
  <si>
    <t>2FL</t>
  </si>
  <si>
    <t>bsmnt</t>
  </si>
  <si>
    <t>4AA</t>
  </si>
  <si>
    <t>14n</t>
  </si>
  <si>
    <t>10C</t>
  </si>
  <si>
    <t>4R</t>
  </si>
  <si>
    <t>31 D</t>
  </si>
  <si>
    <t>27B</t>
  </si>
  <si>
    <t>4I</t>
  </si>
  <si>
    <t>14L</t>
  </si>
  <si>
    <t>9B</t>
  </si>
  <si>
    <t>19M</t>
  </si>
  <si>
    <t>6-A</t>
  </si>
  <si>
    <t>B31</t>
  </si>
  <si>
    <t>2GS</t>
  </si>
  <si>
    <t>17H</t>
  </si>
  <si>
    <t>9S</t>
  </si>
  <si>
    <t>8G</t>
  </si>
  <si>
    <t>2-C</t>
  </si>
  <si>
    <t>5-A</t>
  </si>
  <si>
    <t>24C</t>
  </si>
  <si>
    <t>10H</t>
  </si>
  <si>
    <t>63-B</t>
  </si>
  <si>
    <t>1c</t>
  </si>
  <si>
    <t>LB</t>
  </si>
  <si>
    <t>D-5C</t>
  </si>
  <si>
    <t>Apt.5L</t>
  </si>
  <si>
    <t>12G</t>
  </si>
  <si>
    <t>C16</t>
  </si>
  <si>
    <t>3KK</t>
  </si>
  <si>
    <t>17M</t>
  </si>
  <si>
    <t>Unit 1C</t>
  </si>
  <si>
    <t>1P</t>
  </si>
  <si>
    <t>B55</t>
  </si>
  <si>
    <t>Apt 309</t>
  </si>
  <si>
    <t>13C</t>
  </si>
  <si>
    <t>Apt 5</t>
  </si>
  <si>
    <t>A1</t>
  </si>
  <si>
    <t>8L</t>
  </si>
  <si>
    <t>G21</t>
  </si>
  <si>
    <t>6-G</t>
  </si>
  <si>
    <t>1RR</t>
  </si>
  <si>
    <t>4-M</t>
  </si>
  <si>
    <t>51-B</t>
  </si>
  <si>
    <t>10E</t>
  </si>
  <si>
    <t>9D</t>
  </si>
  <si>
    <t>19 D</t>
  </si>
  <si>
    <t>20 H</t>
  </si>
  <si>
    <t>13A</t>
  </si>
  <si>
    <t>20D</t>
  </si>
  <si>
    <t>1st floor apt 3</t>
  </si>
  <si>
    <t>1st FL</t>
  </si>
  <si>
    <t>22B</t>
  </si>
  <si>
    <t>D7</t>
  </si>
  <si>
    <t>C2</t>
  </si>
  <si>
    <t>14 K</t>
  </si>
  <si>
    <t>2-F</t>
  </si>
  <si>
    <t>23E</t>
  </si>
  <si>
    <t>53B</t>
  </si>
  <si>
    <t>B4</t>
  </si>
  <si>
    <t>4-2k</t>
  </si>
  <si>
    <t>10K</t>
  </si>
  <si>
    <t>A53</t>
  </si>
  <si>
    <t>3 R</t>
  </si>
  <si>
    <t>16N</t>
  </si>
  <si>
    <t>17B</t>
  </si>
  <si>
    <t>21C</t>
  </si>
  <si>
    <t>1 LR</t>
  </si>
  <si>
    <t>Apt 5A</t>
  </si>
  <si>
    <t>D6</t>
  </si>
  <si>
    <t>2-K</t>
  </si>
  <si>
    <t>9M</t>
  </si>
  <si>
    <t>66B</t>
  </si>
  <si>
    <t>13D</t>
  </si>
  <si>
    <t>3r</t>
  </si>
  <si>
    <t>24D</t>
  </si>
  <si>
    <t>Apt 6BN</t>
  </si>
  <si>
    <t>2Q</t>
  </si>
  <si>
    <t>29A</t>
  </si>
  <si>
    <t>1-L</t>
  </si>
  <si>
    <t>B-6</t>
  </si>
  <si>
    <t>20B</t>
  </si>
  <si>
    <t>6-D</t>
  </si>
  <si>
    <t>19R</t>
  </si>
  <si>
    <t>21 G</t>
  </si>
  <si>
    <t>13 E</t>
  </si>
  <si>
    <t>apt. 41</t>
  </si>
  <si>
    <t>11P</t>
  </si>
  <si>
    <t>8R</t>
  </si>
  <si>
    <t>9L</t>
  </si>
  <si>
    <t>5n</t>
  </si>
  <si>
    <t>B-6L</t>
  </si>
  <si>
    <t>18M</t>
  </si>
  <si>
    <t>LS</t>
  </si>
  <si>
    <t>LE</t>
  </si>
  <si>
    <t>26C</t>
  </si>
  <si>
    <t>16K</t>
  </si>
  <si>
    <t>1-N</t>
  </si>
  <si>
    <t>Apt 3B</t>
  </si>
  <si>
    <t>20A</t>
  </si>
  <si>
    <t>Apt 2K</t>
  </si>
  <si>
    <t>4e</t>
  </si>
  <si>
    <t>Apt 316</t>
  </si>
  <si>
    <t>14N</t>
  </si>
  <si>
    <t>Apt 2L</t>
  </si>
  <si>
    <t>7M</t>
  </si>
  <si>
    <t>Apt.1</t>
  </si>
  <si>
    <t>16 D</t>
  </si>
  <si>
    <t>5f</t>
  </si>
  <si>
    <t>24P</t>
  </si>
  <si>
    <t>4i</t>
  </si>
  <si>
    <t>17R</t>
  </si>
  <si>
    <t>E-12</t>
  </si>
  <si>
    <t>Apt. 611</t>
  </si>
  <si>
    <t>54 B</t>
  </si>
  <si>
    <t>19L</t>
  </si>
  <si>
    <t>5P</t>
  </si>
  <si>
    <t>16F</t>
  </si>
  <si>
    <t>A43</t>
  </si>
  <si>
    <t>21J</t>
  </si>
  <si>
    <t>R5</t>
  </si>
  <si>
    <t>7D</t>
  </si>
  <si>
    <t>11A</t>
  </si>
  <si>
    <t>12L</t>
  </si>
  <si>
    <t>First Floor</t>
  </si>
  <si>
    <t>18 H</t>
  </si>
  <si>
    <t>24E</t>
  </si>
  <si>
    <t>21K</t>
  </si>
  <si>
    <t>18G</t>
  </si>
  <si>
    <t>AA</t>
  </si>
  <si>
    <t>18C</t>
  </si>
  <si>
    <t>19A</t>
  </si>
  <si>
    <t>21F</t>
  </si>
  <si>
    <t>4DS</t>
  </si>
  <si>
    <t>12 F</t>
  </si>
  <si>
    <t>7J</t>
  </si>
  <si>
    <t>apt1</t>
  </si>
  <si>
    <t>6a</t>
  </si>
  <si>
    <t>A46</t>
  </si>
  <si>
    <t>2S</t>
  </si>
  <si>
    <t>21M</t>
  </si>
  <si>
    <t>18N</t>
  </si>
  <si>
    <t>11K</t>
  </si>
  <si>
    <t>12A</t>
  </si>
  <si>
    <t>20-0</t>
  </si>
  <si>
    <t>23G</t>
  </si>
  <si>
    <t>12P</t>
  </si>
  <si>
    <t>5/3L</t>
  </si>
  <si>
    <t>D24</t>
  </si>
  <si>
    <t>F6</t>
  </si>
  <si>
    <t>C4</t>
  </si>
  <si>
    <t>26G</t>
  </si>
  <si>
    <t>PHD</t>
  </si>
  <si>
    <t>9G</t>
  </si>
  <si>
    <t>12C</t>
  </si>
  <si>
    <t>E30</t>
  </si>
  <si>
    <t>17C</t>
  </si>
  <si>
    <t>Rockaway Bch</t>
  </si>
  <si>
    <t>Arverne</t>
  </si>
  <si>
    <t>Far Rockaway</t>
  </si>
  <si>
    <t>Jamaica</t>
  </si>
  <si>
    <t>Queens Vlg</t>
  </si>
  <si>
    <t>Queens Village</t>
  </si>
  <si>
    <t>Hollis</t>
  </si>
  <si>
    <t>Woodhaven</t>
  </si>
  <si>
    <t>South Richmond Hill</t>
  </si>
  <si>
    <t>S Richmond Hl</t>
  </si>
  <si>
    <t>Ozone Park</t>
  </si>
  <si>
    <t>Maspeth</t>
  </si>
  <si>
    <t>Woodside</t>
  </si>
  <si>
    <t>Rego Park</t>
  </si>
  <si>
    <t>Jackson Hts</t>
  </si>
  <si>
    <t>East Elmhurst</t>
  </si>
  <si>
    <t>Corona</t>
  </si>
  <si>
    <t>Flushing</t>
  </si>
  <si>
    <t>Fresh Meadows</t>
  </si>
  <si>
    <t>Bayside</t>
  </si>
  <si>
    <t>Brooklyn</t>
  </si>
  <si>
    <t>Astoria</t>
  </si>
  <si>
    <t>Long Is City</t>
  </si>
  <si>
    <t>Long Island City</t>
  </si>
  <si>
    <t>Bronx</t>
  </si>
  <si>
    <t>Staten Island</t>
  </si>
  <si>
    <t>New York</t>
  </si>
  <si>
    <t>Sprngfld Gdns</t>
  </si>
  <si>
    <t>Freeport</t>
  </si>
  <si>
    <t>Howard Beach</t>
  </si>
  <si>
    <t>Oakland Gdns</t>
  </si>
  <si>
    <t>S Ozone Park</t>
  </si>
  <si>
    <t>Saint Albans</t>
  </si>
  <si>
    <t>Forest Hills</t>
  </si>
  <si>
    <t>Cambria Heights</t>
  </si>
  <si>
    <t>Jackson Heights</t>
  </si>
  <si>
    <t>Bellerose</t>
  </si>
  <si>
    <t>Richmond Hill</t>
  </si>
  <si>
    <t>Elmhurst</t>
  </si>
  <si>
    <t>brooklyn</t>
  </si>
  <si>
    <t>BROOKLYN</t>
  </si>
  <si>
    <t>Floral Park</t>
  </si>
  <si>
    <t>Kew Gardens</t>
  </si>
  <si>
    <t>Laurelton</t>
  </si>
  <si>
    <t>Rosedale</t>
  </si>
  <si>
    <t>Ridgewood</t>
  </si>
  <si>
    <t>College Point</t>
  </si>
  <si>
    <t>Sunnyside</t>
  </si>
  <si>
    <t>Cambria Hts</t>
  </si>
  <si>
    <t>Rockaway Park</t>
  </si>
  <si>
    <t>BRONX</t>
  </si>
  <si>
    <t>Yes</t>
  </si>
  <si>
    <t xml:space="preserve"> </t>
  </si>
  <si>
    <t>No</t>
  </si>
  <si>
    <t>LT-01109-18/QU</t>
  </si>
  <si>
    <t>LT-074577-17/QU</t>
  </si>
  <si>
    <t>LT-055942-16/QU</t>
  </si>
  <si>
    <t>LT-00237-19/QU</t>
  </si>
  <si>
    <t>No case</t>
  </si>
  <si>
    <t>LT-069717-17/QU</t>
  </si>
  <si>
    <t>LT-056778-18/QU</t>
  </si>
  <si>
    <t>LT-057357-18/QU</t>
  </si>
  <si>
    <t>LT-070888-18/QU</t>
  </si>
  <si>
    <t>LT-067757-12/QU</t>
  </si>
  <si>
    <t>LT-054735-19/QU</t>
  </si>
  <si>
    <t>LT-065317-18/QU</t>
  </si>
  <si>
    <t>LT-079909-17/QU</t>
  </si>
  <si>
    <t>LT-058928-18/QU</t>
  </si>
  <si>
    <t>LT-071513-18/QU</t>
  </si>
  <si>
    <t>LT-013952-18/QU</t>
  </si>
  <si>
    <t>LT-070649-18/QU</t>
  </si>
  <si>
    <t>LT-070656-18/QU</t>
  </si>
  <si>
    <t>LT-071730-18/QU</t>
  </si>
  <si>
    <t>LT-74424-18/QU</t>
  </si>
  <si>
    <t>LT-78025-18/QU</t>
  </si>
  <si>
    <t>LT-074424-18/QU</t>
  </si>
  <si>
    <t>no case yet</t>
  </si>
  <si>
    <t>LT-071240-18/QU</t>
  </si>
  <si>
    <t>none</t>
  </si>
  <si>
    <t>LT-068340-18/QU</t>
  </si>
  <si>
    <t>LT-073625-18/QU</t>
  </si>
  <si>
    <t>No Case</t>
  </si>
  <si>
    <t>LT-060704</t>
  </si>
  <si>
    <t>LT-078992-18/QU</t>
  </si>
  <si>
    <t>LT-077041-18/QU</t>
  </si>
  <si>
    <t>LT-076387-18/QU</t>
  </si>
  <si>
    <t>LT-001176-18/QU</t>
  </si>
  <si>
    <t>None</t>
  </si>
  <si>
    <t>LT-074285-18/QU</t>
  </si>
  <si>
    <t>LT-014297-18/QU</t>
  </si>
  <si>
    <t>LT-75756-18/QU</t>
  </si>
  <si>
    <t>LT-060260-19/QU</t>
  </si>
  <si>
    <t>NO CASE</t>
  </si>
  <si>
    <t>LT-052631-18/QU</t>
  </si>
  <si>
    <t>LT-067605-18/QU</t>
  </si>
  <si>
    <t>LT-056952-19/QU</t>
  </si>
  <si>
    <t>LT-068250-18/QU</t>
  </si>
  <si>
    <t>LT-077983-18/QU</t>
  </si>
  <si>
    <t>LT-001050-18/QU</t>
  </si>
  <si>
    <t>LT-069364-18/QU</t>
  </si>
  <si>
    <t>LT-067814-18/QU</t>
  </si>
  <si>
    <t>LT-079487-18/KI</t>
  </si>
  <si>
    <t>LT-082646-18/KI</t>
  </si>
  <si>
    <t>LT-061755-18/KI</t>
  </si>
  <si>
    <t>LT-053576-18/KI</t>
  </si>
  <si>
    <t>LT-086257-18/KI</t>
  </si>
  <si>
    <t>LT-095266-18/KI</t>
  </si>
  <si>
    <t>LT-076975-18/KI</t>
  </si>
  <si>
    <t>LT-054594-17/KI</t>
  </si>
  <si>
    <t>LT-051542-19/KI</t>
  </si>
  <si>
    <t>LT-72950-18/KI</t>
  </si>
  <si>
    <t>LT-062582-17/KI</t>
  </si>
  <si>
    <t>LT-072787-18/KI</t>
  </si>
  <si>
    <t>LT-066283-18/KI</t>
  </si>
  <si>
    <t>LT-052745-19/KI</t>
  </si>
  <si>
    <t>LT-090995-18/KI</t>
  </si>
  <si>
    <t>GS210092</t>
  </si>
  <si>
    <t>LT-002909-18/KI</t>
  </si>
  <si>
    <t>LT-071033-18/KI</t>
  </si>
  <si>
    <t>LT-072629-17/KI</t>
  </si>
  <si>
    <t>LT-65708-18/KI</t>
  </si>
  <si>
    <t>LT 59459/2019</t>
  </si>
  <si>
    <t>LT-072629-18/KI</t>
  </si>
  <si>
    <t>LT-003383-18/KI</t>
  </si>
  <si>
    <t>LT-000287-19/KI</t>
  </si>
  <si>
    <t>LT-093707-17/KI</t>
  </si>
  <si>
    <t>LT-056213-18/KI</t>
  </si>
  <si>
    <t>LT-051481-19/KI</t>
  </si>
  <si>
    <t>521089/2017</t>
  </si>
  <si>
    <t>19-40820</t>
  </si>
  <si>
    <t>LT-093398-17/KI</t>
  </si>
  <si>
    <t>LT-087145-18/KI</t>
  </si>
  <si>
    <t>LT-063375-18/KI</t>
  </si>
  <si>
    <t>LT-070101-18/KI</t>
  </si>
  <si>
    <t>LT-084795-18/KI</t>
  </si>
  <si>
    <t>LT-003413-17/KI</t>
  </si>
  <si>
    <t>LT-092855-18/KI</t>
  </si>
  <si>
    <t>LT-087600-18/KI</t>
  </si>
  <si>
    <t>LT-074136-18/KI</t>
  </si>
  <si>
    <t>LT-089315-17/KI</t>
  </si>
  <si>
    <t>LT-062402-18/KI</t>
  </si>
  <si>
    <t>LT-060912-19/KI</t>
  </si>
  <si>
    <t>LT-058985-19/KI</t>
  </si>
  <si>
    <t>Lt 62670/2019 KI</t>
  </si>
  <si>
    <t>LT-87502-18/KI</t>
  </si>
  <si>
    <t>80336/2018</t>
  </si>
  <si>
    <t>LT-052811-19/QU</t>
  </si>
  <si>
    <t>NONE</t>
  </si>
  <si>
    <t>LT-051527-19/QU</t>
  </si>
  <si>
    <t>LT-066418-18/QU</t>
  </si>
  <si>
    <t>LT-051100-19/QU</t>
  </si>
  <si>
    <t>LT-051150-19/QU</t>
  </si>
  <si>
    <t>LT-068256-18/QU</t>
  </si>
  <si>
    <t>LT-072410-18/QU</t>
  </si>
  <si>
    <t>LT-56760-19/QU</t>
  </si>
  <si>
    <t>LT-050386-18/BX</t>
  </si>
  <si>
    <t>LT-003517-18/BX</t>
  </si>
  <si>
    <t>LT-043716-18/BX</t>
  </si>
  <si>
    <t>LT-003326-19/BX</t>
  </si>
  <si>
    <t>LT-3326-19/BX</t>
  </si>
  <si>
    <t>LT-021612-18/BX</t>
  </si>
  <si>
    <t>LT-061923-17/BX</t>
  </si>
  <si>
    <t>LT-066383-18/BX</t>
  </si>
  <si>
    <t>LT-036266-18/BX</t>
  </si>
  <si>
    <t>GW 630035 B</t>
  </si>
  <si>
    <t>GW-630035-B</t>
  </si>
  <si>
    <t>CX-063009-OM</t>
  </si>
  <si>
    <t>FM-630024-RT</t>
  </si>
  <si>
    <t>LT-066074-18/BX</t>
  </si>
  <si>
    <t>GT-610002-RO</t>
  </si>
  <si>
    <t>LT-806603-17/BX</t>
  </si>
  <si>
    <t>LT-13923-19/BX</t>
  </si>
  <si>
    <t>LT-025489-18/BX</t>
  </si>
  <si>
    <t>LT-039024-18/BX</t>
  </si>
  <si>
    <t>LT-064776-18/BX</t>
  </si>
  <si>
    <t>LT-15152-19/BX</t>
  </si>
  <si>
    <t>LT-064900-18/KI</t>
  </si>
  <si>
    <t>LT-052063-18/BX</t>
  </si>
  <si>
    <t>LT-68049-18/BX</t>
  </si>
  <si>
    <t>LT-050452-19/RI</t>
  </si>
  <si>
    <t>LT-050657-19/RI</t>
  </si>
  <si>
    <t>no case</t>
  </si>
  <si>
    <t>LT-010281-19/RI</t>
  </si>
  <si>
    <t>LT-051990-18/RI</t>
  </si>
  <si>
    <t>LT-050321-19/RI</t>
  </si>
  <si>
    <t>94 RSC 2019</t>
  </si>
  <si>
    <t>LT-051366-18/RI</t>
  </si>
  <si>
    <t>LT-053171-18/RI</t>
  </si>
  <si>
    <t>LT-053240-17/RI</t>
  </si>
  <si>
    <t>LT-053170-18/RI</t>
  </si>
  <si>
    <t>LT-053099-18/RI</t>
  </si>
  <si>
    <t>LT-053693-18/RI</t>
  </si>
  <si>
    <t>LT-005699-18/RI</t>
  </si>
  <si>
    <t>LT-050719-19/RI</t>
  </si>
  <si>
    <t>LT-025003-17/NY</t>
  </si>
  <si>
    <t>LT-251014-18/NY</t>
  </si>
  <si>
    <t>LT-000564-19/NY</t>
  </si>
  <si>
    <t>LT-077337-18/NY</t>
  </si>
  <si>
    <t>LT-065291-18/NY</t>
  </si>
  <si>
    <t>LT-069239-18/NY</t>
  </si>
  <si>
    <t>LT-054599-19/NY</t>
  </si>
  <si>
    <t>LT-066621-18/NY</t>
  </si>
  <si>
    <t>LT-081381-18/NY</t>
  </si>
  <si>
    <t>LT-071339-17/NY</t>
  </si>
  <si>
    <t>LT-069832-18/NY</t>
  </si>
  <si>
    <t>LT-080895-17/NY</t>
  </si>
  <si>
    <t>LT-59055-18/NY</t>
  </si>
  <si>
    <t>LT-077170-18/NY</t>
  </si>
  <si>
    <t>LT-056703-19/KI</t>
  </si>
  <si>
    <t>LT-059273-19</t>
  </si>
  <si>
    <t>GS 210092</t>
  </si>
  <si>
    <t>LT-000202-18/BX</t>
  </si>
  <si>
    <t>LT-050811-17/BX</t>
  </si>
  <si>
    <t>LT-052720-18/BX</t>
  </si>
  <si>
    <t>LT-052933-18/RI</t>
  </si>
  <si>
    <t>LT-058348-19/KI</t>
  </si>
  <si>
    <t>LT-059113-19/KI</t>
  </si>
  <si>
    <t>LT-052522-18/RI</t>
  </si>
  <si>
    <t>LT-038308-18/BX</t>
  </si>
  <si>
    <t>LT-073300-18//KI</t>
  </si>
  <si>
    <t>LT-054457-18/BX</t>
  </si>
  <si>
    <t>LT-801310-19/BX</t>
  </si>
  <si>
    <t>LT-075409-18/KI</t>
  </si>
  <si>
    <t>LT-080851-18/KI</t>
  </si>
  <si>
    <t>LT-053490-18/RI</t>
  </si>
  <si>
    <t>LT-067042-18/KI</t>
  </si>
  <si>
    <t>LT-045585-18/BX</t>
  </si>
  <si>
    <t>LT-038353-18/BX</t>
  </si>
  <si>
    <t>LT-050579-19/KI</t>
  </si>
  <si>
    <t>LT-031292-18/BX</t>
  </si>
  <si>
    <t>LT-251148-17/NY</t>
  </si>
  <si>
    <t>LT-058764-19/KI</t>
  </si>
  <si>
    <t>LT-030591-18/BX</t>
  </si>
  <si>
    <t>LT-075956-18/KI</t>
  </si>
  <si>
    <t>LT-097350-18/KI</t>
  </si>
  <si>
    <t>LT-50896-18/RI</t>
  </si>
  <si>
    <t>LT-19589-BX/19</t>
  </si>
  <si>
    <t>LT-058635-18/QU</t>
  </si>
  <si>
    <t>LT-052953-18/RI</t>
  </si>
  <si>
    <t>LT-057533-19/KI</t>
  </si>
  <si>
    <t>LT-082869-18/KI</t>
  </si>
  <si>
    <t>LT-067299-18/NY</t>
  </si>
  <si>
    <t>LT-080752-17/NY</t>
  </si>
  <si>
    <t>LT-006044-19/QU</t>
  </si>
  <si>
    <t>LT-056655-19/KI</t>
  </si>
  <si>
    <t>LT-001515-18/NY</t>
  </si>
  <si>
    <t>LT-080398-18/KI</t>
  </si>
  <si>
    <t>LT-050711-18/QU</t>
  </si>
  <si>
    <t>LT-028337-18/BX</t>
  </si>
  <si>
    <t>LT-056286-18/KI</t>
  </si>
  <si>
    <t>LT-038054-18/BX</t>
  </si>
  <si>
    <t>LT-088674-18/KI</t>
  </si>
  <si>
    <t>LT-081981-18/KI</t>
  </si>
  <si>
    <t>LT-051322-18/RI</t>
  </si>
  <si>
    <t>LT-069834-18/QU</t>
  </si>
  <si>
    <t>LT-076250-18/KI</t>
  </si>
  <si>
    <t>LT-089594-18/KI</t>
  </si>
  <si>
    <t>LT-008855-19/BX</t>
  </si>
  <si>
    <t>LT-041050-18/BX</t>
  </si>
  <si>
    <t>LT-066917-18/BX</t>
  </si>
  <si>
    <t>LT-032351-18/BX</t>
  </si>
  <si>
    <t>LT-073080-17/QU</t>
  </si>
  <si>
    <t>LT-070731-18/NY</t>
  </si>
  <si>
    <t>LT-085791-18/KI</t>
  </si>
  <si>
    <t>LT-052896-18/BX</t>
  </si>
  <si>
    <t>LT-076661-18/QU</t>
  </si>
  <si>
    <t>LT-056245-19/QU</t>
  </si>
  <si>
    <t>LT-060904-19/QU</t>
  </si>
  <si>
    <t>LT-077618-18/QU</t>
  </si>
  <si>
    <t>FV-610044-OM</t>
  </si>
  <si>
    <t>LT-062373-18/BX</t>
  </si>
  <si>
    <t>LT-066297-18/QU</t>
  </si>
  <si>
    <t>LT-050634-19/RI</t>
  </si>
  <si>
    <t>LT-081608-18/KI</t>
  </si>
  <si>
    <t>LT-076886-18/KI</t>
  </si>
  <si>
    <t>LT-095833-18/KI</t>
  </si>
  <si>
    <t>LT-063396-18/NY</t>
  </si>
  <si>
    <t>LT-070644-18/QU</t>
  </si>
  <si>
    <t>LT-065023-18/KI</t>
  </si>
  <si>
    <t>LT-084760-18/KI</t>
  </si>
  <si>
    <t>GW-630007-RO</t>
  </si>
  <si>
    <t>LT-001861-18/NY</t>
  </si>
  <si>
    <t>GN-630012-B</t>
  </si>
  <si>
    <t>LT-057362-18/QU</t>
  </si>
  <si>
    <t>LT-056562-18/KI</t>
  </si>
  <si>
    <t>LT-065966-18/QU</t>
  </si>
  <si>
    <t>LT-060227-19/QU</t>
  </si>
  <si>
    <t>LT-58333-18/KI</t>
  </si>
  <si>
    <t>LT-058333-18/KI</t>
  </si>
  <si>
    <t>LT-037251-18/BX</t>
  </si>
  <si>
    <t>LT-050334-19/QU</t>
  </si>
  <si>
    <t>LT-050358-19/RI</t>
  </si>
  <si>
    <t>LT-074595-18/KI</t>
  </si>
  <si>
    <t>LT-051427</t>
  </si>
  <si>
    <t>LT-050379-19/RI</t>
  </si>
  <si>
    <t>LT-1861-18/NY</t>
  </si>
  <si>
    <t>LT-066620-19/KI</t>
  </si>
  <si>
    <t>LT-058735-19/KI</t>
  </si>
  <si>
    <t>LT-66608-18/QU</t>
  </si>
  <si>
    <t>Unknown</t>
  </si>
  <si>
    <t>LT-058963-19/QU</t>
  </si>
  <si>
    <t>LT-053065-18/QU</t>
  </si>
  <si>
    <t>LT-052971-16/BX</t>
  </si>
  <si>
    <t>LT-096536-18/KI</t>
  </si>
  <si>
    <t>LT-001681-18/NY</t>
  </si>
  <si>
    <t>LT-079733-17/KI</t>
  </si>
  <si>
    <t>none yet</t>
  </si>
  <si>
    <t>LT-046651-18/BX</t>
  </si>
  <si>
    <t>LT-051094-19/KI</t>
  </si>
  <si>
    <t>LT-075030-18/QU</t>
  </si>
  <si>
    <t>LT-057344-18/QU</t>
  </si>
  <si>
    <t>LT-077516-18/KI</t>
  </si>
  <si>
    <t>LT-072264-18/QU</t>
  </si>
  <si>
    <t>LT-002718-19/BX</t>
  </si>
  <si>
    <t>LT-251035-18/NY</t>
  </si>
  <si>
    <t>LT-78395-18/NY</t>
  </si>
  <si>
    <t>LT-071144-18/QU</t>
  </si>
  <si>
    <t>LT-067279-18/KI</t>
  </si>
  <si>
    <t>LT-080471-18/KI</t>
  </si>
  <si>
    <t>LT-075059-18/KI</t>
  </si>
  <si>
    <t>HP 802/19</t>
  </si>
  <si>
    <t>LT-053329-18/BX</t>
  </si>
  <si>
    <t>LT-074824-18/QU</t>
  </si>
  <si>
    <t>LT-063661-18/QU</t>
  </si>
  <si>
    <t>LT-063488-18/QU</t>
  </si>
  <si>
    <t>LT-056458-18/QU</t>
  </si>
  <si>
    <t>LT-251193-18/NY</t>
  </si>
  <si>
    <t>LT-034608-18/BX</t>
  </si>
  <si>
    <t>LT-011332-19/BX</t>
  </si>
  <si>
    <t>LT-053161-18/RI</t>
  </si>
  <si>
    <t>LT-070657-18/QU</t>
  </si>
  <si>
    <t>LT-61318-18/NY</t>
  </si>
  <si>
    <t>LT-051156/19/KI</t>
  </si>
  <si>
    <t>LT-007655-18/QU</t>
  </si>
  <si>
    <t>LT-050107-18/RI</t>
  </si>
  <si>
    <t>LT-069663-18/QU</t>
  </si>
  <si>
    <t>LT-99996-16/KI</t>
  </si>
  <si>
    <t>LT-059655-19/KI</t>
  </si>
  <si>
    <t>LT-065589-18/QU</t>
  </si>
  <si>
    <t>LT-074714-16/BX</t>
  </si>
  <si>
    <t>LT-81411-18/NY</t>
  </si>
  <si>
    <t>LT-062831-17/NY</t>
  </si>
  <si>
    <t>LT-063754-18/QU</t>
  </si>
  <si>
    <t>LT-074683-18/QU</t>
  </si>
  <si>
    <t>LT-050961-19/RI</t>
  </si>
  <si>
    <t>LT-12491-18/QU</t>
  </si>
  <si>
    <t>LT-030556-18/BX</t>
  </si>
  <si>
    <t>LT-041307-18/BX</t>
  </si>
  <si>
    <t>LT-061627-18/KI</t>
  </si>
  <si>
    <t>LT-053150-19/KI</t>
  </si>
  <si>
    <t>LT-046932-15/BX</t>
  </si>
  <si>
    <t>LT-000037-19/RI</t>
  </si>
  <si>
    <t>LT-058049-18/NY</t>
  </si>
  <si>
    <t>LT-092019-18/KI</t>
  </si>
  <si>
    <t>LT-006163-18/NY</t>
  </si>
  <si>
    <t>LT-733886-18/QU</t>
  </si>
  <si>
    <t>LT-052730-18/RI</t>
  </si>
  <si>
    <t>LT-075284-18/NY</t>
  </si>
  <si>
    <t>LT-052426-18 RI</t>
  </si>
  <si>
    <t>LT-048820-18/BX</t>
  </si>
  <si>
    <t>010159/2018</t>
  </si>
  <si>
    <t>LT-054296-18/QU</t>
  </si>
  <si>
    <t>LT-084792-18/KI</t>
  </si>
  <si>
    <t>LT-011691-18/BX</t>
  </si>
  <si>
    <t>LT-00317-19/QU</t>
  </si>
  <si>
    <t>LT-059228-19/KI</t>
  </si>
  <si>
    <t>LT-200113-18/NY</t>
  </si>
  <si>
    <t>LT-057468-19/QU</t>
  </si>
  <si>
    <t>LT-051929-18/RI</t>
  </si>
  <si>
    <t>LT-071557-18/NY</t>
  </si>
  <si>
    <t>LT-057477-19/QU</t>
  </si>
  <si>
    <t>LT-076152-18/KI</t>
  </si>
  <si>
    <t>GW-610013-B</t>
  </si>
  <si>
    <t>LT-064751-18/QU</t>
  </si>
  <si>
    <t>LT-003477-18/KI</t>
  </si>
  <si>
    <t>LT-074430-18/QU</t>
  </si>
  <si>
    <t>LT-052156-18/RI</t>
  </si>
  <si>
    <t>LT-71311-18/KI</t>
  </si>
  <si>
    <t>LT-051709-18/RI</t>
  </si>
  <si>
    <t>LT-069898-18/KI</t>
  </si>
  <si>
    <t>LT-077759-18/KI</t>
  </si>
  <si>
    <t>LT-051498-19/QU</t>
  </si>
  <si>
    <t>LT-057415-19/QU</t>
  </si>
  <si>
    <t>LT-073749-18/NY</t>
  </si>
  <si>
    <t>LT-070654-18/QU</t>
  </si>
  <si>
    <t>LT-081008-17/KI</t>
  </si>
  <si>
    <t>LT-031252-18/BX</t>
  </si>
  <si>
    <t>LT-047548-18/BX</t>
  </si>
  <si>
    <t>LT-050935-19/RI</t>
  </si>
  <si>
    <t>LT-000140-17/RI</t>
  </si>
  <si>
    <t>LT-151719-17/RI</t>
  </si>
  <si>
    <t>LT-07068-18/KI</t>
  </si>
  <si>
    <t>LT-010155-19/RI</t>
  </si>
  <si>
    <t>LT-061942-18/BX</t>
  </si>
  <si>
    <t>LT-070641-18/QU</t>
  </si>
  <si>
    <t>LT-003530-18/BX</t>
  </si>
  <si>
    <t>LT-029758-18/BX</t>
  </si>
  <si>
    <t>LT-063815-17/KI</t>
  </si>
  <si>
    <t>LT-076251-18/QU</t>
  </si>
  <si>
    <t>LT-066627-18/QU</t>
  </si>
  <si>
    <t>LT-069770-18/QU</t>
  </si>
  <si>
    <t>LT-096258-18/KI</t>
  </si>
  <si>
    <t>LT-050123-18/RI</t>
  </si>
  <si>
    <t>LT-086961-18/KI</t>
  </si>
  <si>
    <t>LT-051006-19/NY</t>
  </si>
  <si>
    <t>LT-064508-18/QU</t>
  </si>
  <si>
    <t>LT-050741-19/RI</t>
  </si>
  <si>
    <t>LT-004595-19/KI</t>
  </si>
  <si>
    <t>LT-056809-19/QU</t>
  </si>
  <si>
    <t>LT-0056724-19/QU</t>
  </si>
  <si>
    <t>LT-080172-18/KI</t>
  </si>
  <si>
    <t>LT-050707-19/RI</t>
  </si>
  <si>
    <t>LT-65209-18/QU</t>
  </si>
  <si>
    <t>LT-083925-17/KI</t>
  </si>
  <si>
    <t>LT-004842-19/BX</t>
  </si>
  <si>
    <t>LT-029419-18/BX</t>
  </si>
  <si>
    <t>HN 2100270 R</t>
  </si>
  <si>
    <t>LT-000749-19/KI</t>
  </si>
  <si>
    <t>LT-63666-19/KI</t>
  </si>
  <si>
    <t>1579/2017</t>
  </si>
  <si>
    <t>LT-033970-18/BX</t>
  </si>
  <si>
    <t>LT-059294-19/KI</t>
  </si>
  <si>
    <t>S10923</t>
  </si>
  <si>
    <t>GD-610056-OM</t>
  </si>
  <si>
    <t>LT-76589-18/NY</t>
  </si>
  <si>
    <t>LT-066617-17/KI</t>
  </si>
  <si>
    <t>LT-070883-18/QU</t>
  </si>
  <si>
    <t>LT-83699-18/KI</t>
  </si>
  <si>
    <t>LT-078880-18/KI</t>
  </si>
  <si>
    <t>LT-050325-19/RI</t>
  </si>
  <si>
    <t>LT-016036-19/BX</t>
  </si>
  <si>
    <t>LT-053323-18/QU</t>
  </si>
  <si>
    <t>EO-610003-B</t>
  </si>
  <si>
    <t>LT-080317-18/KI</t>
  </si>
  <si>
    <t>LT-76975-18/KI</t>
  </si>
  <si>
    <t>LT-73598-18/NY</t>
  </si>
  <si>
    <t>LT-073427-18/NY</t>
  </si>
  <si>
    <t>LT-085021-18/KI</t>
  </si>
  <si>
    <t>LT-63664-19/KI</t>
  </si>
  <si>
    <t>LT-64533-19/KI</t>
  </si>
  <si>
    <t>LT-026221-18/BX</t>
  </si>
  <si>
    <t>LT-071542-18/QU</t>
  </si>
  <si>
    <t>LT-020172-18/BX</t>
  </si>
  <si>
    <t>LT-088144-18/KI</t>
  </si>
  <si>
    <t>LT-71078-18/NY</t>
  </si>
  <si>
    <t xml:space="preserve">LT-085240-18/KI </t>
  </si>
  <si>
    <t>LT-053553-18/RI</t>
  </si>
  <si>
    <t>LT-028070-18/BX</t>
  </si>
  <si>
    <t>LT-068555-18/QU</t>
  </si>
  <si>
    <t>LT-6258-18/KI</t>
  </si>
  <si>
    <t>HP 3812/2018 KI</t>
  </si>
  <si>
    <t>LT-055593-18/KI</t>
  </si>
  <si>
    <t>LT-022299-18/BX</t>
  </si>
  <si>
    <t>LT-053128-18/RI</t>
  </si>
  <si>
    <t>LT-060994-18/NY</t>
  </si>
  <si>
    <t>LT-813425-18/BX</t>
  </si>
  <si>
    <t>451329/2018</t>
  </si>
  <si>
    <t>LT-064752-18/QU</t>
  </si>
  <si>
    <t>LT-57380-19/QU</t>
  </si>
  <si>
    <t>LT-061389-18/QU</t>
  </si>
  <si>
    <t>LT-69807-18/NY</t>
  </si>
  <si>
    <t>LT-071306-18/QU</t>
  </si>
  <si>
    <t>LT-056734-18/BX</t>
  </si>
  <si>
    <t>LT-070645-18/QU</t>
  </si>
  <si>
    <t>LT-052839-19/NY</t>
  </si>
  <si>
    <t>LT-056405-18/BX</t>
  </si>
  <si>
    <t>LT-082361-18/KI</t>
  </si>
  <si>
    <t>LT-062456-19/KI</t>
  </si>
  <si>
    <t>LT-598881-18/BX</t>
  </si>
  <si>
    <t>LT-073272-18/NY</t>
  </si>
  <si>
    <t>LT-063919-18/QU</t>
  </si>
  <si>
    <t>LT-050657-19/QU</t>
  </si>
  <si>
    <t>LT-074577-18/KI</t>
  </si>
  <si>
    <t>LT-000579-19/KI</t>
  </si>
  <si>
    <t>LT-001342-18/QU</t>
  </si>
  <si>
    <t>GT-630025-RT</t>
  </si>
  <si>
    <t>LT-055254-19/QU</t>
  </si>
  <si>
    <t>LT-000289-19/NY</t>
  </si>
  <si>
    <t>LT-073346-18/KI</t>
  </si>
  <si>
    <t>LT-030267-18/BX</t>
  </si>
  <si>
    <t>LT-057505-18/BX</t>
  </si>
  <si>
    <t>LT-050950-19/RI</t>
  </si>
  <si>
    <t>LT-056873-19/QU</t>
  </si>
  <si>
    <t>LT-010331-19/BX</t>
  </si>
  <si>
    <t>LT-62103-18 QU</t>
  </si>
  <si>
    <t>LT-036493-18/BX</t>
  </si>
  <si>
    <t>LT-89829-18/KI</t>
  </si>
  <si>
    <t>LT-006659-18/BX</t>
  </si>
  <si>
    <t>LT-3413-17/KI</t>
  </si>
  <si>
    <t>LT-053238-18/RI</t>
  </si>
  <si>
    <t>LT-048446-17/KI</t>
  </si>
  <si>
    <t>LT-51910-18/RI</t>
  </si>
  <si>
    <t>LT-096815-18/KI</t>
  </si>
  <si>
    <t>LT-053425-19/QU</t>
  </si>
  <si>
    <t>LT-012964-18/BX</t>
  </si>
  <si>
    <t>LT-053103-19/KI</t>
  </si>
  <si>
    <t>LT-84032-18/KI</t>
  </si>
  <si>
    <t>LT-006139-18/QU</t>
  </si>
  <si>
    <t>LT-067757-18/BX</t>
  </si>
  <si>
    <t>LT-053652-18/RI</t>
  </si>
  <si>
    <t>LT-058444-19/QU</t>
  </si>
  <si>
    <t>LT-05281-18/RI</t>
  </si>
  <si>
    <t>LT-076982-18/QU</t>
  </si>
  <si>
    <t>LT-058531-18/QU</t>
  </si>
  <si>
    <t>LT-027623-17/BX</t>
  </si>
  <si>
    <t>LT-014261-19/BX</t>
  </si>
  <si>
    <t>LT-050411-19/QU</t>
  </si>
  <si>
    <t>LT-063031-17/BX</t>
  </si>
  <si>
    <t>LT-029470-17/BX</t>
  </si>
  <si>
    <t>LT-077314-18/QU</t>
  </si>
  <si>
    <t>LT-060492-18/KI</t>
  </si>
  <si>
    <t>LT-053082-19/QU</t>
  </si>
  <si>
    <t>LT-096533-18/KI</t>
  </si>
  <si>
    <t>LT-092112-17/KI</t>
  </si>
  <si>
    <t>FO-610005-RO</t>
  </si>
  <si>
    <t>LT-053119-19/KI</t>
  </si>
  <si>
    <t>LT-78320-18/NY</t>
  </si>
  <si>
    <t>LT-050842-19/RI</t>
  </si>
  <si>
    <t>LT-006200-19-BX</t>
  </si>
  <si>
    <t>LT-058751-17/QU</t>
  </si>
  <si>
    <t>LT-519412-18/RI</t>
  </si>
  <si>
    <t>LT-068077-18/QU</t>
  </si>
  <si>
    <t>LT-054056-18/BX</t>
  </si>
  <si>
    <t>V#0456358; LID#902252</t>
  </si>
  <si>
    <t>LT-063301-19</t>
  </si>
  <si>
    <t>LT-050381-19/RI</t>
  </si>
  <si>
    <t>LT-050541-19/RI</t>
  </si>
  <si>
    <t>LT-063326-18/BX</t>
  </si>
  <si>
    <t>LT-003811-16/BX</t>
  </si>
  <si>
    <t>LT-251420-18/NY</t>
  </si>
  <si>
    <t>LT-032730-18/BX</t>
  </si>
  <si>
    <t>LT-063332-18/QU</t>
  </si>
  <si>
    <t>LT-059447-18/BX</t>
  </si>
  <si>
    <t>LT-035276-18/BX</t>
  </si>
  <si>
    <t>LT-001355-18/QU</t>
  </si>
  <si>
    <t>LT-073102-18/QU</t>
  </si>
  <si>
    <t>LT-033395-18/BX</t>
  </si>
  <si>
    <t>LT-604733-18/BX</t>
  </si>
  <si>
    <t>LT-052879-18/BX</t>
  </si>
  <si>
    <t>LT-093726-18/KI</t>
  </si>
  <si>
    <t>LT-069316-18/KI</t>
  </si>
  <si>
    <t>LT-073315-18/QU</t>
  </si>
  <si>
    <t>LT-000298-19/QU</t>
  </si>
  <si>
    <t>LT-004595-19/BX</t>
  </si>
  <si>
    <t>LT-071482-18/KI</t>
  </si>
  <si>
    <t>LT-043769-18/BX</t>
  </si>
  <si>
    <t>LT-000029-19/NY</t>
  </si>
  <si>
    <t>006712/2018</t>
  </si>
  <si>
    <t>LT-022239-18/BX</t>
  </si>
  <si>
    <t>no case at this time</t>
  </si>
  <si>
    <t>LT-071257-18/QU</t>
  </si>
  <si>
    <t>LT-028918-18/BX</t>
  </si>
  <si>
    <t>LT-069191-18/KI</t>
  </si>
  <si>
    <t>LT-01264-19/NY</t>
  </si>
  <si>
    <t>LT-050440-19/KI</t>
  </si>
  <si>
    <t>LT-050289-19/QU</t>
  </si>
  <si>
    <t>LT-009297-19/BX</t>
  </si>
  <si>
    <t>LT-070514-18/QU</t>
  </si>
  <si>
    <t>LT-055015-18/NY</t>
  </si>
  <si>
    <t>LT=074282=18/QU</t>
  </si>
  <si>
    <t>LT-52930-18/RI</t>
  </si>
  <si>
    <t>LT-000174-18/RI</t>
  </si>
  <si>
    <t>LT-035587-18/BX</t>
  </si>
  <si>
    <t>LT-052781-18/RI</t>
  </si>
  <si>
    <t>LT-068647-18/QU</t>
  </si>
  <si>
    <t>LT-086826-18/KI</t>
  </si>
  <si>
    <t>052865-19/KI</t>
  </si>
  <si>
    <t>L&amp;T 056440-19/KI</t>
  </si>
  <si>
    <t>LT-050464-19/RI</t>
  </si>
  <si>
    <t>LT-079272-18/NY</t>
  </si>
  <si>
    <t>LT-044066-18/BX</t>
  </si>
  <si>
    <t>L&amp;T 58112/19 QU</t>
  </si>
  <si>
    <t>LT-014802-19/KI</t>
  </si>
  <si>
    <t>LT-059658-19/NY</t>
  </si>
  <si>
    <t>LT-250590-19/NY</t>
  </si>
  <si>
    <t>LT-063293-18/QU</t>
  </si>
  <si>
    <t>LT-060144-18/QU</t>
  </si>
  <si>
    <t>LT-071426-18/QU</t>
  </si>
  <si>
    <t>LT-65097-18/QU</t>
  </si>
  <si>
    <t>LT-069776-18/QU</t>
  </si>
  <si>
    <t>LT-088200-17/KI</t>
  </si>
  <si>
    <t>LT-073178-18/KI</t>
  </si>
  <si>
    <t>LT-015339-18/KI</t>
  </si>
  <si>
    <t>LT-80394-18/KI</t>
  </si>
  <si>
    <t>LT-072396-18/KI</t>
  </si>
  <si>
    <t>LT-037657-18/BX</t>
  </si>
  <si>
    <t>LT-039359-18/BX</t>
  </si>
  <si>
    <t>LT-041047-18/BX</t>
  </si>
  <si>
    <t>LT-067527-18/NY</t>
  </si>
  <si>
    <t>LT-68682-18/NY</t>
  </si>
  <si>
    <t>LT-051836-18/RI</t>
  </si>
  <si>
    <t>LT-057004/19-NY</t>
  </si>
  <si>
    <t>LT-018295-18/NY</t>
  </si>
  <si>
    <t>LT-056835-18/BX</t>
  </si>
  <si>
    <t>LT-070293-18/QU</t>
  </si>
  <si>
    <t>LT-085568-18/KI</t>
  </si>
  <si>
    <t>LT-072419-18/KI</t>
  </si>
  <si>
    <t>LT-451656-17/NY</t>
  </si>
  <si>
    <t>LT-050853-19/RI</t>
  </si>
  <si>
    <t>LT-079547-17/NY</t>
  </si>
  <si>
    <t>GQ-610056-OM</t>
  </si>
  <si>
    <t>LT-55642-18/QU</t>
  </si>
  <si>
    <t>LT-062922-18/BX</t>
  </si>
  <si>
    <t>LT-0055511-19/KI</t>
  </si>
  <si>
    <t>LT-079777-18/KI</t>
  </si>
  <si>
    <t>LT-077433-18/NY</t>
  </si>
  <si>
    <t>LT-78626/18/NY</t>
  </si>
  <si>
    <t>LT-066547-18/QU</t>
  </si>
  <si>
    <t>LT-068893-18/QU</t>
  </si>
  <si>
    <t>LT-070725-18/QU</t>
  </si>
  <si>
    <t>LT-050473-19/RI</t>
  </si>
  <si>
    <t>LT-000841-19/KI</t>
  </si>
  <si>
    <t>LT-059797</t>
  </si>
  <si>
    <t>GQ 610029 B</t>
  </si>
  <si>
    <t>LT-005856-19/BX</t>
  </si>
  <si>
    <t>LT-072216-18/KI</t>
  </si>
  <si>
    <t>LT-1680-18/NY</t>
  </si>
  <si>
    <t>LT-071051-18/QU</t>
  </si>
  <si>
    <t>LT-006577-19/BX</t>
  </si>
  <si>
    <t>LT-033911-18/BX</t>
  </si>
  <si>
    <t>LT-074169-18/KI</t>
  </si>
  <si>
    <t>LT-083648-18/KI</t>
  </si>
  <si>
    <t>LT-052770-18/RI</t>
  </si>
  <si>
    <t>LT-052791-18/RI</t>
  </si>
  <si>
    <t>LT-067416-18/KI</t>
  </si>
  <si>
    <t>LT-090458-18/KI</t>
  </si>
  <si>
    <t>260188/2018</t>
  </si>
  <si>
    <t>LT-039826-18/BX</t>
  </si>
  <si>
    <t>LT-65309-18/NY</t>
  </si>
  <si>
    <t>LT-051279-18/RI</t>
  </si>
  <si>
    <t>LT-060549-19/NY</t>
  </si>
  <si>
    <t>LT-60432-17/NY</t>
  </si>
  <si>
    <t>LT-063408-18/QU</t>
  </si>
  <si>
    <t>LT-066567-18/QU</t>
  </si>
  <si>
    <t>000287-19/KI</t>
  </si>
  <si>
    <t>LT-66917-18/BX</t>
  </si>
  <si>
    <t>LT-87325-18/KI</t>
  </si>
  <si>
    <t>LT-090878-18/KI</t>
  </si>
  <si>
    <t>LT-002370-17/KI</t>
  </si>
  <si>
    <t>LT-51873-18/RI</t>
  </si>
  <si>
    <t>LT-092266-18/KI</t>
  </si>
  <si>
    <t>LT-064040-18/NY</t>
  </si>
  <si>
    <t>LT-092404-18/KI</t>
  </si>
  <si>
    <t>LT-053418-17/RI</t>
  </si>
  <si>
    <t>LT-059335-18/BX</t>
  </si>
  <si>
    <t>LT-065893-18/NY</t>
  </si>
  <si>
    <t>LT-074615-18/KI</t>
  </si>
  <si>
    <t>LT-05850219/QU</t>
  </si>
  <si>
    <t>LT-067415-18/NY</t>
  </si>
  <si>
    <t>LT-071999-18/QU</t>
  </si>
  <si>
    <t>LT-074441-18/KI</t>
  </si>
  <si>
    <t>LT-093368-18/KI</t>
  </si>
  <si>
    <t>LT-082835-18/KI</t>
  </si>
  <si>
    <t>LT-001919-18/NY</t>
  </si>
  <si>
    <t>LT-059228-18/QU</t>
  </si>
  <si>
    <t>LT-067729-18/QU</t>
  </si>
  <si>
    <t>002704/2018</t>
  </si>
  <si>
    <t>LT-003808-18/KI</t>
  </si>
  <si>
    <t>LT-200123-18/NY</t>
  </si>
  <si>
    <t>LT-251111-18/NY</t>
  </si>
  <si>
    <t>LT-080058-18/NY</t>
  </si>
  <si>
    <t>LT-055235-18/BX</t>
  </si>
  <si>
    <t>LT-089484-18/KI</t>
  </si>
  <si>
    <t>LT-057354-18/QU</t>
  </si>
  <si>
    <t>LT-057797-19?NY</t>
  </si>
  <si>
    <t>LT-062540-18/QU</t>
  </si>
  <si>
    <t>LT-251009-18/NY</t>
  </si>
  <si>
    <t>LT-061420-18/NY</t>
  </si>
  <si>
    <t>LT-074290-18/QU</t>
  </si>
  <si>
    <t>LT-67687-18/NY</t>
  </si>
  <si>
    <t>LT-063812-18/QU</t>
  </si>
  <si>
    <t>LT-073342-18/KI</t>
  </si>
  <si>
    <t>LT-031708-18/BX</t>
  </si>
  <si>
    <t>LT-93067-18/KI</t>
  </si>
  <si>
    <t>no case as of April 2018</t>
  </si>
  <si>
    <t>LT-062593-18/NY</t>
  </si>
  <si>
    <t>LT-072674-18/KI</t>
  </si>
  <si>
    <t>LT-010159-18/BX</t>
  </si>
  <si>
    <t>LT-063774-18/QU</t>
  </si>
  <si>
    <t>LT-055930-18/KI</t>
  </si>
  <si>
    <t>LT-043202-18/BX</t>
  </si>
  <si>
    <t>LT-037923-18/BX</t>
  </si>
  <si>
    <t>LT-081279-16/QU</t>
  </si>
  <si>
    <t>LT-57875-19/NY</t>
  </si>
  <si>
    <t>LT-056822-18/KI</t>
  </si>
  <si>
    <t>LT-088662-18/KI</t>
  </si>
  <si>
    <t>LT-051326-19/RI</t>
  </si>
  <si>
    <t>LT-035197-18/BX</t>
  </si>
  <si>
    <t>LT-068639-18/QU</t>
  </si>
  <si>
    <t>LT-003539-18/KI</t>
  </si>
  <si>
    <t>LT-056014-18/BX</t>
  </si>
  <si>
    <t>LT-089318-17/KI</t>
  </si>
  <si>
    <t>LT-480874-18/BX</t>
  </si>
  <si>
    <t>LT-064219-18/QU</t>
  </si>
  <si>
    <t>LT-005611-19/BX</t>
  </si>
  <si>
    <t>LT-11426-19</t>
  </si>
  <si>
    <t>FQ-220003-RE</t>
  </si>
  <si>
    <t>LT-75689-18/KI</t>
  </si>
  <si>
    <t>LT-064764-18/QU</t>
  </si>
  <si>
    <t>LT-053962-19/KI</t>
  </si>
  <si>
    <t>LT-065592-18/QU</t>
  </si>
  <si>
    <t>LT-063459-18/NY</t>
  </si>
  <si>
    <t>LT-006199-19/BX</t>
  </si>
  <si>
    <t>LT-050964-18/KI</t>
  </si>
  <si>
    <t>LT-072426-18/KI</t>
  </si>
  <si>
    <t>LT-068768-18/QU</t>
  </si>
  <si>
    <t>LT-018615-17/NY</t>
  </si>
  <si>
    <t>LT-032847-18/BX</t>
  </si>
  <si>
    <t>LT-688769-18/NY</t>
  </si>
  <si>
    <t>LT-057424-19/QU</t>
  </si>
  <si>
    <t>LT-057034-19/QU</t>
  </si>
  <si>
    <t>LT-051039-19/QU</t>
  </si>
  <si>
    <t>L&amp;T-094913-18/KI</t>
  </si>
  <si>
    <t>LT-060254-18/QU</t>
  </si>
  <si>
    <t>LT-074637-18/KI</t>
  </si>
  <si>
    <t>LT-036980-18/BX</t>
  </si>
  <si>
    <t>LT-060746-18/QU</t>
  </si>
  <si>
    <t>LT-77457-18/QU</t>
  </si>
  <si>
    <t>LT-076980-18/QU</t>
  </si>
  <si>
    <t>LT-51670-18/RI</t>
  </si>
  <si>
    <t>LT-055862-18/BX</t>
  </si>
  <si>
    <t>LT-087605-18/KI</t>
  </si>
  <si>
    <t>LT-090492-18/KI</t>
  </si>
  <si>
    <t>LT-041745-18/BX</t>
  </si>
  <si>
    <t>LT-062434-18/NY</t>
  </si>
  <si>
    <t>LT-060353-19/QU</t>
  </si>
  <si>
    <t>LT-052417-18/RI</t>
  </si>
  <si>
    <t>LT-078083-18/KI</t>
  </si>
  <si>
    <t>LT-071803-18/KI</t>
  </si>
  <si>
    <t>GS-210012-OM</t>
  </si>
  <si>
    <t>LT-055771-19/QU</t>
  </si>
  <si>
    <t>LT-050466-19/RI</t>
  </si>
  <si>
    <t>LT-3064-18/BX</t>
  </si>
  <si>
    <t>LT-050934-19/RI</t>
  </si>
  <si>
    <t>LT-078967-18/KI</t>
  </si>
  <si>
    <t>LT-065205-18/QU</t>
  </si>
  <si>
    <t>LT-034725-18/BX</t>
  </si>
  <si>
    <t>LT-053117-18/RI</t>
  </si>
  <si>
    <t>LT-054156-18/QU</t>
  </si>
  <si>
    <t>LT-053257-19/QU</t>
  </si>
  <si>
    <t>LT-050681-19/RI</t>
  </si>
  <si>
    <t>LT-052141-18/RI</t>
  </si>
  <si>
    <t>LT-062292-18/QU</t>
  </si>
  <si>
    <t>LT-056734-19/QU</t>
  </si>
  <si>
    <t>LT-087474-18/KI</t>
  </si>
  <si>
    <t>LT-075056-18/QU</t>
  </si>
  <si>
    <t>LT-071603-18/QU</t>
  </si>
  <si>
    <t>LT-037345-18/BX</t>
  </si>
  <si>
    <t>LT-051904-18/RI</t>
  </si>
  <si>
    <t>LT-078103-18/QU</t>
  </si>
  <si>
    <t>LT-083740-18/KI</t>
  </si>
  <si>
    <t>LT-050282-19/RI</t>
  </si>
  <si>
    <t>LT-031637-18/BX</t>
  </si>
  <si>
    <t>LT-040546-18/BX</t>
  </si>
  <si>
    <t>LT-054723-19/NY</t>
  </si>
  <si>
    <t>LT-078213-18/KI</t>
  </si>
  <si>
    <t>LT-69760-18/KI</t>
  </si>
  <si>
    <t>LT-097401-18/KI</t>
  </si>
  <si>
    <t>LT-009775-19/BX</t>
  </si>
  <si>
    <t>LT-050234-19/RI</t>
  </si>
  <si>
    <t>300015/2019</t>
  </si>
  <si>
    <t>no case as of 12/13/18</t>
  </si>
  <si>
    <t>LT-048819-18/BX</t>
  </si>
  <si>
    <t>GN  630012-B</t>
  </si>
  <si>
    <t>LT-051538-19/KI</t>
  </si>
  <si>
    <t>LT-94811-18/KI</t>
  </si>
  <si>
    <t>LT-70144-18/KI</t>
  </si>
  <si>
    <t>LT-050040-19/RI</t>
  </si>
  <si>
    <t>LT-057049-18/QU</t>
  </si>
  <si>
    <t>LT-000801-18/BX</t>
  </si>
  <si>
    <t>LT-059077-19/KI</t>
  </si>
  <si>
    <t>LT-056495-19/QU</t>
  </si>
  <si>
    <t>LT-043319-18/BX</t>
  </si>
  <si>
    <t>LT-066840-18/KI</t>
  </si>
  <si>
    <t>LT-061510-18/QU</t>
  </si>
  <si>
    <t>LT-057076-19/QU</t>
  </si>
  <si>
    <t>LT-020170-18/BX</t>
  </si>
  <si>
    <t>042029/2016</t>
  </si>
  <si>
    <t>LT-063023-17/BX</t>
  </si>
  <si>
    <t>LT-069821-18/QU</t>
  </si>
  <si>
    <t>LT-022754-18/BX</t>
  </si>
  <si>
    <t>LT-052513-19/QU</t>
  </si>
  <si>
    <t>LT-070279-18/QU</t>
  </si>
  <si>
    <t>GR 210001 B</t>
  </si>
  <si>
    <t>LT-052508-18/RI</t>
  </si>
  <si>
    <t>LT-070453-18/QU</t>
  </si>
  <si>
    <t>LT-782831-18/KI</t>
  </si>
  <si>
    <t>LT-070186-18/QU</t>
  </si>
  <si>
    <t>GS-610032-R</t>
  </si>
  <si>
    <t>LT-056511-19/QU</t>
  </si>
  <si>
    <t>LT-096205-18/KI</t>
  </si>
  <si>
    <t>LT-051933-19/QU</t>
  </si>
  <si>
    <t>LT-074335-18/KI</t>
  </si>
  <si>
    <t>LT-077362-18/KI</t>
  </si>
  <si>
    <t>LT-058077-18/NY</t>
  </si>
  <si>
    <t>LT-91336-18/KI</t>
  </si>
  <si>
    <t>LT-053516-18/RI</t>
  </si>
  <si>
    <t>LT-069621-18/QU</t>
  </si>
  <si>
    <t>LT-082510-18/KI</t>
  </si>
  <si>
    <t>LT-091750-18/KI</t>
  </si>
  <si>
    <t>LT-252431-18/NY</t>
  </si>
  <si>
    <t>GR-210054-S</t>
  </si>
  <si>
    <t>LT-52998-18/RI</t>
  </si>
  <si>
    <t>LT-002939-18/KI</t>
  </si>
  <si>
    <t>LT-065085-18/NY</t>
  </si>
  <si>
    <t>LT-092515-17/KI</t>
  </si>
  <si>
    <t>LT-85659-18/KI</t>
  </si>
  <si>
    <t>LT-052162-18/BX</t>
  </si>
  <si>
    <t>LT-037648-18/BX</t>
  </si>
  <si>
    <t>LT-000838-18/KI</t>
  </si>
  <si>
    <t>LT-067376-18/KI</t>
  </si>
  <si>
    <t>LT-072292-18/KI</t>
  </si>
  <si>
    <t>HP-00373-19/QU</t>
  </si>
  <si>
    <t>LT-075621-18/NY</t>
  </si>
  <si>
    <t>LT-79908-17/KI</t>
  </si>
  <si>
    <t>LT-000306-19/QU</t>
  </si>
  <si>
    <t>LT-63663-19/KI</t>
  </si>
  <si>
    <t>LT-078152-18/KI</t>
  </si>
  <si>
    <t>CV-000826-19/RI</t>
  </si>
  <si>
    <t>LT-063055-18/NY</t>
  </si>
  <si>
    <t>LT-1860-18/NY</t>
  </si>
  <si>
    <t>LT-063236-18/BX</t>
  </si>
  <si>
    <t>LT-018762-17/NY</t>
  </si>
  <si>
    <t>LT-000347-19/QU</t>
  </si>
  <si>
    <t>LT-021547-17/BX</t>
  </si>
  <si>
    <t>LT-059281-18/QU</t>
  </si>
  <si>
    <t>LT-070871-18/QU</t>
  </si>
  <si>
    <t>LT-072727-18/QU</t>
  </si>
  <si>
    <t>LT-80514-17/NY</t>
  </si>
  <si>
    <t>LT-031369-18/BX</t>
  </si>
  <si>
    <t>LT-069318-17/BX</t>
  </si>
  <si>
    <t>63687/19</t>
  </si>
  <si>
    <t>LT-070880-18/QU</t>
  </si>
  <si>
    <t>LT-075396-18/KI</t>
  </si>
  <si>
    <t>LT-059900-19/NY</t>
  </si>
  <si>
    <t>LT-051535-18/QU</t>
  </si>
  <si>
    <t>LT-059926-18/NY</t>
  </si>
  <si>
    <t>LT-59886-18/NY</t>
  </si>
  <si>
    <t>LT-057674-19/QU</t>
  </si>
  <si>
    <t>LT-059864-19/QU</t>
  </si>
  <si>
    <t>LT-060944-18/BX</t>
  </si>
  <si>
    <t>LT-250862-18/NY</t>
  </si>
  <si>
    <t>LT-051635-18/RI</t>
  </si>
  <si>
    <t>Not Available</t>
  </si>
  <si>
    <t>LT-000149-18/RI</t>
  </si>
  <si>
    <t>LT-014073-18/QU</t>
  </si>
  <si>
    <t>LT-014187-18/QU</t>
  </si>
  <si>
    <t>LT-014225-18/QU</t>
  </si>
  <si>
    <t>LT-077764-18/KI</t>
  </si>
  <si>
    <t>LT-084686-18/KI</t>
  </si>
  <si>
    <t>LT-060153</t>
  </si>
  <si>
    <t>LT-04552-19/KI</t>
  </si>
  <si>
    <t>LT-092672-18/KI</t>
  </si>
  <si>
    <t>LT-094203-18/KI</t>
  </si>
  <si>
    <t>LT-058414-18/KI</t>
  </si>
  <si>
    <t>LT-56140-18/KI</t>
  </si>
  <si>
    <t>LT-063685-18/NY</t>
  </si>
  <si>
    <t>LT-055130-18/NY</t>
  </si>
  <si>
    <t>LT-000136-18/NY</t>
  </si>
  <si>
    <t>LT-080458-18/KI</t>
  </si>
  <si>
    <t>LT-095560-18/KI</t>
  </si>
  <si>
    <t>LT-058925-18/QU</t>
  </si>
  <si>
    <t>LT-072310-18/QU</t>
  </si>
  <si>
    <t>LT-096372-18/KI</t>
  </si>
  <si>
    <t>LT-052960-19/KI</t>
  </si>
  <si>
    <t>LT-076837-18/KI</t>
  </si>
  <si>
    <t>LT-065791-18/QU</t>
  </si>
  <si>
    <t>LT-65791-18/QU</t>
  </si>
  <si>
    <t>LT-058353-19/KI</t>
  </si>
  <si>
    <t>LT-59715-19/NY</t>
  </si>
  <si>
    <t>LT-077998-17/NY</t>
  </si>
  <si>
    <t>LT-065437-17/KI</t>
  </si>
  <si>
    <t>LT-032896-18/BX</t>
  </si>
  <si>
    <t>LT-056013-18/BX</t>
  </si>
  <si>
    <t>LT-200048-17/NY</t>
  </si>
  <si>
    <t>LT-070492-18/QU</t>
  </si>
  <si>
    <t>LT-069569-18/QU</t>
  </si>
  <si>
    <t>LT-077275-18/QU</t>
  </si>
  <si>
    <t>LT-75828-18/KI</t>
  </si>
  <si>
    <t>LT-064760-18/NY</t>
  </si>
  <si>
    <t>LT-069604-16/BX</t>
  </si>
  <si>
    <t>LT-063787-18/QU</t>
  </si>
  <si>
    <t>LT-070213-18/QU</t>
  </si>
  <si>
    <t>LT-79700-18/NY</t>
  </si>
  <si>
    <t>LT-093040-18/KI</t>
  </si>
  <si>
    <t>LT-093578-18/KI</t>
  </si>
  <si>
    <t>LT-068890-17/BX</t>
  </si>
  <si>
    <t>LT-036721-18/BX</t>
  </si>
  <si>
    <t>LT-028334-18/BX</t>
  </si>
  <si>
    <t>LT-001259-18/NY</t>
  </si>
  <si>
    <t>LT-067250-18/NY</t>
  </si>
  <si>
    <t>LT-050186-19/RI</t>
  </si>
  <si>
    <t>M-H-G-16-1032856</t>
  </si>
  <si>
    <t>LT-090839-18/KI</t>
  </si>
  <si>
    <t>LT-074637-18/QU</t>
  </si>
  <si>
    <t>LT-057400-19/QU</t>
  </si>
  <si>
    <t>LT-058768-19/NY</t>
  </si>
  <si>
    <t>LT-061979-19/KI</t>
  </si>
  <si>
    <t>LT-61607-17/NY</t>
  </si>
  <si>
    <t>LT-086575-18/KI</t>
  </si>
  <si>
    <t>LT-063525-18/KI</t>
  </si>
  <si>
    <t>LT-019369-18/BX</t>
  </si>
  <si>
    <t>LT-078530-18/KI</t>
  </si>
  <si>
    <t>LT-038081-18/BX</t>
  </si>
  <si>
    <t>LT-077818-18/KI</t>
  </si>
  <si>
    <t>LT-005278-19/BX</t>
  </si>
  <si>
    <t>LT-023533-18/BX</t>
  </si>
  <si>
    <t>LT-066159-19/KI</t>
  </si>
  <si>
    <t>LT-052572-18/BX</t>
  </si>
  <si>
    <t>GV-230153-OR</t>
  </si>
  <si>
    <t>LT-073171-18/QU</t>
  </si>
  <si>
    <t>LT-068258-18//QU</t>
  </si>
  <si>
    <t>LT-041049-18/BX</t>
  </si>
  <si>
    <t>LT-052355-18/RI</t>
  </si>
  <si>
    <t>LT-000361-19/NY</t>
  </si>
  <si>
    <t>LT-055739-18/KI</t>
  </si>
  <si>
    <t>LT-67913-18/QU</t>
  </si>
  <si>
    <t>LT-050720-19/RI</t>
  </si>
  <si>
    <t>059177/19</t>
  </si>
  <si>
    <t>LT-076452-18/KI</t>
  </si>
  <si>
    <t>no case as of 3/1/19</t>
  </si>
  <si>
    <t>LT-061380-19/NY</t>
  </si>
  <si>
    <t>LT-058760-18/QU</t>
  </si>
  <si>
    <t>LT-096618-18/KI</t>
  </si>
  <si>
    <t>LT-06300-18/QU</t>
  </si>
  <si>
    <t>LT-059724-19/KI</t>
  </si>
  <si>
    <t>LT-084844-18/KI</t>
  </si>
  <si>
    <t>LT-056685-19/QU</t>
  </si>
  <si>
    <t>LT-064368-18/QU</t>
  </si>
  <si>
    <t>LT-069985-18/QU</t>
  </si>
  <si>
    <t>LT-053757-19/QU</t>
  </si>
  <si>
    <t>LT-082168-18/KI</t>
  </si>
  <si>
    <t>LT-028513-18/BX</t>
  </si>
  <si>
    <t>HM 130106 OM</t>
  </si>
  <si>
    <t>LT-251528-18/NY</t>
  </si>
  <si>
    <t>LT-060102-18/NY</t>
  </si>
  <si>
    <t>LT-069456-18/QU</t>
  </si>
  <si>
    <t>LT-097407-18/KI</t>
  </si>
  <si>
    <t>LT-052583-18/RI</t>
  </si>
  <si>
    <t>LT-054692-19/NY</t>
  </si>
  <si>
    <t>LT-073766-18/QU</t>
  </si>
  <si>
    <t>LT-067981-18/QU</t>
  </si>
  <si>
    <t xml:space="preserve">LT-085567-18/KI </t>
  </si>
  <si>
    <t>LT-001380-19/BX</t>
  </si>
  <si>
    <t>LT-083963-18/KI</t>
  </si>
  <si>
    <t>LT-096652-18/KI</t>
  </si>
  <si>
    <t>LT-050690-19/RI</t>
  </si>
  <si>
    <t>LT-050470-19/QU</t>
  </si>
  <si>
    <t>LT-065200-19/KI</t>
  </si>
  <si>
    <t>LT-063289-19/KI</t>
  </si>
  <si>
    <t>LT-73274-18/QU</t>
  </si>
  <si>
    <t>LT-77087-18/KI</t>
  </si>
  <si>
    <t>LT-082279-18/KI</t>
  </si>
  <si>
    <t>LT-088059-18/KI</t>
  </si>
  <si>
    <t>LT-060728-19/QU</t>
  </si>
  <si>
    <t>LT-050675-18/BX</t>
  </si>
  <si>
    <t>LT-050053-19/QU</t>
  </si>
  <si>
    <t>LT-054705-19/KI</t>
  </si>
  <si>
    <t>LT-082427-18/KI</t>
  </si>
  <si>
    <t>LT-058477-19/KI</t>
  </si>
  <si>
    <t>LT-095284-18/KI</t>
  </si>
  <si>
    <t>LT-082690-18/KI</t>
  </si>
  <si>
    <t>LT-088140-18/KI</t>
  </si>
  <si>
    <t>LT-059882-18/NY</t>
  </si>
  <si>
    <t>LT-012067-18/BX</t>
  </si>
  <si>
    <t>LT-055688-18/KI</t>
  </si>
  <si>
    <t>LT-066046-18/NY</t>
  </si>
  <si>
    <t>LT-054826-19/NY</t>
  </si>
  <si>
    <t>LT-066176-18/NY</t>
  </si>
  <si>
    <t>LT-050614-19/RI</t>
  </si>
  <si>
    <t>LT-076706-18/QU</t>
  </si>
  <si>
    <t>LT-0050560-19/RI</t>
  </si>
  <si>
    <t>LT-80105-18/KI</t>
  </si>
  <si>
    <t>LT-033922-18/BX</t>
  </si>
  <si>
    <t>LT-076816-18/KI</t>
  </si>
  <si>
    <t>LT-047367-18/BX</t>
  </si>
  <si>
    <t>D7869</t>
  </si>
  <si>
    <t>LT-083728-18/KI</t>
  </si>
  <si>
    <t>LT-052165-19/KI</t>
  </si>
  <si>
    <t>LT-074979-18/QU</t>
  </si>
  <si>
    <t>LT-070273-18/KI</t>
  </si>
  <si>
    <t>LT-069384-18/KI</t>
  </si>
  <si>
    <t>HP 210189 S</t>
  </si>
  <si>
    <t>LT-032562-18/BX</t>
  </si>
  <si>
    <t>LT-00361-19/NY</t>
  </si>
  <si>
    <t>LT-052244-18/RI</t>
  </si>
  <si>
    <t>LT-251686-18/NY</t>
  </si>
  <si>
    <t>LT-093932-18/KI</t>
  </si>
  <si>
    <t>LT-38344-18/BX</t>
  </si>
  <si>
    <t>LT-070890-18/QU</t>
  </si>
  <si>
    <t>LT-92172-18/KI</t>
  </si>
  <si>
    <t>LT-004227/19-BX</t>
  </si>
  <si>
    <t>LT 79643/2018 KI</t>
  </si>
  <si>
    <t>LT-087321-18/KI</t>
  </si>
  <si>
    <t>LT-069431-18/QU</t>
  </si>
  <si>
    <t>LT-057217-18/QU</t>
  </si>
  <si>
    <t>LT-087064-18/KI</t>
  </si>
  <si>
    <t>LT-050377-19/RI</t>
  </si>
  <si>
    <t>LT-025217-18/BX</t>
  </si>
  <si>
    <t>LT-070046-18/KI</t>
  </si>
  <si>
    <t>LT-056875-19</t>
  </si>
  <si>
    <t>LT-053691-18/RI</t>
  </si>
  <si>
    <t>LT-050361-18/QU</t>
  </si>
  <si>
    <t>LT-042995-18/BX</t>
  </si>
  <si>
    <t>FX210214S</t>
  </si>
  <si>
    <t>LT-064773-18/BX</t>
  </si>
  <si>
    <t>LT-057467-19/NY</t>
  </si>
  <si>
    <t>LT-011742</t>
  </si>
  <si>
    <t>LT-052279-18/RI</t>
  </si>
  <si>
    <t>287-19/KI</t>
  </si>
  <si>
    <t>LT-051928-18/RI</t>
  </si>
  <si>
    <t>LT-022753-18/BX</t>
  </si>
  <si>
    <t>LT-051048-19/NY</t>
  </si>
  <si>
    <t>LT-055564-19/KI</t>
  </si>
  <si>
    <t>LT-050368-19/RI</t>
  </si>
  <si>
    <t>LT-061308-19/NY</t>
  </si>
  <si>
    <t>LT-062390-18/QU</t>
  </si>
  <si>
    <t>LT-048357-18/BX</t>
  </si>
  <si>
    <t>LT-051001-19/RI</t>
  </si>
  <si>
    <t>LT-090956-18/KI</t>
  </si>
  <si>
    <t>LT-077876-18/QU</t>
  </si>
  <si>
    <t>LT-080600-17/QU</t>
  </si>
  <si>
    <t>LT-072072-18/QU</t>
  </si>
  <si>
    <t>LT-059322-18/QU</t>
  </si>
  <si>
    <t>LT-006147-18/KI</t>
  </si>
  <si>
    <t>LT-15538-19/BX</t>
  </si>
  <si>
    <t>LT-022923-18/BX</t>
  </si>
  <si>
    <t>LT-034759-18/BX</t>
  </si>
  <si>
    <t>LT-062124-18/NY</t>
  </si>
  <si>
    <t>LT-038079-18/BX</t>
  </si>
  <si>
    <t>LT-053169-18/RI</t>
  </si>
  <si>
    <t>LT-060524-19/QU</t>
  </si>
  <si>
    <t>LT-001912-16/KI</t>
  </si>
  <si>
    <t>LT-74442-18/KI</t>
  </si>
  <si>
    <t>LT-66185-18/NY</t>
  </si>
  <si>
    <t>LT-075543-18/QU</t>
  </si>
  <si>
    <t>LT-003929-18/KI</t>
  </si>
  <si>
    <t>LT-060570-19/NY</t>
  </si>
  <si>
    <t>LT-087861-18/KI</t>
  </si>
  <si>
    <t>LT-066162-18/QU</t>
  </si>
  <si>
    <t>LT-063786-18QU</t>
  </si>
  <si>
    <t>LT-063786-18/QU</t>
  </si>
  <si>
    <t>LT-064762-18/QU</t>
  </si>
  <si>
    <t>client to provide</t>
  </si>
  <si>
    <t>LT-53460-18/RI</t>
  </si>
  <si>
    <t>LT-013923-19/BX</t>
  </si>
  <si>
    <t>LT-062184-18/QU</t>
  </si>
  <si>
    <t>LT-070881-18/QU</t>
  </si>
  <si>
    <t>LT-064009-17/QU</t>
  </si>
  <si>
    <t>LT-071198-18/NY</t>
  </si>
  <si>
    <t>LT-074618-18/NY</t>
  </si>
  <si>
    <t>L&amp;T-057794-19/NY</t>
  </si>
  <si>
    <t>LT-059107-19/NY</t>
  </si>
  <si>
    <t>LT-073047-18/QU</t>
  </si>
  <si>
    <t>LT-078674-18/QU</t>
  </si>
  <si>
    <t>LT-069169-18/NY</t>
  </si>
  <si>
    <t>LT-052413-18/RI</t>
  </si>
  <si>
    <t>LT-079118-19/NY</t>
  </si>
  <si>
    <t>LT-79538-18/KI</t>
  </si>
  <si>
    <t>LT-053427-18/RI</t>
  </si>
  <si>
    <t>LT-073677-18/KI</t>
  </si>
  <si>
    <t>LT-057361-18/QU</t>
  </si>
  <si>
    <t>LT-065949-18/QU</t>
  </si>
  <si>
    <t>LT-053715-18/RI</t>
  </si>
  <si>
    <t>LT-001071-18/QU</t>
  </si>
  <si>
    <t>None yet</t>
  </si>
  <si>
    <t>LT-065814-18/QU</t>
  </si>
  <si>
    <t>LT-081762-18/KI</t>
  </si>
  <si>
    <t>LT-074958-18/KI</t>
  </si>
  <si>
    <t>LT-093597-17/KI</t>
  </si>
  <si>
    <t>LT-086190-18/KI</t>
  </si>
  <si>
    <t>LT-068426-18/QU</t>
  </si>
  <si>
    <t>LT-002127-18/BX</t>
  </si>
  <si>
    <t>LT-002608-18/KI</t>
  </si>
  <si>
    <t>LT-063779-18/QU</t>
  </si>
  <si>
    <t>LT-088411-18/KI</t>
  </si>
  <si>
    <t>LT-093875-18/KI</t>
  </si>
  <si>
    <t>LT-061344-18/QU</t>
  </si>
  <si>
    <t>LT-076743-18/KI</t>
  </si>
  <si>
    <t>LT-88600-18/KI</t>
  </si>
  <si>
    <t>LT-085763-18/KI</t>
  </si>
  <si>
    <t>LT-071503-18/QU</t>
  </si>
  <si>
    <t>LT-069983-18/QU</t>
  </si>
  <si>
    <t>004196/2018</t>
  </si>
  <si>
    <t>LT-062358-18/KI</t>
  </si>
  <si>
    <t>LT-052273-19/QU</t>
  </si>
  <si>
    <t>LT-006976-19/BX</t>
  </si>
  <si>
    <t>LT-073731-18/QU</t>
  </si>
  <si>
    <t>LT-087327-18/KI</t>
  </si>
  <si>
    <t>LT-085494-17/KI</t>
  </si>
  <si>
    <t>LT-050513-18/RI</t>
  </si>
  <si>
    <t>LT-053280-19/QU</t>
  </si>
  <si>
    <t>LT-565552-19/QU</t>
  </si>
  <si>
    <t>LT-055149-19/NY</t>
  </si>
  <si>
    <t>LT-050716-19/RI</t>
  </si>
  <si>
    <t>LT-83464-18/KI</t>
  </si>
  <si>
    <t>LT-082955-18/KI</t>
  </si>
  <si>
    <t>LT-083207-18/KI</t>
  </si>
  <si>
    <t>LT-006124-17/NY</t>
  </si>
  <si>
    <t>LT-058185-19/QU</t>
  </si>
  <si>
    <t>LT-038795-18/BX</t>
  </si>
  <si>
    <t>LT-074803-18/KI</t>
  </si>
  <si>
    <t>LT-029158-18/BX</t>
  </si>
  <si>
    <t>LT-062635-18/NY</t>
  </si>
  <si>
    <t>LT-001882-19/BX</t>
  </si>
  <si>
    <t>LT-086504-18/KI</t>
  </si>
  <si>
    <t>LT-028828-18/BX</t>
  </si>
  <si>
    <t>LT-073160-18/KI</t>
  </si>
  <si>
    <t>LT-060758-18/KI</t>
  </si>
  <si>
    <t>LT-063115-18/NY</t>
  </si>
  <si>
    <t>LT-070865-18/QU</t>
  </si>
  <si>
    <t>LT-096694-18/KI</t>
  </si>
  <si>
    <t>LT-071774-18/QU</t>
  </si>
  <si>
    <t>LT-080461-18/NY</t>
  </si>
  <si>
    <t>LT-000278-19/KI</t>
  </si>
  <si>
    <t>LT-038030-18/BX</t>
  </si>
  <si>
    <t>LT-049916-16/BX</t>
  </si>
  <si>
    <t>LT-067819-18/NY</t>
  </si>
  <si>
    <t>LT-72321-18/QU</t>
  </si>
  <si>
    <t>LT-072276-16/BX</t>
  </si>
  <si>
    <t>LT-083502-17/KI</t>
  </si>
  <si>
    <t>LT-86877-18/KI</t>
  </si>
  <si>
    <t>LT-098068-17/KI</t>
  </si>
  <si>
    <t>LT-065731-17/BX</t>
  </si>
  <si>
    <t>LT-062646-18/NY</t>
  </si>
  <si>
    <t>LT-159854-18/BX</t>
  </si>
  <si>
    <t>client will provide</t>
  </si>
  <si>
    <t>LT-058478-18/NY</t>
  </si>
  <si>
    <t>LT-043271-16/BX</t>
  </si>
  <si>
    <t>LT-093820-18/KI</t>
  </si>
  <si>
    <t>LT-051562-18/RI</t>
  </si>
  <si>
    <t>LT-066238-18/NY</t>
  </si>
  <si>
    <t>LT-052530-18/RI</t>
  </si>
  <si>
    <t>LT-071218-18/NY</t>
  </si>
  <si>
    <t>LT-065695-18/NY</t>
  </si>
  <si>
    <t>LT-54649-18/KI</t>
  </si>
  <si>
    <t>LT-067575-18/QU</t>
  </si>
  <si>
    <t>LT-080878-18/KI</t>
  </si>
  <si>
    <t>LT-094059-18/KI</t>
  </si>
  <si>
    <t>LT-67414-18/NY</t>
  </si>
  <si>
    <t>LT-006480-18/KI</t>
  </si>
  <si>
    <t>LT-063297-19/KI</t>
  </si>
  <si>
    <t>LT-058237-19/NY</t>
  </si>
  <si>
    <t>LT-087341-18/KI</t>
  </si>
  <si>
    <t>LT-050671-19/RI</t>
  </si>
  <si>
    <t>LT-050273-18/QU</t>
  </si>
  <si>
    <t>LT-56691/19/NY</t>
  </si>
  <si>
    <t>LT-762071-18/KI</t>
  </si>
  <si>
    <t>LT-67408-18/NY</t>
  </si>
  <si>
    <t>LT-07444-18/KI</t>
  </si>
  <si>
    <t>LT-064232-18/KI</t>
  </si>
  <si>
    <t>LT-075721-18/KI</t>
  </si>
  <si>
    <t>LT-72132-17/KI</t>
  </si>
  <si>
    <t>LT-067409-18/NY</t>
  </si>
  <si>
    <t>LT-064564-18/NY</t>
  </si>
  <si>
    <t>LT-058125-19/KI</t>
  </si>
  <si>
    <t>LT-078550-17/KI</t>
  </si>
  <si>
    <t>LT-094943-19/KI</t>
  </si>
  <si>
    <t>LT-250024-19/NY</t>
  </si>
  <si>
    <t>LT-074445-18/KI</t>
  </si>
  <si>
    <t>LT-074368-18/KI</t>
  </si>
  <si>
    <t>LT-052066-18/BX</t>
  </si>
  <si>
    <t>LT-070632-18/KI</t>
  </si>
  <si>
    <t>LT-079778-18/KI</t>
  </si>
  <si>
    <t>LT-067286-18/NY</t>
  </si>
  <si>
    <t>FX210021B</t>
  </si>
  <si>
    <t>GM-210137-S</t>
  </si>
  <si>
    <t>LT-064757-18/BX</t>
  </si>
  <si>
    <t>LT-70254-18/NY</t>
  </si>
  <si>
    <t>LT-063325-18/NY</t>
  </si>
  <si>
    <t>LT-041950-18/BX</t>
  </si>
  <si>
    <t>LT-068253-18/KI</t>
  </si>
  <si>
    <t>LT-78345-18/NY</t>
  </si>
  <si>
    <t>LT-050072-16/NY</t>
  </si>
  <si>
    <t>LT-082811-18/KI</t>
  </si>
  <si>
    <t>LT-076172-17/NY</t>
  </si>
  <si>
    <t>LT-05758/19-NY</t>
  </si>
  <si>
    <t>LT-051621-18/RI</t>
  </si>
  <si>
    <t>LT-056575-18/NY</t>
  </si>
  <si>
    <t>LT-013318-18/QU</t>
  </si>
  <si>
    <t>LT-050509-19/RI</t>
  </si>
  <si>
    <t>LT-053872-19/KI</t>
  </si>
  <si>
    <t>LT-086989-18/KI</t>
  </si>
  <si>
    <t>LT-021605-18/NY</t>
  </si>
  <si>
    <t>FX210213S</t>
  </si>
  <si>
    <t>LT-045280-18/BX</t>
  </si>
  <si>
    <t>LT-002612-18/KI</t>
  </si>
  <si>
    <t>LT-058364-19/KI</t>
  </si>
  <si>
    <t>LT-086282-18/KI</t>
  </si>
  <si>
    <t>CX-610003-RP</t>
  </si>
  <si>
    <t>LT-066105-18/NY</t>
  </si>
  <si>
    <t>LT-003453-18/KI</t>
  </si>
  <si>
    <t>LT-64406-18/NY</t>
  </si>
  <si>
    <t>LT-080596-16/NY</t>
  </si>
  <si>
    <t>LT-59614/19-NY</t>
  </si>
  <si>
    <t>LT-088224-17/KI</t>
  </si>
  <si>
    <t>LT-053881-18/BX</t>
  </si>
  <si>
    <t>Nonw</t>
  </si>
  <si>
    <t>LT-047908-18/BX</t>
  </si>
  <si>
    <t>LT-079013-18/NY</t>
  </si>
  <si>
    <t>LT-738286-19/NY</t>
  </si>
  <si>
    <t>LT-074444-18/KI</t>
  </si>
  <si>
    <t>LT-088031-18/KI</t>
  </si>
  <si>
    <t>LT-041238-18/BX</t>
  </si>
  <si>
    <t>LT-50052-19/RI</t>
  </si>
  <si>
    <t>LT-097199-18/KI</t>
  </si>
  <si>
    <t>LT-052774-19/NY</t>
  </si>
  <si>
    <t>LT-073598-18/NY</t>
  </si>
  <si>
    <t>LT-071662-18/NY</t>
  </si>
  <si>
    <t>LT-052803-18/RI</t>
  </si>
  <si>
    <t>LT-053322-18/RI</t>
  </si>
  <si>
    <t>GR210018 OM</t>
  </si>
  <si>
    <t>HN 210044 B</t>
  </si>
  <si>
    <t>LT-050637-19/KI</t>
  </si>
  <si>
    <t>LT-000467-19/NY</t>
  </si>
  <si>
    <t>LT-051410-18/RI</t>
  </si>
  <si>
    <t>2704/18</t>
  </si>
  <si>
    <t>LT-001339-18/NY</t>
  </si>
  <si>
    <t>LT-091375-18/NY</t>
  </si>
  <si>
    <t>GR-210005-UC</t>
  </si>
  <si>
    <t>905693-TD-2018</t>
  </si>
  <si>
    <t>LT-060751-11/BX</t>
  </si>
  <si>
    <t>LT-056307-18/KI</t>
  </si>
  <si>
    <t>LT-050180-19/RI</t>
  </si>
  <si>
    <t>LT-067407-18/NY</t>
  </si>
  <si>
    <t>LT-013115-17/BX</t>
  </si>
  <si>
    <t>LT-070826-18/NY</t>
  </si>
  <si>
    <t>LT-251456-18/NY</t>
  </si>
  <si>
    <t>LT-079249-18/NY</t>
  </si>
  <si>
    <t>LT-075703-18/NY</t>
  </si>
  <si>
    <t>EU 630005 OM</t>
  </si>
  <si>
    <t>LT-251184-13/NY</t>
  </si>
  <si>
    <t>LT-59000/19 QU</t>
  </si>
  <si>
    <t>LT-079704-12/NY</t>
  </si>
  <si>
    <t>LT-60415-19/KI</t>
  </si>
  <si>
    <t>LT-069332-18/KI</t>
  </si>
  <si>
    <t>LT-059641-19/QU</t>
  </si>
  <si>
    <t>LT-070145-18/KI</t>
  </si>
  <si>
    <t>LT-250722-19/NY</t>
  </si>
  <si>
    <t>LT-64322-18/KI</t>
  </si>
  <si>
    <t>LT-070143-18/KI</t>
  </si>
  <si>
    <t>LT-64595-19/KI</t>
  </si>
  <si>
    <t>LT-078385-18/KI</t>
  </si>
  <si>
    <t>LT-076733-18/QU</t>
  </si>
  <si>
    <t>LT-063665-19/KI</t>
  </si>
  <si>
    <t>LT-086265-17/KI</t>
  </si>
  <si>
    <t>none provided</t>
  </si>
  <si>
    <t>LT-035600-18/BX</t>
  </si>
  <si>
    <t>FX210216S</t>
  </si>
  <si>
    <t>LT-058120-19/KI</t>
  </si>
  <si>
    <t>HP Action</t>
  </si>
  <si>
    <t>Holdover</t>
  </si>
  <si>
    <t>Non-Litigation Advocacy</t>
  </si>
  <si>
    <t>Non-payment</t>
  </si>
  <si>
    <t>Illegal Lockout</t>
  </si>
  <si>
    <t>Tenant Rights</t>
  </si>
  <si>
    <t>DHCR Administrative Action</t>
  </si>
  <si>
    <t>PA Issue: City FEPS/SEPS</t>
  </si>
  <si>
    <t>Sec. 8 Termination</t>
  </si>
  <si>
    <t>Affirmative Litigation Supreme</t>
  </si>
  <si>
    <t>SCRIE/DRIE</t>
  </si>
  <si>
    <t>NYCHA Housing Grievance</t>
  </si>
  <si>
    <t>DHCR Proceeding</t>
  </si>
  <si>
    <t>Section 8 share</t>
  </si>
  <si>
    <t>Other Civil Court</t>
  </si>
  <si>
    <t>Section 8 other</t>
  </si>
  <si>
    <t>Mitchell-Lama RFM</t>
  </si>
  <si>
    <t>PA Issue: Other</t>
  </si>
  <si>
    <t>PA Issue: RAU</t>
  </si>
  <si>
    <t>Human Rights Complaint</t>
  </si>
  <si>
    <t>Affirmative Litigation Federal</t>
  </si>
  <si>
    <t>Other Administrative Proceeding</t>
  </si>
  <si>
    <t>7A Proceeding</t>
  </si>
  <si>
    <t>Section 8 HQS</t>
  </si>
  <si>
    <t>Ejectment Action</t>
  </si>
  <si>
    <t>Article 78</t>
  </si>
  <si>
    <t>PA Issue: LINC</t>
  </si>
  <si>
    <t>NYCHA Housing Termination</t>
  </si>
  <si>
    <t>Mitchell-Lama Termination</t>
  </si>
  <si>
    <t>PA Issue: FEPS</t>
  </si>
  <si>
    <t>Certificate of No Harassment Case</t>
  </si>
  <si>
    <t>Appeal-Appellate Term</t>
  </si>
  <si>
    <t>Other</t>
  </si>
  <si>
    <t>Advice</t>
  </si>
  <si>
    <t>Brief Service</t>
  </si>
  <si>
    <t>Representation - State Court</t>
  </si>
  <si>
    <t>Out-of-Court Advocacy</t>
  </si>
  <si>
    <t>Hold For Review</t>
  </si>
  <si>
    <t>Representation - Admin. Agency</t>
  </si>
  <si>
    <t>Representation - Federal Court</t>
  </si>
  <si>
    <t>Representation—EOIR</t>
  </si>
  <si>
    <t>A - Counsel and Advice</t>
  </si>
  <si>
    <t>B - Limited Action (Brief Service)</t>
  </si>
  <si>
    <t>G - Negotiated Settlement with Litigation</t>
  </si>
  <si>
    <t>F - Negotiated Settlement w/out Litigation</t>
  </si>
  <si>
    <t>IB - Contested Court Decision</t>
  </si>
  <si>
    <t>L - Extensive Service (not resulting in Settlement of Court or Administrative Action)</t>
  </si>
  <si>
    <t>IA - Uncontested Court Decision</t>
  </si>
  <si>
    <t>H - Administrative Agency Decision</t>
  </si>
  <si>
    <t>3018 Tenant Rights Coalition (TRC)</t>
  </si>
  <si>
    <t>3011 TRC FJC Initiative</t>
  </si>
  <si>
    <t>63 Private Landlord/Tenant</t>
  </si>
  <si>
    <t>09 Other Consumer/Finance</t>
  </si>
  <si>
    <t>69 Other Housing</t>
  </si>
  <si>
    <t>71 TANF</t>
  </si>
  <si>
    <t>67 Mortgage Foreclosures (Not Predatory Lending/Practices)</t>
  </si>
  <si>
    <t>01 Bankruptcy/Debtor Relief</t>
  </si>
  <si>
    <t>64 Public Housing</t>
  </si>
  <si>
    <t>61 Federally Subsidized Housing</t>
  </si>
  <si>
    <t>66 Housing Discrimination</t>
  </si>
  <si>
    <t>79 Other Income Maintenence</t>
  </si>
  <si>
    <t>02 Collect/Repo/Def/Garnsh</t>
  </si>
  <si>
    <t>99 Other Miscellaneous</t>
  </si>
  <si>
    <t>No Stipulation; No Judgment</t>
  </si>
  <si>
    <t>Post-Judgment, Tenant Out of Possession</t>
  </si>
  <si>
    <t>Post-Judgment, Tenant in Possession-Judgment Due to Default</t>
  </si>
  <si>
    <t>Post-Judgment, Tenant in Possession-Judgment Due to Other</t>
  </si>
  <si>
    <t>Post-Stipulation, No Judgment</t>
  </si>
  <si>
    <t>On for Trial</t>
  </si>
  <si>
    <t>No Stipulation; No Judgment, On for Trial</t>
  </si>
  <si>
    <t>12/01/2018</t>
  </si>
  <si>
    <t>07/01/2018</t>
  </si>
  <si>
    <t>07/22/2018</t>
  </si>
  <si>
    <t>02/02/2019</t>
  </si>
  <si>
    <t>07/08/2018</t>
  </si>
  <si>
    <t>01/13/2019</t>
  </si>
  <si>
    <t>07/11/2018</t>
  </si>
  <si>
    <t>10/27/2018</t>
  </si>
  <si>
    <t>12/02/2018</t>
  </si>
  <si>
    <t>03/31/2019</t>
  </si>
  <si>
    <t>12/30/2018</t>
  </si>
  <si>
    <t>07/04/2018</t>
  </si>
  <si>
    <t>12/23/2018</t>
  </si>
  <si>
    <t>02/23/2019</t>
  </si>
  <si>
    <t>02/18/2019</t>
  </si>
  <si>
    <t>10/28/2018</t>
  </si>
  <si>
    <t>04/14/2019</t>
  </si>
  <si>
    <t>01/06/2019</t>
  </si>
  <si>
    <t>Queens Legal Services</t>
  </si>
  <si>
    <t>Brooklyn Legal Services</t>
  </si>
  <si>
    <t>Bronx Legal Services</t>
  </si>
  <si>
    <t>Staten Island Legal Services</t>
  </si>
  <si>
    <t>Manhattan Legal Services</t>
  </si>
  <si>
    <t>HRA</t>
  </si>
  <si>
    <t>Self-referred</t>
  </si>
  <si>
    <t>Returning Client</t>
  </si>
  <si>
    <t>FJC Housing Intake</t>
  </si>
  <si>
    <t>In-House</t>
  </si>
  <si>
    <t>Elected Official</t>
  </si>
  <si>
    <t>Word of mouth</t>
  </si>
  <si>
    <t>Court Referral-NON HRA</t>
  </si>
  <si>
    <t>Friends/Family</t>
  </si>
  <si>
    <t>Outreach</t>
  </si>
  <si>
    <t>Community Organization</t>
  </si>
  <si>
    <t>Court</t>
  </si>
  <si>
    <t>Other City Agency</t>
  </si>
  <si>
    <t>HRA ELS (Assigned Counsel)</t>
  </si>
  <si>
    <t>ADP Hotline</t>
  </si>
  <si>
    <t>Tenant Support Unit</t>
  </si>
  <si>
    <t>Home base</t>
  </si>
  <si>
    <t>3-1-1</t>
  </si>
  <si>
    <t>DHS</t>
  </si>
  <si>
    <t>School</t>
  </si>
  <si>
    <t>6014-Obtained advice and counsel on a Housing matter</t>
  </si>
  <si>
    <t>6015-Obtained non-litgation advocacy services on a Housing  matter</t>
  </si>
  <si>
    <t>6002-Prevented eviction from private housing</t>
  </si>
  <si>
    <t>1013-Obtained advice and counsel  on Consumer matter</t>
  </si>
  <si>
    <t>6017-Obtained other benefit on a Housing matter</t>
  </si>
  <si>
    <t>6003-Delayed eviction providing time to seek alternative housing</t>
  </si>
  <si>
    <t>6004-Obtained access to housing</t>
  </si>
  <si>
    <t>ZZ-Client Withdrew—For ZZ Adm Closed Reason Closed Cases Only</t>
  </si>
  <si>
    <t>6009-Obtained repairs, Improved housing conditions or otherwise enforced rights to decent, habitable housing</t>
  </si>
  <si>
    <t>6016-Obtained referral on a Housing matter</t>
  </si>
  <si>
    <t>6018-Prevented eviction from subsidized housing</t>
  </si>
  <si>
    <t>7001-Obtained, preserved or increased public assistance, TANF or other welfare benefit/right</t>
  </si>
  <si>
    <t>6021-Provided full representation in a Housing matter, but no legal benefit achieved for the client</t>
  </si>
  <si>
    <t>6001-Prevented eviction from public housing</t>
  </si>
  <si>
    <t>6007-Avoided, or obtained redress for charges by landlord</t>
  </si>
  <si>
    <t>6013-Obtained assistance in development/renovation of affordable housing</t>
  </si>
  <si>
    <t>6008-Overcame denial of tenants rights under lease</t>
  </si>
  <si>
    <t>7013-Obtained non-llitigation advocacy services on an Income Maintenance matter</t>
  </si>
  <si>
    <t>6010-Preserved or restored access to personal property</t>
  </si>
  <si>
    <t>7002-Overcame denial of emergency assistance</t>
  </si>
  <si>
    <t>6012-Overcame, or obtained redress for, discrimination of affordable housing</t>
  </si>
  <si>
    <t>03/12/1987</t>
  </si>
  <si>
    <t>12/23/1977</t>
  </si>
  <si>
    <t>05/31/1976</t>
  </si>
  <si>
    <t>08/10/1971</t>
  </si>
  <si>
    <t>03/03/1963</t>
  </si>
  <si>
    <t>07/25/1977</t>
  </si>
  <si>
    <t>02/11/1983</t>
  </si>
  <si>
    <t>02/03/1982</t>
  </si>
  <si>
    <t>03/26/1987</t>
  </si>
  <si>
    <t>05/27/1962</t>
  </si>
  <si>
    <t>03/18/1977</t>
  </si>
  <si>
    <t>12/13/1978</t>
  </si>
  <si>
    <t>01/29/1963</t>
  </si>
  <si>
    <t>03/05/1991</t>
  </si>
  <si>
    <t>05/21/1992</t>
  </si>
  <si>
    <t>10/31/1963</t>
  </si>
  <si>
    <t>10/05/1984</t>
  </si>
  <si>
    <t>10/21/1977</t>
  </si>
  <si>
    <t>08/08/1979</t>
  </si>
  <si>
    <t>09/06/1980</t>
  </si>
  <si>
    <t>02/26/1962</t>
  </si>
  <si>
    <t>06/29/1966</t>
  </si>
  <si>
    <t>07/02/1973</t>
  </si>
  <si>
    <t>09/11/1981</t>
  </si>
  <si>
    <t>03/19/1994</t>
  </si>
  <si>
    <t>12/12/1974</t>
  </si>
  <si>
    <t>02/05/1985</t>
  </si>
  <si>
    <t>08/06/1982</t>
  </si>
  <si>
    <t>01/01/1984</t>
  </si>
  <si>
    <t>11/30/1958</t>
  </si>
  <si>
    <t>11/11/1990</t>
  </si>
  <si>
    <t>11/12/1990</t>
  </si>
  <si>
    <t>05/10/1969</t>
  </si>
  <si>
    <t>11/24/1960</t>
  </si>
  <si>
    <t>02/20/1958</t>
  </si>
  <si>
    <t>02/05/1982</t>
  </si>
  <si>
    <t>05/20/1987</t>
  </si>
  <si>
    <t>11/24/1942</t>
  </si>
  <si>
    <t>11/19/1962</t>
  </si>
  <si>
    <t>01/19/1979</t>
  </si>
  <si>
    <t>10/08/1983</t>
  </si>
  <si>
    <t>03/11/1988</t>
  </si>
  <si>
    <t>05/23/1978</t>
  </si>
  <si>
    <t>08/02/1975</t>
  </si>
  <si>
    <t>05/04/1956</t>
  </si>
  <si>
    <t>12/10/1954</t>
  </si>
  <si>
    <t>04/24/1961</t>
  </si>
  <si>
    <t>08/30/1995</t>
  </si>
  <si>
    <t>09/23/1986</t>
  </si>
  <si>
    <t>12/16/1950</t>
  </si>
  <si>
    <t>03/31/1950</t>
  </si>
  <si>
    <t>01/10/1971</t>
  </si>
  <si>
    <t>01/25/1985</t>
  </si>
  <si>
    <t>09/19/1967</t>
  </si>
  <si>
    <t>01/01/1970</t>
  </si>
  <si>
    <t>12/14/1960</t>
  </si>
  <si>
    <t>07/24/1980</t>
  </si>
  <si>
    <t>04/14/1976</t>
  </si>
  <si>
    <t>03/12/1946</t>
  </si>
  <si>
    <t>05/01/1949</t>
  </si>
  <si>
    <t>01/01/1979</t>
  </si>
  <si>
    <t>05/08/1954</t>
  </si>
  <si>
    <t>12/10/1972</t>
  </si>
  <si>
    <t>09/26/1933</t>
  </si>
  <si>
    <t>10/15/1977</t>
  </si>
  <si>
    <t>06/19/1963</t>
  </si>
  <si>
    <t>01/23/1956</t>
  </si>
  <si>
    <t>12/19/1969</t>
  </si>
  <si>
    <t>02/12/1973</t>
  </si>
  <si>
    <t>10/03/1958</t>
  </si>
  <si>
    <t>06/27/1965</t>
  </si>
  <si>
    <t>03/28/1947</t>
  </si>
  <si>
    <t>03/11/1986</t>
  </si>
  <si>
    <t>08/18/1993</t>
  </si>
  <si>
    <t>05/01/1975</t>
  </si>
  <si>
    <t>07/16/1958</t>
  </si>
  <si>
    <t>06/05/1973</t>
  </si>
  <si>
    <t>03/22/1972</t>
  </si>
  <si>
    <t>03/06/1970</t>
  </si>
  <si>
    <t>08/01/1951</t>
  </si>
  <si>
    <t>04/01/1975</t>
  </si>
  <si>
    <t>01/01/1978</t>
  </si>
  <si>
    <t>05/25/1928</t>
  </si>
  <si>
    <t>05/03/1986</t>
  </si>
  <si>
    <t>09/11/1962</t>
  </si>
  <si>
    <t>02/06/1947</t>
  </si>
  <si>
    <t>12/23/1968</t>
  </si>
  <si>
    <t>10/02/1953</t>
  </si>
  <si>
    <t>01/02/1945</t>
  </si>
  <si>
    <t>04/20/1969</t>
  </si>
  <si>
    <t>03/15/1955</t>
  </si>
  <si>
    <t>05/09/1989</t>
  </si>
  <si>
    <t>10/05/1956</t>
  </si>
  <si>
    <t>12/28/1941</t>
  </si>
  <si>
    <t>05/08/1955</t>
  </si>
  <si>
    <t>04/02/1962</t>
  </si>
  <si>
    <t>01/01/1961</t>
  </si>
  <si>
    <t>01/01/1969</t>
  </si>
  <si>
    <t>03/01/1972</t>
  </si>
  <si>
    <t>11/27/1977</t>
  </si>
  <si>
    <t>08/19/1953</t>
  </si>
  <si>
    <t>10/19/1973</t>
  </si>
  <si>
    <t>09/29/1963</t>
  </si>
  <si>
    <t>01/10/1972</t>
  </si>
  <si>
    <t>03/19/1934</t>
  </si>
  <si>
    <t>12/31/1966</t>
  </si>
  <si>
    <t>06/24/1974</t>
  </si>
  <si>
    <t>10/24/1975</t>
  </si>
  <si>
    <t>05/31/1987</t>
  </si>
  <si>
    <t>12/16/1990</t>
  </si>
  <si>
    <t>12/13/1964</t>
  </si>
  <si>
    <t>08/15/1996</t>
  </si>
  <si>
    <t>07/25/1982</t>
  </si>
  <si>
    <t>05/28/1982</t>
  </si>
  <si>
    <t>03/28/1971</t>
  </si>
  <si>
    <t>02/05/1980</t>
  </si>
  <si>
    <t>07/25/1970</t>
  </si>
  <si>
    <t>11/28/1970</t>
  </si>
  <si>
    <t>05/01/1969</t>
  </si>
  <si>
    <t>10/07/1982</t>
  </si>
  <si>
    <t>01/28/1968</t>
  </si>
  <si>
    <t>01/05/1963</t>
  </si>
  <si>
    <t>12/06/1966</t>
  </si>
  <si>
    <t>04/15/1965</t>
  </si>
  <si>
    <t>04/17/1954</t>
  </si>
  <si>
    <t>03/09/1962</t>
  </si>
  <si>
    <t>09/26/1959</t>
  </si>
  <si>
    <t>02/06/1984</t>
  </si>
  <si>
    <t>02/13/1981</t>
  </si>
  <si>
    <t>12/16/1947</t>
  </si>
  <si>
    <t>10/27/1982</t>
  </si>
  <si>
    <t>04/02/1958</t>
  </si>
  <si>
    <t>07/01/1955</t>
  </si>
  <si>
    <t>02/06/1972</t>
  </si>
  <si>
    <t>09/06/1989</t>
  </si>
  <si>
    <t>07/03/1989</t>
  </si>
  <si>
    <t>04/25/1967</t>
  </si>
  <si>
    <t>07/10/1970</t>
  </si>
  <si>
    <t>08/31/1971</t>
  </si>
  <si>
    <t>10/10/1993</t>
  </si>
  <si>
    <t>10/31/1969</t>
  </si>
  <si>
    <t>01/29/1980</t>
  </si>
  <si>
    <t>07/20/1983</t>
  </si>
  <si>
    <t>08/06/1959</t>
  </si>
  <si>
    <t>01/21/1967</t>
  </si>
  <si>
    <t>06/20/1984</t>
  </si>
  <si>
    <t>09/07/1982</t>
  </si>
  <si>
    <t>02/16/1991</t>
  </si>
  <si>
    <t>08/14/1985</t>
  </si>
  <si>
    <t>08/01/1960</t>
  </si>
  <si>
    <t>10/28/1993</t>
  </si>
  <si>
    <t>11/05/1979</t>
  </si>
  <si>
    <t>01/16/1960</t>
  </si>
  <si>
    <t>09/19/1971</t>
  </si>
  <si>
    <t>01/01/1971</t>
  </si>
  <si>
    <t>01/01/1983</t>
  </si>
  <si>
    <t>08/11/1939</t>
  </si>
  <si>
    <t>06/30/1975</t>
  </si>
  <si>
    <t>07/11/1966</t>
  </si>
  <si>
    <t>03/03/1937</t>
  </si>
  <si>
    <t>01/01/1981</t>
  </si>
  <si>
    <t>02/23/1959</t>
  </si>
  <si>
    <t>07/03/1995</t>
  </si>
  <si>
    <t>05/25/1962</t>
  </si>
  <si>
    <t>07/10/1995</t>
  </si>
  <si>
    <t>08/14/1992</t>
  </si>
  <si>
    <t>01/19/1957</t>
  </si>
  <si>
    <t>02/05/1978</t>
  </si>
  <si>
    <t>07/25/1965</t>
  </si>
  <si>
    <t>04/08/1983</t>
  </si>
  <si>
    <t>05/27/1975</t>
  </si>
  <si>
    <t>07/26/1976</t>
  </si>
  <si>
    <t>12/12/1988</t>
  </si>
  <si>
    <t>10/09/1965</t>
  </si>
  <si>
    <t>08/03/1988</t>
  </si>
  <si>
    <t>12/27/1969</t>
  </si>
  <si>
    <t>12/28/1984</t>
  </si>
  <si>
    <t>10/24/1961</t>
  </si>
  <si>
    <t>06/26/1965</t>
  </si>
  <si>
    <t>01/09/1988</t>
  </si>
  <si>
    <t>05/22/1995</t>
  </si>
  <si>
    <t>04/15/1975</t>
  </si>
  <si>
    <t>02/17/1968</t>
  </si>
  <si>
    <t>12/27/1988</t>
  </si>
  <si>
    <t>11/01/1976</t>
  </si>
  <si>
    <t>10/21/1993</t>
  </si>
  <si>
    <t>07/27/1978</t>
  </si>
  <si>
    <t>05/04/1983</t>
  </si>
  <si>
    <t>06/08/1965</t>
  </si>
  <si>
    <t>10/05/1997</t>
  </si>
  <si>
    <t>08/06/1997</t>
  </si>
  <si>
    <t>08/24/1994</t>
  </si>
  <si>
    <t>05/25/1980</t>
  </si>
  <si>
    <t>07/23/1986</t>
  </si>
  <si>
    <t>01/01/1959</t>
  </si>
  <si>
    <t>04/13/1983</t>
  </si>
  <si>
    <t>07/11/1958</t>
  </si>
  <si>
    <t>09/03/1974</t>
  </si>
  <si>
    <t>10/03/1987</t>
  </si>
  <si>
    <t>05/28/1962</t>
  </si>
  <si>
    <t>10/05/1952</t>
  </si>
  <si>
    <t>08/03/1968</t>
  </si>
  <si>
    <t>07/07/1991</t>
  </si>
  <si>
    <t>04/17/1984</t>
  </si>
  <si>
    <t>04/02/1985</t>
  </si>
  <si>
    <t>08/12/1978</t>
  </si>
  <si>
    <t>09/16/1986</t>
  </si>
  <si>
    <t>05/26/1972</t>
  </si>
  <si>
    <t>01/19/1955</t>
  </si>
  <si>
    <t>04/06/1981</t>
  </si>
  <si>
    <t>05/21/1979</t>
  </si>
  <si>
    <t>05/03/1983</t>
  </si>
  <si>
    <t>09/06/1955</t>
  </si>
  <si>
    <t>10/21/1972</t>
  </si>
  <si>
    <t>01/28/1986</t>
  </si>
  <si>
    <t>03/02/1982</t>
  </si>
  <si>
    <t>02/08/1959</t>
  </si>
  <si>
    <t>02/25/1975</t>
  </si>
  <si>
    <t>02/12/1978</t>
  </si>
  <si>
    <t>03/29/1978</t>
  </si>
  <si>
    <t>11/26/1966</t>
  </si>
  <si>
    <t>02/09/1958</t>
  </si>
  <si>
    <t>03/31/1968</t>
  </si>
  <si>
    <t>08/03/1987</t>
  </si>
  <si>
    <t>08/04/1982</t>
  </si>
  <si>
    <t>03/06/1975</t>
  </si>
  <si>
    <t>11/09/1984</t>
  </si>
  <si>
    <t>01/04/1963</t>
  </si>
  <si>
    <t>09/12/1983</t>
  </si>
  <si>
    <t>04/13/1966</t>
  </si>
  <si>
    <t>11/24/1936</t>
  </si>
  <si>
    <t>08/29/1959</t>
  </si>
  <si>
    <t>06/06/1968</t>
  </si>
  <si>
    <t>09/04/1977</t>
  </si>
  <si>
    <t>03/06/1987</t>
  </si>
  <si>
    <t>04/15/1982</t>
  </si>
  <si>
    <t>05/30/1994</t>
  </si>
  <si>
    <t>05/12/1972</t>
  </si>
  <si>
    <t>06/30/1994</t>
  </si>
  <si>
    <t>08/07/1980</t>
  </si>
  <si>
    <t>01/09/1973</t>
  </si>
  <si>
    <t>12/10/1939</t>
  </si>
  <si>
    <t>03/19/1989</t>
  </si>
  <si>
    <t>03/31/1986</t>
  </si>
  <si>
    <t>08/20/1957</t>
  </si>
  <si>
    <t>09/28/1978</t>
  </si>
  <si>
    <t>04/18/1980</t>
  </si>
  <si>
    <t>11/29/1945</t>
  </si>
  <si>
    <t>03/28/1983</t>
  </si>
  <si>
    <t>03/20/1972</t>
  </si>
  <si>
    <t>06/08/1967</t>
  </si>
  <si>
    <t>05/16/1972</t>
  </si>
  <si>
    <t>11/25/1972</t>
  </si>
  <si>
    <t>07/29/1977</t>
  </si>
  <si>
    <t>09/19/1948</t>
  </si>
  <si>
    <t>04/15/1995</t>
  </si>
  <si>
    <t>08/07/1973</t>
  </si>
  <si>
    <t>10/24/1983</t>
  </si>
  <si>
    <t>05/02/1986</t>
  </si>
  <si>
    <t>07/04/1988</t>
  </si>
  <si>
    <t>04/03/1972</t>
  </si>
  <si>
    <t>09/04/1956</t>
  </si>
  <si>
    <t>08/01/1953</t>
  </si>
  <si>
    <t>03/08/1997</t>
  </si>
  <si>
    <t>03/08/1961</t>
  </si>
  <si>
    <t>09/08/1970</t>
  </si>
  <si>
    <t>03/11/1964</t>
  </si>
  <si>
    <t>09/26/1984</t>
  </si>
  <si>
    <t>09/05/1961</t>
  </si>
  <si>
    <t>08/22/1963</t>
  </si>
  <si>
    <t>07/02/1979</t>
  </si>
  <si>
    <t>04/12/1985</t>
  </si>
  <si>
    <t>11/07/1970</t>
  </si>
  <si>
    <t>10/20/1962</t>
  </si>
  <si>
    <t>11/28/1963</t>
  </si>
  <si>
    <t>03/11/1991</t>
  </si>
  <si>
    <t>12/24/1968</t>
  </si>
  <si>
    <t>08/22/1961</t>
  </si>
  <si>
    <t>07/08/1958</t>
  </si>
  <si>
    <t>11/28/1973</t>
  </si>
  <si>
    <t>12/24/1983</t>
  </si>
  <si>
    <t>06/10/1994</t>
  </si>
  <si>
    <t>08/10/1961</t>
  </si>
  <si>
    <t>06/24/1958</t>
  </si>
  <si>
    <t>11/30/1978</t>
  </si>
  <si>
    <t>11/18/1960</t>
  </si>
  <si>
    <t>06/12/1989</t>
  </si>
  <si>
    <t>06/09/1976</t>
  </si>
  <si>
    <t>10/19/1962</t>
  </si>
  <si>
    <t>08/25/1976</t>
  </si>
  <si>
    <t>05/28/1983</t>
  </si>
  <si>
    <t>07/04/1955</t>
  </si>
  <si>
    <t>10/29/1966</t>
  </si>
  <si>
    <t>12/17/1982</t>
  </si>
  <si>
    <t>08/29/1957</t>
  </si>
  <si>
    <t>10/13/1988</t>
  </si>
  <si>
    <t>08/25/1967</t>
  </si>
  <si>
    <t>11/15/1965</t>
  </si>
  <si>
    <t>04/15/1957</t>
  </si>
  <si>
    <t>05/15/1971</t>
  </si>
  <si>
    <t>06/25/1982</t>
  </si>
  <si>
    <t>12/30/1974</t>
  </si>
  <si>
    <t>08/21/1990</t>
  </si>
  <si>
    <t>01/29/1982</t>
  </si>
  <si>
    <t>04/13/1972</t>
  </si>
  <si>
    <t>12/31/1961</t>
  </si>
  <si>
    <t>02/28/1945</t>
  </si>
  <si>
    <t>03/13/1934</t>
  </si>
  <si>
    <t>09/07/1951</t>
  </si>
  <si>
    <t>12/19/1968</t>
  </si>
  <si>
    <t>12/28/1982</t>
  </si>
  <si>
    <t>04/13/1989</t>
  </si>
  <si>
    <t>05/08/1964</t>
  </si>
  <si>
    <t>02/12/2017</t>
  </si>
  <si>
    <t>08/01/1991</t>
  </si>
  <si>
    <t>11/28/1978</t>
  </si>
  <si>
    <t>09/02/1980</t>
  </si>
  <si>
    <t>03/11/1987</t>
  </si>
  <si>
    <t>02/06/1971</t>
  </si>
  <si>
    <t>06/29/1958</t>
  </si>
  <si>
    <t>04/14/1955</t>
  </si>
  <si>
    <t>07/24/1976</t>
  </si>
  <si>
    <t>01/01/1973</t>
  </si>
  <si>
    <t>05/27/1974</t>
  </si>
  <si>
    <t>06/15/1959</t>
  </si>
  <si>
    <t>10/11/1989</t>
  </si>
  <si>
    <t>03/17/1960</t>
  </si>
  <si>
    <t>01/26/1988</t>
  </si>
  <si>
    <t>01/25/1969</t>
  </si>
  <si>
    <t>11/08/1966</t>
  </si>
  <si>
    <t>08/17/1968</t>
  </si>
  <si>
    <t>05/19/1988</t>
  </si>
  <si>
    <t>05/11/1982</t>
  </si>
  <si>
    <t>01/28/1981</t>
  </si>
  <si>
    <t>08/27/1964</t>
  </si>
  <si>
    <t>04/21/1963</t>
  </si>
  <si>
    <t>09/18/1989</t>
  </si>
  <si>
    <t>03/23/1943</t>
  </si>
  <si>
    <t>07/25/1979</t>
  </si>
  <si>
    <t>03/15/1966</t>
  </si>
  <si>
    <t>09/13/1974</t>
  </si>
  <si>
    <t>08/10/1990</t>
  </si>
  <si>
    <t>07/07/1955</t>
  </si>
  <si>
    <t>05/15/1962</t>
  </si>
  <si>
    <t>01/27/1962</t>
  </si>
  <si>
    <t>01/24/1979</t>
  </si>
  <si>
    <t>09/16/1989</t>
  </si>
  <si>
    <t>05/09/1976</t>
  </si>
  <si>
    <t>10/09/1979</t>
  </si>
  <si>
    <t>03/05/1977</t>
  </si>
  <si>
    <t>12/29/1984</t>
  </si>
  <si>
    <t>02/22/1996</t>
  </si>
  <si>
    <t>01/24/1952</t>
  </si>
  <si>
    <t>04/10/1972</t>
  </si>
  <si>
    <t>04/26/1962</t>
  </si>
  <si>
    <t>07/05/1979</t>
  </si>
  <si>
    <t>12/13/1990</t>
  </si>
  <si>
    <t>06/24/1983</t>
  </si>
  <si>
    <t>09/30/1982</t>
  </si>
  <si>
    <t>06/04/1988</t>
  </si>
  <si>
    <t>04/20/1964</t>
  </si>
  <si>
    <t>10/16/1964</t>
  </si>
  <si>
    <t>11/30/1974</t>
  </si>
  <si>
    <t>09/21/1988</t>
  </si>
  <si>
    <t>02/22/1982</t>
  </si>
  <si>
    <t>11/14/1978</t>
  </si>
  <si>
    <t>09/10/1989</t>
  </si>
  <si>
    <t>03/02/1980</t>
  </si>
  <si>
    <t>10/09/1987</t>
  </si>
  <si>
    <t>07/10/1991</t>
  </si>
  <si>
    <t>08/20/1975</t>
  </si>
  <si>
    <t>09/17/1985</t>
  </si>
  <si>
    <t>11/20/1952</t>
  </si>
  <si>
    <t>11/23/1959</t>
  </si>
  <si>
    <t>08/02/1982</t>
  </si>
  <si>
    <t>03/08/1979</t>
  </si>
  <si>
    <t>05/31/1985</t>
  </si>
  <si>
    <t>02/07/1970</t>
  </si>
  <si>
    <t>01/27/1940</t>
  </si>
  <si>
    <t>04/08/1982</t>
  </si>
  <si>
    <t>03/07/1972</t>
  </si>
  <si>
    <t>10/22/1950</t>
  </si>
  <si>
    <t>12/13/1977</t>
  </si>
  <si>
    <t>07/08/1986</t>
  </si>
  <si>
    <t>12/07/1976</t>
  </si>
  <si>
    <t>07/21/1985</t>
  </si>
  <si>
    <t>11/26/1986</t>
  </si>
  <si>
    <t>06/14/1975</t>
  </si>
  <si>
    <t>02/12/1981</t>
  </si>
  <si>
    <t>04/11/1958</t>
  </si>
  <si>
    <t>04/24/1969</t>
  </si>
  <si>
    <t>04/30/1994</t>
  </si>
  <si>
    <t>03/07/1957</t>
  </si>
  <si>
    <t>11/25/1951</t>
  </si>
  <si>
    <t>11/02/1969</t>
  </si>
  <si>
    <t>08/26/1976</t>
  </si>
  <si>
    <t>02/02/1982</t>
  </si>
  <si>
    <t>06/13/1951</t>
  </si>
  <si>
    <t>02/19/1966</t>
  </si>
  <si>
    <t>09/26/1980</t>
  </si>
  <si>
    <t>09/04/1991</t>
  </si>
  <si>
    <t>12/01/1976</t>
  </si>
  <si>
    <t>02/11/1975</t>
  </si>
  <si>
    <t>07/01/1983</t>
  </si>
  <si>
    <t>04/07/1974</t>
  </si>
  <si>
    <t>12/04/1974</t>
  </si>
  <si>
    <t>09/03/1954</t>
  </si>
  <si>
    <t>12/16/1987</t>
  </si>
  <si>
    <t>05/20/1978</t>
  </si>
  <si>
    <t>05/31/1970</t>
  </si>
  <si>
    <t>12/23/1959</t>
  </si>
  <si>
    <t>07/19/1984</t>
  </si>
  <si>
    <t>07/13/1962</t>
  </si>
  <si>
    <t>03/22/1963</t>
  </si>
  <si>
    <t>10/19/1965</t>
  </si>
  <si>
    <t>08/15/1987</t>
  </si>
  <si>
    <t>05/27/1972</t>
  </si>
  <si>
    <t>06/19/1967</t>
  </si>
  <si>
    <t>11/01/1969</t>
  </si>
  <si>
    <t>10/13/1962</t>
  </si>
  <si>
    <t>07/07/1982</t>
  </si>
  <si>
    <t>07/26/1978</t>
  </si>
  <si>
    <t>07/12/1985</t>
  </si>
  <si>
    <t>04/17/1982</t>
  </si>
  <si>
    <t>01/06/1984</t>
  </si>
  <si>
    <t>09/29/1971</t>
  </si>
  <si>
    <t>02/11/1987</t>
  </si>
  <si>
    <t>03/18/1956</t>
  </si>
  <si>
    <t>10/29/1968</t>
  </si>
  <si>
    <t>09/17/1971</t>
  </si>
  <si>
    <t>07/19/1949</t>
  </si>
  <si>
    <t>03/31/1948</t>
  </si>
  <si>
    <t>06/25/1950</t>
  </si>
  <si>
    <t>12/22/1983</t>
  </si>
  <si>
    <t>08/02/1971</t>
  </si>
  <si>
    <t>08/09/1966</t>
  </si>
  <si>
    <t>10/02/1979</t>
  </si>
  <si>
    <t>07/07/1956</t>
  </si>
  <si>
    <t>07/06/1982</t>
  </si>
  <si>
    <t>05/03/1968</t>
  </si>
  <si>
    <t>09/25/1964</t>
  </si>
  <si>
    <t>10/23/1985</t>
  </si>
  <si>
    <t>08/23/1977</t>
  </si>
  <si>
    <t>02/01/1980</t>
  </si>
  <si>
    <t>02/28/1969</t>
  </si>
  <si>
    <t>06/27/1992</t>
  </si>
  <si>
    <t>05/12/1965</t>
  </si>
  <si>
    <t>07/21/1964</t>
  </si>
  <si>
    <t>10/16/1958</t>
  </si>
  <si>
    <t>04/27/1991</t>
  </si>
  <si>
    <t>05/26/1967</t>
  </si>
  <si>
    <t>05/05/1986</t>
  </si>
  <si>
    <t>02/26/1986</t>
  </si>
  <si>
    <t>01/11/1960</t>
  </si>
  <si>
    <t>06/05/1965</t>
  </si>
  <si>
    <t>05/14/1964</t>
  </si>
  <si>
    <t>03/02/1957</t>
  </si>
  <si>
    <t>10/19/1950</t>
  </si>
  <si>
    <t>02/05/1946</t>
  </si>
  <si>
    <t>05/17/1962</t>
  </si>
  <si>
    <t>04/14/1957</t>
  </si>
  <si>
    <t>05/03/1973</t>
  </si>
  <si>
    <t>02/15/1961</t>
  </si>
  <si>
    <t>07/26/1962</t>
  </si>
  <si>
    <t>01/13/1984</t>
  </si>
  <si>
    <t>10/30/1955</t>
  </si>
  <si>
    <t>08/15/1977</t>
  </si>
  <si>
    <t>03/21/1958</t>
  </si>
  <si>
    <t>04/27/1972</t>
  </si>
  <si>
    <t>09/27/1973</t>
  </si>
  <si>
    <t>04/26/1960</t>
  </si>
  <si>
    <t>05/25/1986</t>
  </si>
  <si>
    <t>07/09/1968</t>
  </si>
  <si>
    <t>01/05/1971</t>
  </si>
  <si>
    <t>11/30/1985</t>
  </si>
  <si>
    <t>04/16/1996</t>
  </si>
  <si>
    <t>12/20/1995</t>
  </si>
  <si>
    <t>08/10/1973</t>
  </si>
  <si>
    <t>06/09/1935</t>
  </si>
  <si>
    <t>09/14/1955</t>
  </si>
  <si>
    <t>03/07/1960</t>
  </si>
  <si>
    <t>09/03/1977</t>
  </si>
  <si>
    <t>03/22/1962</t>
  </si>
  <si>
    <t>12/07/1970</t>
  </si>
  <si>
    <t>07/10/1976</t>
  </si>
  <si>
    <t>04/28/1965</t>
  </si>
  <si>
    <t>08/22/1967</t>
  </si>
  <si>
    <t>06/07/1960</t>
  </si>
  <si>
    <t>11/02/1952</t>
  </si>
  <si>
    <t>07/27/1995</t>
  </si>
  <si>
    <t>06/22/1979</t>
  </si>
  <si>
    <t>09/09/1968</t>
  </si>
  <si>
    <t>06/11/1974</t>
  </si>
  <si>
    <t>09/09/1984</t>
  </si>
  <si>
    <t>12/11/1976</t>
  </si>
  <si>
    <t>02/27/1960</t>
  </si>
  <si>
    <t>07/19/1974</t>
  </si>
  <si>
    <t>06/18/1959</t>
  </si>
  <si>
    <t>11/08/1968</t>
  </si>
  <si>
    <t>03/13/1958</t>
  </si>
  <si>
    <t>11/23/1977</t>
  </si>
  <si>
    <t>06/10/1979</t>
  </si>
  <si>
    <t>11/09/1966</t>
  </si>
  <si>
    <t>03/08/1993</t>
  </si>
  <si>
    <t>11/03/1955</t>
  </si>
  <si>
    <t>02/05/1957</t>
  </si>
  <si>
    <t>11/29/1988</t>
  </si>
  <si>
    <t>01/24/1948</t>
  </si>
  <si>
    <t>01/02/1984</t>
  </si>
  <si>
    <t>03/26/1962</t>
  </si>
  <si>
    <t>01/16/1989</t>
  </si>
  <si>
    <t>04/24/1966</t>
  </si>
  <si>
    <t>02/28/1985</t>
  </si>
  <si>
    <t>09/18/1965</t>
  </si>
  <si>
    <t>03/12/1980</t>
  </si>
  <si>
    <t>05/12/1951</t>
  </si>
  <si>
    <t>06/07/1944</t>
  </si>
  <si>
    <t>11/30/1963</t>
  </si>
  <si>
    <t>03/24/1949</t>
  </si>
  <si>
    <t>04/24/1989</t>
  </si>
  <si>
    <t>07/19/1964</t>
  </si>
  <si>
    <t>07/07/1951</t>
  </si>
  <si>
    <t>09/11/1989</t>
  </si>
  <si>
    <t>12/23/1955</t>
  </si>
  <si>
    <t>04/05/1956</t>
  </si>
  <si>
    <t>07/23/1985</t>
  </si>
  <si>
    <t>05/26/1957</t>
  </si>
  <si>
    <t>01/10/1979</t>
  </si>
  <si>
    <t>09/22/1964</t>
  </si>
  <si>
    <t>11/10/1962</t>
  </si>
  <si>
    <t>05/18/1956</t>
  </si>
  <si>
    <t>04/27/1979</t>
  </si>
  <si>
    <t>02/26/1981</t>
  </si>
  <si>
    <t>02/05/1991</t>
  </si>
  <si>
    <t>02/10/1994</t>
  </si>
  <si>
    <t>03/17/1956</t>
  </si>
  <si>
    <t>05/07/1940</t>
  </si>
  <si>
    <t>04/28/1959</t>
  </si>
  <si>
    <t>11/01/1952</t>
  </si>
  <si>
    <t>07/08/1966</t>
  </si>
  <si>
    <t>02/01/1990</t>
  </si>
  <si>
    <t>07/01/1968</t>
  </si>
  <si>
    <t>07/26/1988</t>
  </si>
  <si>
    <t>04/30/1952</t>
  </si>
  <si>
    <t>09/23/1957</t>
  </si>
  <si>
    <t>08/11/1964</t>
  </si>
  <si>
    <t>12/05/1946</t>
  </si>
  <si>
    <t>07/30/1971</t>
  </si>
  <si>
    <t>07/23/1966</t>
  </si>
  <si>
    <t>01/03/1983</t>
  </si>
  <si>
    <t>01/04/1947</t>
  </si>
  <si>
    <t>11/13/1991</t>
  </si>
  <si>
    <t>03/02/1974</t>
  </si>
  <si>
    <t>05/01/1967</t>
  </si>
  <si>
    <t>01/17/1971</t>
  </si>
  <si>
    <t>12/23/1969</t>
  </si>
  <si>
    <t>11/27/1988</t>
  </si>
  <si>
    <t>04/13/1968</t>
  </si>
  <si>
    <t>08/05/1974</t>
  </si>
  <si>
    <t>04/14/1988</t>
  </si>
  <si>
    <t>02/23/1984</t>
  </si>
  <si>
    <t>03/28/1981</t>
  </si>
  <si>
    <t>02/23/1953</t>
  </si>
  <si>
    <t>08/06/1983</t>
  </si>
  <si>
    <t>04/17/1967</t>
  </si>
  <si>
    <t>01/26/1968</t>
  </si>
  <si>
    <t>07/05/1964</t>
  </si>
  <si>
    <t>03/12/1967</t>
  </si>
  <si>
    <t>06/27/1960</t>
  </si>
  <si>
    <t>09/06/1985</t>
  </si>
  <si>
    <t>02/16/1955</t>
  </si>
  <si>
    <t>06/27/1951</t>
  </si>
  <si>
    <t>02/12/1953</t>
  </si>
  <si>
    <t>11/06/1964</t>
  </si>
  <si>
    <t>02/09/1933</t>
  </si>
  <si>
    <t>04/30/1958</t>
  </si>
  <si>
    <t>11/03/1967</t>
  </si>
  <si>
    <t>07/19/1989</t>
  </si>
  <si>
    <t>11/07/1982</t>
  </si>
  <si>
    <t>07/15/1959</t>
  </si>
  <si>
    <t>07/08/1952</t>
  </si>
  <si>
    <t>06/13/1937</t>
  </si>
  <si>
    <t>07/03/1993</t>
  </si>
  <si>
    <t>02/20/1966</t>
  </si>
  <si>
    <t>11/11/1939</t>
  </si>
  <si>
    <t>07/14/1961</t>
  </si>
  <si>
    <t>05/07/1962</t>
  </si>
  <si>
    <t>01/15/1982</t>
  </si>
  <si>
    <t>01/17/1982</t>
  </si>
  <si>
    <t>10/18/1950</t>
  </si>
  <si>
    <t>06/05/1966</t>
  </si>
  <si>
    <t>01/22/1993</t>
  </si>
  <si>
    <t>04/10/1954</t>
  </si>
  <si>
    <t>04/03/1984</t>
  </si>
  <si>
    <t>02/20/1950</t>
  </si>
  <si>
    <t>03/14/1972</t>
  </si>
  <si>
    <t>11/19/1960</t>
  </si>
  <si>
    <t>07/05/1990</t>
  </si>
  <si>
    <t>01/09/1944</t>
  </si>
  <si>
    <t>01/30/1938</t>
  </si>
  <si>
    <t>02/06/1946</t>
  </si>
  <si>
    <t>05/28/1981</t>
  </si>
  <si>
    <t>02/20/1956</t>
  </si>
  <si>
    <t>10/01/1978</t>
  </si>
  <si>
    <t>06/27/1963</t>
  </si>
  <si>
    <t>03/30/1940</t>
  </si>
  <si>
    <t>09/17/1950</t>
  </si>
  <si>
    <t>04/12/1984</t>
  </si>
  <si>
    <t>11/27/1950</t>
  </si>
  <si>
    <t>09/20/1952</t>
  </si>
  <si>
    <t>02/12/1967</t>
  </si>
  <si>
    <t>04/21/1971</t>
  </si>
  <si>
    <t>02/15/1965</t>
  </si>
  <si>
    <t>04/05/1980</t>
  </si>
  <si>
    <t>05/14/1971</t>
  </si>
  <si>
    <t>03/01/1987</t>
  </si>
  <si>
    <t>03/08/1948</t>
  </si>
  <si>
    <t>01/25/1963</t>
  </si>
  <si>
    <t>06/12/1960</t>
  </si>
  <si>
    <t>03/01/1964</t>
  </si>
  <si>
    <t>10/14/1968</t>
  </si>
  <si>
    <t>03/19/1956</t>
  </si>
  <si>
    <t>07/27/1964</t>
  </si>
  <si>
    <t>03/25/1955</t>
  </si>
  <si>
    <t>03/06/1950</t>
  </si>
  <si>
    <t>09/12/1988</t>
  </si>
  <si>
    <t>03/24/1969</t>
  </si>
  <si>
    <t>02/01/1982</t>
  </si>
  <si>
    <t>11/04/1953</t>
  </si>
  <si>
    <t>11/25/1980</t>
  </si>
  <si>
    <t>06/12/1950</t>
  </si>
  <si>
    <t>05/23/1967</t>
  </si>
  <si>
    <t>10/07/1951</t>
  </si>
  <si>
    <t>12/20/1940</t>
  </si>
  <si>
    <t>06/11/1967</t>
  </si>
  <si>
    <t>02/27/1941</t>
  </si>
  <si>
    <t>06/04/1964</t>
  </si>
  <si>
    <t>07/01/1962</t>
  </si>
  <si>
    <t>01/08/1958</t>
  </si>
  <si>
    <t>09/24/1964</t>
  </si>
  <si>
    <t>12/24/1960</t>
  </si>
  <si>
    <t>07/15/1978</t>
  </si>
  <si>
    <t>05/20/1965</t>
  </si>
  <si>
    <t>12/21/1977</t>
  </si>
  <si>
    <t>01/25/1943</t>
  </si>
  <si>
    <t>09/12/1980</t>
  </si>
  <si>
    <t>04/02/1970</t>
  </si>
  <si>
    <t>06/08/1956</t>
  </si>
  <si>
    <t>11/13/1992</t>
  </si>
  <si>
    <t>07/14/1955</t>
  </si>
  <si>
    <t>09/03/1972</t>
  </si>
  <si>
    <t>04/03/1954</t>
  </si>
  <si>
    <t>09/05/1976</t>
  </si>
  <si>
    <t>05/16/1979</t>
  </si>
  <si>
    <t>05/26/1965</t>
  </si>
  <si>
    <t>12/03/1953</t>
  </si>
  <si>
    <t>04/09/1967</t>
  </si>
  <si>
    <t>10/08/1962</t>
  </si>
  <si>
    <t>11/12/1956</t>
  </si>
  <si>
    <t>04/08/1975</t>
  </si>
  <si>
    <t>05/19/1962</t>
  </si>
  <si>
    <t>10/08/1955</t>
  </si>
  <si>
    <t>04/27/1950</t>
  </si>
  <si>
    <t>07/21/1953</t>
  </si>
  <si>
    <t>01/02/1963</t>
  </si>
  <si>
    <t>02/02/1963</t>
  </si>
  <si>
    <t>03/08/1959</t>
  </si>
  <si>
    <t>07/25/1971</t>
  </si>
  <si>
    <t>01/02/1954</t>
  </si>
  <si>
    <t>04/18/1976</t>
  </si>
  <si>
    <t>10/18/1982</t>
  </si>
  <si>
    <t>10/05/1978</t>
  </si>
  <si>
    <t>04/08/1976</t>
  </si>
  <si>
    <t>04/11/1982</t>
  </si>
  <si>
    <t>08/20/1964</t>
  </si>
  <si>
    <t>06/24/1976</t>
  </si>
  <si>
    <t>04/16/1970</t>
  </si>
  <si>
    <t>11/30/1977</t>
  </si>
  <si>
    <t>09/21/1997</t>
  </si>
  <si>
    <t>01/27/1968</t>
  </si>
  <si>
    <t>01/15/1946</t>
  </si>
  <si>
    <t>01/01/1990</t>
  </si>
  <si>
    <t>12/01/1959</t>
  </si>
  <si>
    <t>02/11/1972</t>
  </si>
  <si>
    <t>07/24/1981</t>
  </si>
  <si>
    <t>11/19/1981</t>
  </si>
  <si>
    <t>04/18/1990</t>
  </si>
  <si>
    <t>11/04/1949</t>
  </si>
  <si>
    <t>07/21/1952</t>
  </si>
  <si>
    <t>05/31/1977</t>
  </si>
  <si>
    <t>10/29/1986</t>
  </si>
  <si>
    <t>04/18/1974</t>
  </si>
  <si>
    <t>07/16/1977</t>
  </si>
  <si>
    <t>02/04/1940</t>
  </si>
  <si>
    <t>06/09/1958</t>
  </si>
  <si>
    <t>01/27/1980</t>
  </si>
  <si>
    <t>03/23/1955</t>
  </si>
  <si>
    <t>08/04/1968</t>
  </si>
  <si>
    <t>05/23/1983</t>
  </si>
  <si>
    <t>06/26/1957</t>
  </si>
  <si>
    <t>04/15/1930</t>
  </si>
  <si>
    <t>01/26/1977</t>
  </si>
  <si>
    <t>03/12/1936</t>
  </si>
  <si>
    <t>04/07/1963</t>
  </si>
  <si>
    <t>08/24/1940</t>
  </si>
  <si>
    <t>02/17/1959</t>
  </si>
  <si>
    <t>03/19/1973</t>
  </si>
  <si>
    <t>03/08/1976</t>
  </si>
  <si>
    <t>07/18/1972</t>
  </si>
  <si>
    <t>06/27/1967</t>
  </si>
  <si>
    <t>11/18/1973</t>
  </si>
  <si>
    <t>04/18/1981</t>
  </si>
  <si>
    <t>07/21/1988</t>
  </si>
  <si>
    <t>01/05/1985</t>
  </si>
  <si>
    <t>02/06/1965</t>
  </si>
  <si>
    <t>06/06/1996</t>
  </si>
  <si>
    <t>11/13/1989</t>
  </si>
  <si>
    <t>09/06/1967</t>
  </si>
  <si>
    <t>04/20/1984</t>
  </si>
  <si>
    <t>09/05/1979</t>
  </si>
  <si>
    <t>02/28/1953</t>
  </si>
  <si>
    <t>05/15/1983</t>
  </si>
  <si>
    <t>03/25/1973</t>
  </si>
  <si>
    <t>10/09/1950</t>
  </si>
  <si>
    <t>02/10/1963</t>
  </si>
  <si>
    <t>10/08/1959</t>
  </si>
  <si>
    <t>05/25/1950</t>
  </si>
  <si>
    <t>09/01/1945</t>
  </si>
  <si>
    <t>11/15/1959</t>
  </si>
  <si>
    <t>12/26/1975</t>
  </si>
  <si>
    <t>02/19/1963</t>
  </si>
  <si>
    <t>01/03/1984</t>
  </si>
  <si>
    <t>08/07/1997</t>
  </si>
  <si>
    <t>06/23/1952</t>
  </si>
  <si>
    <t>05/07/1978</t>
  </si>
  <si>
    <t>08/14/1971</t>
  </si>
  <si>
    <t>03/17/1975</t>
  </si>
  <si>
    <t>08/30/1976</t>
  </si>
  <si>
    <t>02/01/1951</t>
  </si>
  <si>
    <t>11/28/1977</t>
  </si>
  <si>
    <t>11/28/1956</t>
  </si>
  <si>
    <t>02/23/1961</t>
  </si>
  <si>
    <t>08/15/1948</t>
  </si>
  <si>
    <t>07/24/1957</t>
  </si>
  <si>
    <t>07/12/1989</t>
  </si>
  <si>
    <t>03/02/1960</t>
  </si>
  <si>
    <t>05/05/1983</t>
  </si>
  <si>
    <t>01/10/1960</t>
  </si>
  <si>
    <t>09/06/1957</t>
  </si>
  <si>
    <t>07/18/1962</t>
  </si>
  <si>
    <t>04/18/1959</t>
  </si>
  <si>
    <t>10/02/1956</t>
  </si>
  <si>
    <t>01/07/1982</t>
  </si>
  <si>
    <t>08/24/1958</t>
  </si>
  <si>
    <t>02/01/1952</t>
  </si>
  <si>
    <t>03/11/1955</t>
  </si>
  <si>
    <t>12/15/1983</t>
  </si>
  <si>
    <t>10/19/1941</t>
  </si>
  <si>
    <t>10/04/1968</t>
  </si>
  <si>
    <t>06/20/1967</t>
  </si>
  <si>
    <t>12/31/1960</t>
  </si>
  <si>
    <t>04/05/1972</t>
  </si>
  <si>
    <t>06/25/1978</t>
  </si>
  <si>
    <t>10/13/1949</t>
  </si>
  <si>
    <t>04/28/1946</t>
  </si>
  <si>
    <t>07/24/1941</t>
  </si>
  <si>
    <t>02/09/1954</t>
  </si>
  <si>
    <t>03/25/1987</t>
  </si>
  <si>
    <t>01/24/1974</t>
  </si>
  <si>
    <t>03/06/1980</t>
  </si>
  <si>
    <t>04/24/1958</t>
  </si>
  <si>
    <t>11/17/1962</t>
  </si>
  <si>
    <t>01/24/1977</t>
  </si>
  <si>
    <t>05/25/1972</t>
  </si>
  <si>
    <t>01/12/1979</t>
  </si>
  <si>
    <t>09/05/1947</t>
  </si>
  <si>
    <t>05/01/1954</t>
  </si>
  <si>
    <t>06/14/1988</t>
  </si>
  <si>
    <t>11/04/1970</t>
  </si>
  <si>
    <t>07/23/1976</t>
  </si>
  <si>
    <t>03/30/1961</t>
  </si>
  <si>
    <t>08/12/1950</t>
  </si>
  <si>
    <t>12/29/1977</t>
  </si>
  <si>
    <t>01/12/1954</t>
  </si>
  <si>
    <t>06/22/1984</t>
  </si>
  <si>
    <t>02/07/1985</t>
  </si>
  <si>
    <t>07/25/1961</t>
  </si>
  <si>
    <t>09/06/1952</t>
  </si>
  <si>
    <t>06/23/1987</t>
  </si>
  <si>
    <t>03/25/1949</t>
  </si>
  <si>
    <t>08/09/1970</t>
  </si>
  <si>
    <t>11/29/1941</t>
  </si>
  <si>
    <t>11/23/1981</t>
  </si>
  <si>
    <t>08/16/1960</t>
  </si>
  <si>
    <t>04/29/1959</t>
  </si>
  <si>
    <t>05/03/1938</t>
  </si>
  <si>
    <t>08/12/1956</t>
  </si>
  <si>
    <t>04/10/1976</t>
  </si>
  <si>
    <t>10/23/1979</t>
  </si>
  <si>
    <t>07/28/1955</t>
  </si>
  <si>
    <t>03/13/1956</t>
  </si>
  <si>
    <t>01/20/1982</t>
  </si>
  <si>
    <t>12/13/1984</t>
  </si>
  <si>
    <t>09/02/1949</t>
  </si>
  <si>
    <t>08/25/1982</t>
  </si>
  <si>
    <t>05/31/1982</t>
  </si>
  <si>
    <t>12/28/1946</t>
  </si>
  <si>
    <t>12/14/1961</t>
  </si>
  <si>
    <t>07/05/1989</t>
  </si>
  <si>
    <t>02/05/1956</t>
  </si>
  <si>
    <t>08/10/1979</t>
  </si>
  <si>
    <t>12/07/1953</t>
  </si>
  <si>
    <t>11/06/1960</t>
  </si>
  <si>
    <t>05/22/1966</t>
  </si>
  <si>
    <t>03/13/1979</t>
  </si>
  <si>
    <t>08/22/1962</t>
  </si>
  <si>
    <t>07/17/1943</t>
  </si>
  <si>
    <t>01/01/1955</t>
  </si>
  <si>
    <t>04/27/1959</t>
  </si>
  <si>
    <t>09/02/1941</t>
  </si>
  <si>
    <t>08/05/1965</t>
  </si>
  <si>
    <t>09/03/1952</t>
  </si>
  <si>
    <t>05/13/1949</t>
  </si>
  <si>
    <t>03/13/1930</t>
  </si>
  <si>
    <t>07/29/1959</t>
  </si>
  <si>
    <t>11/24/1962</t>
  </si>
  <si>
    <t>01/08/1983</t>
  </si>
  <si>
    <t>11/09/1983</t>
  </si>
  <si>
    <t>12/31/1990</t>
  </si>
  <si>
    <t>01/20/1973</t>
  </si>
  <si>
    <t>10/11/1960</t>
  </si>
  <si>
    <t>07/20/1962</t>
  </si>
  <si>
    <t>10/18/1954</t>
  </si>
  <si>
    <t>02/12/1966</t>
  </si>
  <si>
    <t>02/23/1969</t>
  </si>
  <si>
    <t>02/14/1946</t>
  </si>
  <si>
    <t>09/03/1958</t>
  </si>
  <si>
    <t>10/30/1947</t>
  </si>
  <si>
    <t>09/07/1955</t>
  </si>
  <si>
    <t>03/14/1957</t>
  </si>
  <si>
    <t>03/16/1960</t>
  </si>
  <si>
    <t>01/27/1952</t>
  </si>
  <si>
    <t>11/25/1975</t>
  </si>
  <si>
    <t>10/18/1988</t>
  </si>
  <si>
    <t>02/24/1983</t>
  </si>
  <si>
    <t>10/20/1949</t>
  </si>
  <si>
    <t>02/01/1945</t>
  </si>
  <si>
    <t>12/26/1938</t>
  </si>
  <si>
    <t>03/03/1930</t>
  </si>
  <si>
    <t>08/12/1974</t>
  </si>
  <si>
    <t>08/24/1993</t>
  </si>
  <si>
    <t>09/08/1941</t>
  </si>
  <si>
    <t>08/21/1952</t>
  </si>
  <si>
    <t>06/24/1957</t>
  </si>
  <si>
    <t>06/19/1956</t>
  </si>
  <si>
    <t>10/02/1961</t>
  </si>
  <si>
    <t>04/07/1994</t>
  </si>
  <si>
    <t>03/27/1963</t>
  </si>
  <si>
    <t>09/25/1955</t>
  </si>
  <si>
    <t>07/17/1974</t>
  </si>
  <si>
    <t>03/22/1965</t>
  </si>
  <si>
    <t>09/04/1944</t>
  </si>
  <si>
    <t>06/20/1954</t>
  </si>
  <si>
    <t>12/01/1952</t>
  </si>
  <si>
    <t>09/16/1965</t>
  </si>
  <si>
    <t>01/28/1969</t>
  </si>
  <si>
    <t>08/01/1971</t>
  </si>
  <si>
    <t>05/24/1979</t>
  </si>
  <si>
    <t>08/01/1962</t>
  </si>
  <si>
    <t>08/20/1954</t>
  </si>
  <si>
    <t>08/16/1964</t>
  </si>
  <si>
    <t>02/21/1941</t>
  </si>
  <si>
    <t>11/04/1959</t>
  </si>
  <si>
    <t>10/06/1962</t>
  </si>
  <si>
    <t>01/01/1965</t>
  </si>
  <si>
    <t>06/02/1978</t>
  </si>
  <si>
    <t>10/05/1950</t>
  </si>
  <si>
    <t>07/31/1959</t>
  </si>
  <si>
    <t>08/28/1953</t>
  </si>
  <si>
    <t>07/27/1970</t>
  </si>
  <si>
    <t>06/30/1948</t>
  </si>
  <si>
    <t>07/16/1968</t>
  </si>
  <si>
    <t>10/03/1962</t>
  </si>
  <si>
    <t>11/16/1955</t>
  </si>
  <si>
    <t>05/27/1965</t>
  </si>
  <si>
    <t>12/27/1961</t>
  </si>
  <si>
    <t>01/13/1944</t>
  </si>
  <si>
    <t>04/08/1947</t>
  </si>
  <si>
    <t>12/22/1948</t>
  </si>
  <si>
    <t>11/15/1937</t>
  </si>
  <si>
    <t>09/16/1952</t>
  </si>
  <si>
    <t>07/05/1957</t>
  </si>
  <si>
    <t>11/17/1975</t>
  </si>
  <si>
    <t>03/15/1959</t>
  </si>
  <si>
    <t>09/05/1967</t>
  </si>
  <si>
    <t>07/30/1987</t>
  </si>
  <si>
    <t>09/24/1941</t>
  </si>
  <si>
    <t>12/04/1945</t>
  </si>
  <si>
    <t>12/19/1973</t>
  </si>
  <si>
    <t>12/30/1940</t>
  </si>
  <si>
    <t>11/13/1994</t>
  </si>
  <si>
    <t>03/28/1969</t>
  </si>
  <si>
    <t>03/16/1972</t>
  </si>
  <si>
    <t>12/28/1973</t>
  </si>
  <si>
    <t>11/28/1960</t>
  </si>
  <si>
    <t>01/25/1990</t>
  </si>
  <si>
    <t>12/18/1964</t>
  </si>
  <si>
    <t>08/04/1958</t>
  </si>
  <si>
    <t>03/04/1993</t>
  </si>
  <si>
    <t>11/10/1937</t>
  </si>
  <si>
    <t>07/26/1966</t>
  </si>
  <si>
    <t>04/15/1950</t>
  </si>
  <si>
    <t>12/21/1952</t>
  </si>
  <si>
    <t>03/08/1938</t>
  </si>
  <si>
    <t>07/12/1949</t>
  </si>
  <si>
    <t>05/20/1968</t>
  </si>
  <si>
    <t>01/22/1976</t>
  </si>
  <si>
    <t>03/11/1957</t>
  </si>
  <si>
    <t>10/21/1954</t>
  </si>
  <si>
    <t>09/14/1940</t>
  </si>
  <si>
    <t>11/21/1937</t>
  </si>
  <si>
    <t>10/14/1955</t>
  </si>
  <si>
    <t>12/08/1954</t>
  </si>
  <si>
    <t>08/11/1942</t>
  </si>
  <si>
    <t>12/16/1966</t>
  </si>
  <si>
    <t>06/29/1952</t>
  </si>
  <si>
    <t>05/05/1953</t>
  </si>
  <si>
    <t>07/30/1956</t>
  </si>
  <si>
    <t>11/05/1942</t>
  </si>
  <si>
    <t>06/07/1948</t>
  </si>
  <si>
    <t>05/05/1968</t>
  </si>
  <si>
    <t>10/28/1957</t>
  </si>
  <si>
    <t>05/14/1934</t>
  </si>
  <si>
    <t>06/10/1947</t>
  </si>
  <si>
    <t>11/08/1965</t>
  </si>
  <si>
    <t>03/19/1962</t>
  </si>
  <si>
    <t>02/23/1947</t>
  </si>
  <si>
    <t>07/19/1955</t>
  </si>
  <si>
    <t>05/11/1959</t>
  </si>
  <si>
    <t>05/28/1958</t>
  </si>
  <si>
    <t>07/18/1991</t>
  </si>
  <si>
    <t>07/04/1945</t>
  </si>
  <si>
    <t>11/28/1964</t>
  </si>
  <si>
    <t>07/09/1953</t>
  </si>
  <si>
    <t>12/21/1956</t>
  </si>
  <si>
    <t>02/07/1979</t>
  </si>
  <si>
    <t>03/11/1977</t>
  </si>
  <si>
    <t>03/15/1954</t>
  </si>
  <si>
    <t>07/17/1962</t>
  </si>
  <si>
    <t>05/03/1937</t>
  </si>
  <si>
    <t>12/06/1980</t>
  </si>
  <si>
    <t>06/02/1948</t>
  </si>
  <si>
    <t>12/24/1956</t>
  </si>
  <si>
    <t>09/14/1962</t>
  </si>
  <si>
    <t>03/20/1947</t>
  </si>
  <si>
    <t>05/28/1953</t>
  </si>
  <si>
    <t>12/24/1947</t>
  </si>
  <si>
    <t>08/07/1989</t>
  </si>
  <si>
    <t>05/27/1970</t>
  </si>
  <si>
    <t>02/24/1989</t>
  </si>
  <si>
    <t>06/08/1953</t>
  </si>
  <si>
    <t>11/04/1948</t>
  </si>
  <si>
    <t>03/02/1937</t>
  </si>
  <si>
    <t>10/07/1952</t>
  </si>
  <si>
    <t>01/29/1966</t>
  </si>
  <si>
    <t>04/21/1956</t>
  </si>
  <si>
    <t>04/15/1980</t>
  </si>
  <si>
    <t>02/15/1940</t>
  </si>
  <si>
    <t>02/19/1973</t>
  </si>
  <si>
    <t>08/21/1978</t>
  </si>
  <si>
    <t>10/10/1969</t>
  </si>
  <si>
    <t>12/18/1967</t>
  </si>
  <si>
    <t>06/05/1975</t>
  </si>
  <si>
    <t>11/21/1977</t>
  </si>
  <si>
    <t>10/28/1959</t>
  </si>
  <si>
    <t>11/15/1936</t>
  </si>
  <si>
    <t>06/19/1959</t>
  </si>
  <si>
    <t>02/18/1947</t>
  </si>
  <si>
    <t>09/30/1948</t>
  </si>
  <si>
    <t>08/15/1959</t>
  </si>
  <si>
    <t>04/04/1966</t>
  </si>
  <si>
    <t>12/16/1978</t>
  </si>
  <si>
    <t>10/28/1936</t>
  </si>
  <si>
    <t>12/11/1956</t>
  </si>
  <si>
    <t>03/27/1960</t>
  </si>
  <si>
    <t>10/09/1942</t>
  </si>
  <si>
    <t>09/29/1967</t>
  </si>
  <si>
    <t>07/06/1949</t>
  </si>
  <si>
    <t>05/30/1955</t>
  </si>
  <si>
    <t>08/19/1963</t>
  </si>
  <si>
    <t>10/15/1954</t>
  </si>
  <si>
    <t>09/02/1947</t>
  </si>
  <si>
    <t>08/26/1950</t>
  </si>
  <si>
    <t>09/08/1950</t>
  </si>
  <si>
    <t>01/15/1953</t>
  </si>
  <si>
    <t>03/24/1962</t>
  </si>
  <si>
    <t>11/01/1940</t>
  </si>
  <si>
    <t>10/14/1933</t>
  </si>
  <si>
    <t>05/23/1944</t>
  </si>
  <si>
    <t>10/06/1986</t>
  </si>
  <si>
    <t>05/29/1979</t>
  </si>
  <si>
    <t>02/13/1957</t>
  </si>
  <si>
    <t>11/24/1937</t>
  </si>
  <si>
    <t>09/13/1955</t>
  </si>
  <si>
    <t>09/21/1933</t>
  </si>
  <si>
    <t>10/26/1949</t>
  </si>
  <si>
    <t>02/07/1959</t>
  </si>
  <si>
    <t>12/12/1972</t>
  </si>
  <si>
    <t>12/11/1932</t>
  </si>
  <si>
    <t>01/10/1962</t>
  </si>
  <si>
    <t>05/01/1947</t>
  </si>
  <si>
    <t>08/06/1960</t>
  </si>
  <si>
    <t>05/23/1963</t>
  </si>
  <si>
    <t>01/27/1957</t>
  </si>
  <si>
    <t>07/11/1953</t>
  </si>
  <si>
    <t>06/16/1979</t>
  </si>
  <si>
    <t>08/26/1957</t>
  </si>
  <si>
    <t>03/26/1964</t>
  </si>
  <si>
    <t>02/11/1945</t>
  </si>
  <si>
    <t>09/07/1961</t>
  </si>
  <si>
    <t>04/14/1966</t>
  </si>
  <si>
    <t>10/17/1958</t>
  </si>
  <si>
    <t>03/05/1946</t>
  </si>
  <si>
    <t>03/10/1955</t>
  </si>
  <si>
    <t>02/18/1964</t>
  </si>
  <si>
    <t>06/16/1983</t>
  </si>
  <si>
    <t>06/04/1952</t>
  </si>
  <si>
    <t>01/22/1947</t>
  </si>
  <si>
    <t>12/11/1938</t>
  </si>
  <si>
    <t>03/07/1962</t>
  </si>
  <si>
    <t>11/29/1948</t>
  </si>
  <si>
    <t>03/30/1956</t>
  </si>
  <si>
    <t>02/15/1968</t>
  </si>
  <si>
    <t>12/03/1964</t>
  </si>
  <si>
    <t>11/17/1943</t>
  </si>
  <si>
    <t>04/28/1979</t>
  </si>
  <si>
    <t>06/07/1946</t>
  </si>
  <si>
    <t>07/14/1956</t>
  </si>
  <si>
    <t>12/17/1975</t>
  </si>
  <si>
    <t>08/15/1957</t>
  </si>
  <si>
    <t>09/28/1975</t>
  </si>
  <si>
    <t>04/04/1965</t>
  </si>
  <si>
    <t>09/25/1951</t>
  </si>
  <si>
    <t>01/17/1956</t>
  </si>
  <si>
    <t>12/12/1953</t>
  </si>
  <si>
    <t>11/23/1962</t>
  </si>
  <si>
    <t>03/26/1936</t>
  </si>
  <si>
    <t>05/28/1987</t>
  </si>
  <si>
    <t>10/06/1961</t>
  </si>
  <si>
    <t>10/24/1962</t>
  </si>
  <si>
    <t>07/27/1961</t>
  </si>
  <si>
    <t>06/09/1964</t>
  </si>
  <si>
    <t>07/30/1949</t>
  </si>
  <si>
    <t>12/07/1956</t>
  </si>
  <si>
    <t>09/19/1973</t>
  </si>
  <si>
    <t>01/14/1959</t>
  </si>
  <si>
    <t>04/19/1970</t>
  </si>
  <si>
    <t>11/29/1977</t>
  </si>
  <si>
    <t>03/15/1984</t>
  </si>
  <si>
    <t>11/01/1954</t>
  </si>
  <si>
    <t>12/13/1965</t>
  </si>
  <si>
    <t>02/03/1956</t>
  </si>
  <si>
    <t>09/07/1992</t>
  </si>
  <si>
    <t>04/11/1942</t>
  </si>
  <si>
    <t>11/14/1943</t>
  </si>
  <si>
    <t>06/13/1938</t>
  </si>
  <si>
    <t>12/25/1965</t>
  </si>
  <si>
    <t>04/24/1970</t>
  </si>
  <si>
    <t>12/08/1960</t>
  </si>
  <si>
    <t>04/18/1963</t>
  </si>
  <si>
    <t>08/02/1963</t>
  </si>
  <si>
    <t>09/15/1961</t>
  </si>
  <si>
    <t>06/14/1957</t>
  </si>
  <si>
    <t>09/29/1960</t>
  </si>
  <si>
    <t>10/29/1959</t>
  </si>
  <si>
    <t>10/07/1991</t>
  </si>
  <si>
    <t>01/17/1959</t>
  </si>
  <si>
    <t>12/11/1952</t>
  </si>
  <si>
    <t>06/14/1949</t>
  </si>
  <si>
    <t>03/12/1954</t>
  </si>
  <si>
    <t>01/01/1952</t>
  </si>
  <si>
    <t>01/05/1969</t>
  </si>
  <si>
    <t>05/08/1959</t>
  </si>
  <si>
    <t>06/17/1978</t>
  </si>
  <si>
    <t>03/17/1978</t>
  </si>
  <si>
    <t>08/13/1983</t>
  </si>
  <si>
    <t>10/21/1969</t>
  </si>
  <si>
    <t>06/09/1983</t>
  </si>
  <si>
    <t>10/01/1957</t>
  </si>
  <si>
    <t>10/17/1947</t>
  </si>
  <si>
    <t>05/30/1959</t>
  </si>
  <si>
    <t>03/18/1945</t>
  </si>
  <si>
    <t>04/21/1944</t>
  </si>
  <si>
    <t>05/24/1954</t>
  </si>
  <si>
    <t>02/27/1964</t>
  </si>
  <si>
    <t>09/09/1949</t>
  </si>
  <si>
    <t>09/03/1965</t>
  </si>
  <si>
    <t>08/09/1963</t>
  </si>
  <si>
    <t>12/08/1944</t>
  </si>
  <si>
    <t>11/21/1954</t>
  </si>
  <si>
    <t>07/21/1946</t>
  </si>
  <si>
    <t>10/04/1993</t>
  </si>
  <si>
    <t>10/19/1934</t>
  </si>
  <si>
    <t>02/02/1968</t>
  </si>
  <si>
    <t>02/20/1943</t>
  </si>
  <si>
    <t>02/01/1979</t>
  </si>
  <si>
    <t>01/02/1958</t>
  </si>
  <si>
    <t>06/13/1955</t>
  </si>
  <si>
    <t>03/29/1937</t>
  </si>
  <si>
    <t>07/09/1984</t>
  </si>
  <si>
    <t>06/17/1972</t>
  </si>
  <si>
    <t>07/29/1950</t>
  </si>
  <si>
    <t>03/18/1944</t>
  </si>
  <si>
    <t>05/12/1959</t>
  </si>
  <si>
    <t>10/12/1956</t>
  </si>
  <si>
    <t>06/02/1963</t>
  </si>
  <si>
    <t>11/04/1952</t>
  </si>
  <si>
    <t>08/28/1955</t>
  </si>
  <si>
    <t>07/10/1952</t>
  </si>
  <si>
    <t>10/25/1954</t>
  </si>
  <si>
    <t>10/05/1942</t>
  </si>
  <si>
    <t>06/26/1963</t>
  </si>
  <si>
    <t>02/13/1954</t>
  </si>
  <si>
    <t>01/16/1939</t>
  </si>
  <si>
    <t>02/03/1941</t>
  </si>
  <si>
    <t>07/15/1961</t>
  </si>
  <si>
    <t>06/29/1959</t>
  </si>
  <si>
    <t>04/23/1996</t>
  </si>
  <si>
    <t>04/08/1979</t>
  </si>
  <si>
    <t>01/04/1970</t>
  </si>
  <si>
    <t>04/19/1983</t>
  </si>
  <si>
    <t>12/24/1980</t>
  </si>
  <si>
    <t>01/05/1957</t>
  </si>
  <si>
    <t>04/19/1953</t>
  </si>
  <si>
    <t>04/16/1962</t>
  </si>
  <si>
    <t>05/17/1957</t>
  </si>
  <si>
    <t>12/17/1963</t>
  </si>
  <si>
    <t>07/23/1943</t>
  </si>
  <si>
    <t>08/08/1938</t>
  </si>
  <si>
    <t>06/09/1971</t>
  </si>
  <si>
    <t>07/13/1963</t>
  </si>
  <si>
    <t>03/17/1969</t>
  </si>
  <si>
    <t>05/01/1964</t>
  </si>
  <si>
    <t>06/19/1965</t>
  </si>
  <si>
    <t>02/14/1952</t>
  </si>
  <si>
    <t>07/03/1986</t>
  </si>
  <si>
    <t>06/24/1969</t>
  </si>
  <si>
    <t>10/27/1971</t>
  </si>
  <si>
    <t>03/15/1987</t>
  </si>
  <si>
    <t>02/21/1963</t>
  </si>
  <si>
    <t>11/17/1945</t>
  </si>
  <si>
    <t>09/09/1959</t>
  </si>
  <si>
    <t>06/15/1975</t>
  </si>
  <si>
    <t>05/05/1959</t>
  </si>
  <si>
    <t>03/17/1962</t>
  </si>
  <si>
    <t>04/02/1993</t>
  </si>
  <si>
    <t>12/08/1976</t>
  </si>
  <si>
    <t>03/11/1933</t>
  </si>
  <si>
    <t>09/14/1952</t>
  </si>
  <si>
    <t>08/13/1947</t>
  </si>
  <si>
    <t>05/26/1952</t>
  </si>
  <si>
    <t>01/28/1985</t>
  </si>
  <si>
    <t>10/19/1991</t>
  </si>
  <si>
    <t>02/20/1987</t>
  </si>
  <si>
    <t>05/16/1969</t>
  </si>
  <si>
    <t>02/08/1971</t>
  </si>
  <si>
    <t>11/02/1961</t>
  </si>
  <si>
    <t>06/11/1956</t>
  </si>
  <si>
    <t>12/17/1956</t>
  </si>
  <si>
    <t>03/13/1969</t>
  </si>
  <si>
    <t>08/13/1937</t>
  </si>
  <si>
    <t>10/30/1960</t>
  </si>
  <si>
    <t>08/11/1949</t>
  </si>
  <si>
    <t>03/16/1959</t>
  </si>
  <si>
    <t>11/08/1984</t>
  </si>
  <si>
    <t>07/14/1976</t>
  </si>
  <si>
    <t>01/18/1969</t>
  </si>
  <si>
    <t>05/12/1987</t>
  </si>
  <si>
    <t>02/04/1961</t>
  </si>
  <si>
    <t>08/14/1959</t>
  </si>
  <si>
    <t>10/03/1965</t>
  </si>
  <si>
    <t>05/14/1980</t>
  </si>
  <si>
    <t>08/11/1948</t>
  </si>
  <si>
    <t>12/14/1948</t>
  </si>
  <si>
    <t>11/18/1971</t>
  </si>
  <si>
    <t>04/02/1988</t>
  </si>
  <si>
    <t>09/18/1967</t>
  </si>
  <si>
    <t>06/04/1940</t>
  </si>
  <si>
    <t>09/09/1940</t>
  </si>
  <si>
    <t>06/18/1991</t>
  </si>
  <si>
    <t>05/22/1976</t>
  </si>
  <si>
    <t>11/24/1970</t>
  </si>
  <si>
    <t>04/30/1941</t>
  </si>
  <si>
    <t>06/14/1961</t>
  </si>
  <si>
    <t>09/21/1985</t>
  </si>
  <si>
    <t>08/04/1964</t>
  </si>
  <si>
    <t>02/04/1983</t>
  </si>
  <si>
    <t>12/22/1959</t>
  </si>
  <si>
    <t>12/12/1989</t>
  </si>
  <si>
    <t>06/06/1983</t>
  </si>
  <si>
    <t>03/06/1978</t>
  </si>
  <si>
    <t>09/05/1958</t>
  </si>
  <si>
    <t>02/20/1955</t>
  </si>
  <si>
    <t>01/03/1945</t>
  </si>
  <si>
    <t>11/23/1993</t>
  </si>
  <si>
    <t>07/03/1983</t>
  </si>
  <si>
    <t>07/08/1989</t>
  </si>
  <si>
    <t>10/14/1978</t>
  </si>
  <si>
    <t>05/29/1988</t>
  </si>
  <si>
    <t>07/15/1957</t>
  </si>
  <si>
    <t>11/14/1953</t>
  </si>
  <si>
    <t>03/10/1981</t>
  </si>
  <si>
    <t>09/15/1979</t>
  </si>
  <si>
    <t>10/10/1944</t>
  </si>
  <si>
    <t>02/22/1970</t>
  </si>
  <si>
    <t>11/21/1944</t>
  </si>
  <si>
    <t>08/18/1945</t>
  </si>
  <si>
    <t>08/03/1976</t>
  </si>
  <si>
    <t>07/13/1972</t>
  </si>
  <si>
    <t>01/23/1985</t>
  </si>
  <si>
    <t>08/06/1988</t>
  </si>
  <si>
    <t>07/05/1961</t>
  </si>
  <si>
    <t>08/20/1994</t>
  </si>
  <si>
    <t>02/12/1944</t>
  </si>
  <si>
    <t>01/31/1951</t>
  </si>
  <si>
    <t>06/05/1952</t>
  </si>
  <si>
    <t>10/29/1934</t>
  </si>
  <si>
    <t>04/09/1971</t>
  </si>
  <si>
    <t>08/10/1994</t>
  </si>
  <si>
    <t>04/17/1955</t>
  </si>
  <si>
    <t>02/18/1936</t>
  </si>
  <si>
    <t>07/09/1960</t>
  </si>
  <si>
    <t>08/28/1960</t>
  </si>
  <si>
    <t>11/18/1963</t>
  </si>
  <si>
    <t>07/26/1964</t>
  </si>
  <si>
    <t>04/30/1964</t>
  </si>
  <si>
    <t>08/28/1986</t>
  </si>
  <si>
    <t>07/20/1973</t>
  </si>
  <si>
    <t>09/24/1986</t>
  </si>
  <si>
    <t>04/07/1947</t>
  </si>
  <si>
    <t>05/10/1973</t>
  </si>
  <si>
    <t>12/19/1953</t>
  </si>
  <si>
    <t>01/26/1939</t>
  </si>
  <si>
    <t>06/27/1976</t>
  </si>
  <si>
    <t>10/18/1965</t>
  </si>
  <si>
    <t>04/04/1991</t>
  </si>
  <si>
    <t>03/21/1962</t>
  </si>
  <si>
    <t>10/27/1984</t>
  </si>
  <si>
    <t>01/01/1958</t>
  </si>
  <si>
    <t>01/05/1978</t>
  </si>
  <si>
    <t>01/18/1994</t>
  </si>
  <si>
    <t>06/11/1958</t>
  </si>
  <si>
    <t>02/14/1969</t>
  </si>
  <si>
    <t>10/05/1941</t>
  </si>
  <si>
    <t>03/20/1968</t>
  </si>
  <si>
    <t>09/18/1979</t>
  </si>
  <si>
    <t>07/02/1954</t>
  </si>
  <si>
    <t>09/27/1957</t>
  </si>
  <si>
    <t>09/26/1978</t>
  </si>
  <si>
    <t>09/26/1955</t>
  </si>
  <si>
    <t>12/26/1946</t>
  </si>
  <si>
    <t>08/06/1992</t>
  </si>
  <si>
    <t>02/12/1977</t>
  </si>
  <si>
    <t>05/29/1992</t>
  </si>
  <si>
    <t>11/14/1960</t>
  </si>
  <si>
    <t>06/17/1973</t>
  </si>
  <si>
    <t>04/24/1965</t>
  </si>
  <si>
    <t>09/25/1954</t>
  </si>
  <si>
    <t>11/01/1978</t>
  </si>
  <si>
    <t>06/15/1968</t>
  </si>
  <si>
    <t>06/30/1957</t>
  </si>
  <si>
    <t>06/22/1949</t>
  </si>
  <si>
    <t>08/30/1951</t>
  </si>
  <si>
    <t>05/08/1967</t>
  </si>
  <si>
    <t>10/24/1992</t>
  </si>
  <si>
    <t>10/10/1943</t>
  </si>
  <si>
    <t>01/26/1991</t>
  </si>
  <si>
    <t>03/27/1952</t>
  </si>
  <si>
    <t>02/23/1952</t>
  </si>
  <si>
    <t>05/04/1990</t>
  </si>
  <si>
    <t>01/06/1986</t>
  </si>
  <si>
    <t>10/12/1976</t>
  </si>
  <si>
    <t>04/19/1977</t>
  </si>
  <si>
    <t>12/24/1948</t>
  </si>
  <si>
    <t>01/02/1964</t>
  </si>
  <si>
    <t>10/24/1954</t>
  </si>
  <si>
    <t>12/15/1964</t>
  </si>
  <si>
    <t>04/06/1943</t>
  </si>
  <si>
    <t>08/27/1981</t>
  </si>
  <si>
    <t>03/14/1966</t>
  </si>
  <si>
    <t>03/26/1948</t>
  </si>
  <si>
    <t>12/24/1978</t>
  </si>
  <si>
    <t>03/15/1982</t>
  </si>
  <si>
    <t>10/02/1941</t>
  </si>
  <si>
    <t>08/05/1975</t>
  </si>
  <si>
    <t>01/30/1949</t>
  </si>
  <si>
    <t>07/06/1990</t>
  </si>
  <si>
    <t>07/06/1948</t>
  </si>
  <si>
    <t>07/15/1980</t>
  </si>
  <si>
    <t>08/03/1958</t>
  </si>
  <si>
    <t>09/07/1954</t>
  </si>
  <si>
    <t>01/15/1962</t>
  </si>
  <si>
    <t>08/11/1941</t>
  </si>
  <si>
    <t>08/23/1962</t>
  </si>
  <si>
    <t>05/26/1963</t>
  </si>
  <si>
    <t>12/09/1960</t>
  </si>
  <si>
    <t>12/24/1976</t>
  </si>
  <si>
    <t>01/19/1975</t>
  </si>
  <si>
    <t>07/04/1943</t>
  </si>
  <si>
    <t>03/13/1953</t>
  </si>
  <si>
    <t>05/11/1985</t>
  </si>
  <si>
    <t>07/09/1951</t>
  </si>
  <si>
    <t>11/12/1944</t>
  </si>
  <si>
    <t>06/22/1954</t>
  </si>
  <si>
    <t>02/08/1965</t>
  </si>
  <si>
    <t>11/05/1964</t>
  </si>
  <si>
    <t>08/04/1955</t>
  </si>
  <si>
    <t>06/18/1996</t>
  </si>
  <si>
    <t>03/19/1955</t>
  </si>
  <si>
    <t>06/17/1980</t>
  </si>
  <si>
    <t>12/31/1963</t>
  </si>
  <si>
    <t>05/30/1946</t>
  </si>
  <si>
    <t>03/24/1975</t>
  </si>
  <si>
    <t>08/30/1969</t>
  </si>
  <si>
    <t>09/08/1945</t>
  </si>
  <si>
    <t>01/03/1948</t>
  </si>
  <si>
    <t>08/09/1976</t>
  </si>
  <si>
    <t>12/06/1973</t>
  </si>
  <si>
    <t>08/31/1963</t>
  </si>
  <si>
    <t>08/30/1965</t>
  </si>
  <si>
    <t>04/03/1955</t>
  </si>
  <si>
    <t>08/04/1961</t>
  </si>
  <si>
    <t>05/16/1952</t>
  </si>
  <si>
    <t>12/28/1962</t>
  </si>
  <si>
    <t>09/16/1955</t>
  </si>
  <si>
    <t>07/31/1968</t>
  </si>
  <si>
    <t>12/22/1967</t>
  </si>
  <si>
    <t>07/15/1985</t>
  </si>
  <si>
    <t>04/19/1952</t>
  </si>
  <si>
    <t>06/27/1991</t>
  </si>
  <si>
    <t>12/19/1954</t>
  </si>
  <si>
    <t>07/12/1956</t>
  </si>
  <si>
    <t>12/13/1971</t>
  </si>
  <si>
    <t>05/22/1929</t>
  </si>
  <si>
    <t>09/25/1982</t>
  </si>
  <si>
    <t>10/02/1949</t>
  </si>
  <si>
    <t>12/31/1958</t>
  </si>
  <si>
    <t>02/12/1974</t>
  </si>
  <si>
    <t>09/23/1968</t>
  </si>
  <si>
    <t>05/14/1976</t>
  </si>
  <si>
    <t>03/30/1986</t>
  </si>
  <si>
    <t>10/05/1982</t>
  </si>
  <si>
    <t>10/28/1973</t>
  </si>
  <si>
    <t>08/15/1964</t>
  </si>
  <si>
    <t>06/10/1982</t>
  </si>
  <si>
    <t>02/16/1962</t>
  </si>
  <si>
    <t>09/22/1937</t>
  </si>
  <si>
    <t>02/08/1966</t>
  </si>
  <si>
    <t>06/24/1964</t>
  </si>
  <si>
    <t>07/25/1975</t>
  </si>
  <si>
    <t>06/18/1988</t>
  </si>
  <si>
    <t>08/08/1983</t>
  </si>
  <si>
    <t>05/13/1950</t>
  </si>
  <si>
    <t>06/02/1947</t>
  </si>
  <si>
    <t>05/15/1970</t>
  </si>
  <si>
    <t>10/23/1974</t>
  </si>
  <si>
    <t>03/31/1992</t>
  </si>
  <si>
    <t>04/24/1964</t>
  </si>
  <si>
    <t>05/31/1971</t>
  </si>
  <si>
    <t>07/03/1935</t>
  </si>
  <si>
    <t>10/26/1946</t>
  </si>
  <si>
    <t>05/17/1952</t>
  </si>
  <si>
    <t>06/23/1974</t>
  </si>
  <si>
    <t>08/31/1924</t>
  </si>
  <si>
    <t>02/08/1978</t>
  </si>
  <si>
    <t>02/26/1991</t>
  </si>
  <si>
    <t>01/09/1977</t>
  </si>
  <si>
    <t>05/14/1991</t>
  </si>
  <si>
    <t>08/31/1985</t>
  </si>
  <si>
    <t>11/07/1949</t>
  </si>
  <si>
    <t>01/25/1940</t>
  </si>
  <si>
    <t>05/06/1953</t>
  </si>
  <si>
    <t>09/16/1953</t>
  </si>
  <si>
    <t>11/18/1965</t>
  </si>
  <si>
    <t>06/25/1987</t>
  </si>
  <si>
    <t>11/18/1943</t>
  </si>
  <si>
    <t>05/18/1987</t>
  </si>
  <si>
    <t>02/22/1990</t>
  </si>
  <si>
    <t>12/04/1973</t>
  </si>
  <si>
    <t>12/29/1969</t>
  </si>
  <si>
    <t>05/10/1971</t>
  </si>
  <si>
    <t>10/07/1987</t>
  </si>
  <si>
    <t>04/04/1971</t>
  </si>
  <si>
    <t>03/08/1944</t>
  </si>
  <si>
    <t>10/09/1933</t>
  </si>
  <si>
    <t>04/20/1979</t>
  </si>
  <si>
    <t>05/25/1936</t>
  </si>
  <si>
    <t>01/23/1940</t>
  </si>
  <si>
    <t>06/30/1961</t>
  </si>
  <si>
    <t>11/20/1959</t>
  </si>
  <si>
    <t>04/19/1960</t>
  </si>
  <si>
    <t>02/03/1964</t>
  </si>
  <si>
    <t>06/13/1968</t>
  </si>
  <si>
    <t>10/04/1987</t>
  </si>
  <si>
    <t>09/24/1938</t>
  </si>
  <si>
    <t>06/28/1965</t>
  </si>
  <si>
    <t>06/26/1990</t>
  </si>
  <si>
    <t>11/03/1983</t>
  </si>
  <si>
    <t>04/15/1944</t>
  </si>
  <si>
    <t>08/02/1941</t>
  </si>
  <si>
    <t>04/03/1996</t>
  </si>
  <si>
    <t>11/15/1991</t>
  </si>
  <si>
    <t>07/03/1944</t>
  </si>
  <si>
    <t>08/01/1966</t>
  </si>
  <si>
    <t>04/26/1972</t>
  </si>
  <si>
    <t>10/23/1973</t>
  </si>
  <si>
    <t>12/04/1986</t>
  </si>
  <si>
    <t>02/19/1967</t>
  </si>
  <si>
    <t>05/27/1959</t>
  </si>
  <si>
    <t>04/12/1937</t>
  </si>
  <si>
    <t>05/16/1956</t>
  </si>
  <si>
    <t>07/12/1977</t>
  </si>
  <si>
    <t>06/27/1948</t>
  </si>
  <si>
    <t>05/16/1983</t>
  </si>
  <si>
    <t>03/06/1953</t>
  </si>
  <si>
    <t>11/17/1936</t>
  </si>
  <si>
    <t>01/12/1969</t>
  </si>
  <si>
    <t>11/06/1975</t>
  </si>
  <si>
    <t>09/21/1958</t>
  </si>
  <si>
    <t>12/02/1965</t>
  </si>
  <si>
    <t>03/11/1959</t>
  </si>
  <si>
    <t>12/18/1961</t>
  </si>
  <si>
    <t>02/07/1949</t>
  </si>
  <si>
    <t>08/27/1949</t>
  </si>
  <si>
    <t>06/02/1967</t>
  </si>
  <si>
    <t>02/09/1965</t>
  </si>
  <si>
    <t>08/27/1969</t>
  </si>
  <si>
    <t>04/11/1969</t>
  </si>
  <si>
    <t>01/27/1972</t>
  </si>
  <si>
    <t>03/09/1988</t>
  </si>
  <si>
    <t>06/03/1982</t>
  </si>
  <si>
    <t>03/03/1981</t>
  </si>
  <si>
    <t>08/14/1939</t>
  </si>
  <si>
    <t>10/26/1947</t>
  </si>
  <si>
    <t>06/27/1964</t>
  </si>
  <si>
    <t>10/03/1963</t>
  </si>
  <si>
    <t>01/25/1998</t>
  </si>
  <si>
    <t>08/02/1950</t>
  </si>
  <si>
    <t>11/13/1976</t>
  </si>
  <si>
    <t>04/15/1963</t>
  </si>
  <si>
    <t>11/16/1961</t>
  </si>
  <si>
    <t>12/24/1957</t>
  </si>
  <si>
    <t>04/17/1946</t>
  </si>
  <si>
    <t>09/24/1977</t>
  </si>
  <si>
    <t>08/29/1945</t>
  </si>
  <si>
    <t>12/11/1940</t>
  </si>
  <si>
    <t>06/30/1989</t>
  </si>
  <si>
    <t>05/07/1965</t>
  </si>
  <si>
    <t>06/20/1977</t>
  </si>
  <si>
    <t>02/02/1979</t>
  </si>
  <si>
    <t>07/23/1992</t>
  </si>
  <si>
    <t>05/08/1972</t>
  </si>
  <si>
    <t>08/13/1952</t>
  </si>
  <si>
    <t>10/04/1976</t>
  </si>
  <si>
    <t>04/09/1937</t>
  </si>
  <si>
    <t>09/12/1961</t>
  </si>
  <si>
    <t>06/27/1978</t>
  </si>
  <si>
    <t>08/11/1952</t>
  </si>
  <si>
    <t>02/11/1951</t>
  </si>
  <si>
    <t>12/15/1969</t>
  </si>
  <si>
    <t>01/18/1942</t>
  </si>
  <si>
    <t>01/10/1952</t>
  </si>
  <si>
    <t>11/29/1964</t>
  </si>
  <si>
    <t>01/12/1968</t>
  </si>
  <si>
    <t>08/09/1961</t>
  </si>
  <si>
    <t>10/19/1964</t>
  </si>
  <si>
    <t>06/14/1952</t>
  </si>
  <si>
    <t>06/03/1963</t>
  </si>
  <si>
    <t>07/15/1974</t>
  </si>
  <si>
    <t>02/05/1968</t>
  </si>
  <si>
    <t>10/03/1971</t>
  </si>
  <si>
    <t>03/08/1955</t>
  </si>
  <si>
    <t>06/22/1952</t>
  </si>
  <si>
    <t>09/09/1962</t>
  </si>
  <si>
    <t>03/04/1999</t>
  </si>
  <si>
    <t>02/03/1958</t>
  </si>
  <si>
    <t>02/22/1994</t>
  </si>
  <si>
    <t>10/18/1956</t>
  </si>
  <si>
    <t>06/29/1962</t>
  </si>
  <si>
    <t>10/11/1964</t>
  </si>
  <si>
    <t>10/29/1943</t>
  </si>
  <si>
    <t>09/07/1990</t>
  </si>
  <si>
    <t>06/01/1969</t>
  </si>
  <si>
    <t>09/07/1981</t>
  </si>
  <si>
    <t>03/23/1958</t>
  </si>
  <si>
    <t>08/14/1981</t>
  </si>
  <si>
    <t>02/14/1970</t>
  </si>
  <si>
    <t>09/03/1960</t>
  </si>
  <si>
    <t>01/23/1964</t>
  </si>
  <si>
    <t>08/16/1973</t>
  </si>
  <si>
    <t>09/25/1948</t>
  </si>
  <si>
    <t>11/12/1954</t>
  </si>
  <si>
    <t>05/23/1955</t>
  </si>
  <si>
    <t>01/16/1954</t>
  </si>
  <si>
    <t>09/25/1934</t>
  </si>
  <si>
    <t>09/18/1988</t>
  </si>
  <si>
    <t>06/09/1960</t>
  </si>
  <si>
    <t>09/08/1996</t>
  </si>
  <si>
    <t>09/04/1963</t>
  </si>
  <si>
    <t>06/12/1946</t>
  </si>
  <si>
    <t>12/04/1963</t>
  </si>
  <si>
    <t>02/01/1985</t>
  </si>
  <si>
    <t>07/29/1983</t>
  </si>
  <si>
    <t>05/01/1942</t>
  </si>
  <si>
    <t>12/06/1955</t>
  </si>
  <si>
    <t>01/04/1959</t>
  </si>
  <si>
    <t>11/09/1953</t>
  </si>
  <si>
    <t>03/05/1941</t>
  </si>
  <si>
    <t>10/03/1977</t>
  </si>
  <si>
    <t>06/26/1968</t>
  </si>
  <si>
    <t>09/17/1955</t>
  </si>
  <si>
    <t>02/22/1949</t>
  </si>
  <si>
    <t>08/15/1947</t>
  </si>
  <si>
    <t>07/20/1942</t>
  </si>
  <si>
    <t>11/24/1997</t>
  </si>
  <si>
    <t>12/23/1982</t>
  </si>
  <si>
    <t>01/15/1987</t>
  </si>
  <si>
    <t>02/22/1985</t>
  </si>
  <si>
    <t>04/30/1947</t>
  </si>
  <si>
    <t>02/15/1967</t>
  </si>
  <si>
    <t>06/17/1982</t>
  </si>
  <si>
    <t>09/30/1957</t>
  </si>
  <si>
    <t>01/04/1953</t>
  </si>
  <si>
    <t>03/11/1960</t>
  </si>
  <si>
    <t>08/07/1963</t>
  </si>
  <si>
    <t>08/23/1989</t>
  </si>
  <si>
    <t>10/30/1983</t>
  </si>
  <si>
    <t>07/22/1931</t>
  </si>
  <si>
    <t>12/27/1977</t>
  </si>
  <si>
    <t>06/16/1951</t>
  </si>
  <si>
    <t>07/04/1964</t>
  </si>
  <si>
    <t>08/23/1965</t>
  </si>
  <si>
    <t>03/07/1958</t>
  </si>
  <si>
    <t>03/21/1953</t>
  </si>
  <si>
    <t>10/06/1970</t>
  </si>
  <si>
    <t>12/11/1983</t>
  </si>
  <si>
    <t>11/13/1965</t>
  </si>
  <si>
    <t>10/22/1975</t>
  </si>
  <si>
    <t>12/04/1979</t>
  </si>
  <si>
    <t>02/05/1958</t>
  </si>
  <si>
    <t>06/03/1977</t>
  </si>
  <si>
    <t>04/02/1967</t>
  </si>
  <si>
    <t>03/13/1959</t>
  </si>
  <si>
    <t>06/17/1955</t>
  </si>
  <si>
    <t>05/24/1953</t>
  </si>
  <si>
    <t>12/08/1973</t>
  </si>
  <si>
    <t>06/15/1961</t>
  </si>
  <si>
    <t>01/14/1961</t>
  </si>
  <si>
    <t>05/30/1964</t>
  </si>
  <si>
    <t>04/13/1969</t>
  </si>
  <si>
    <t>05/23/1956</t>
  </si>
  <si>
    <t>06/19/1968</t>
  </si>
  <si>
    <t>03/14/1945</t>
  </si>
  <si>
    <t>02/28/1962</t>
  </si>
  <si>
    <t>06/10/1981</t>
  </si>
  <si>
    <t>12/30/1958</t>
  </si>
  <si>
    <t>08/31/1956</t>
  </si>
  <si>
    <t>10/28/1981</t>
  </si>
  <si>
    <t>02/15/1979</t>
  </si>
  <si>
    <t>08/04/1935</t>
  </si>
  <si>
    <t>06/27/1966</t>
  </si>
  <si>
    <t>02/02/1970</t>
  </si>
  <si>
    <t>12/27/1965</t>
  </si>
  <si>
    <t>03/23/1983</t>
  </si>
  <si>
    <t>09/04/1968</t>
  </si>
  <si>
    <t>04/27/1985</t>
  </si>
  <si>
    <t>06/01/1963</t>
  </si>
  <si>
    <t>06/04/1956</t>
  </si>
  <si>
    <t>04/28/1997</t>
  </si>
  <si>
    <t>07/03/1974</t>
  </si>
  <si>
    <t>06/06/1979</t>
  </si>
  <si>
    <t>06/27/1973</t>
  </si>
  <si>
    <t>05/10/1957</t>
  </si>
  <si>
    <t>04/03/1929</t>
  </si>
  <si>
    <t>08/12/1963</t>
  </si>
  <si>
    <t>06/19/1969</t>
  </si>
  <si>
    <t>03/27/1971</t>
  </si>
  <si>
    <t>03/05/1964</t>
  </si>
  <si>
    <t>02/05/1954</t>
  </si>
  <si>
    <t>10/07/1947</t>
  </si>
  <si>
    <t>01/21/1965</t>
  </si>
  <si>
    <t>11/18/1967</t>
  </si>
  <si>
    <t>12/06/1984</t>
  </si>
  <si>
    <t>10/10/1974</t>
  </si>
  <si>
    <t>05/13/1985</t>
  </si>
  <si>
    <t>08/16/1958</t>
  </si>
  <si>
    <t>12/24/1966</t>
  </si>
  <si>
    <t>05/28/1967</t>
  </si>
  <si>
    <t>08/25/2017</t>
  </si>
  <si>
    <t>03/21/1954</t>
  </si>
  <si>
    <t>02/01/1946</t>
  </si>
  <si>
    <t>09/03/1938</t>
  </si>
  <si>
    <t>05/22/1977</t>
  </si>
  <si>
    <t>06/05/1970</t>
  </si>
  <si>
    <t>08/02/1967</t>
  </si>
  <si>
    <t>11/11/1952</t>
  </si>
  <si>
    <t>02/02/1971</t>
  </si>
  <si>
    <t>07/28/1980</t>
  </si>
  <si>
    <t>06/16/1976</t>
  </si>
  <si>
    <t>07/17/1953</t>
  </si>
  <si>
    <t>06/01/1953</t>
  </si>
  <si>
    <t>02/11/1966</t>
  </si>
  <si>
    <t>08/16/1985</t>
  </si>
  <si>
    <t>11/02/1962</t>
  </si>
  <si>
    <t>07/09/1975</t>
  </si>
  <si>
    <t>05/18/1963</t>
  </si>
  <si>
    <t>11/01/1959</t>
  </si>
  <si>
    <t>01/10/1947</t>
  </si>
  <si>
    <t>09/16/1964</t>
  </si>
  <si>
    <t>04/23/1981</t>
  </si>
  <si>
    <t>11/18/1979</t>
  </si>
  <si>
    <t>01/08/1943</t>
  </si>
  <si>
    <t>06/30/1974</t>
  </si>
  <si>
    <t>08/28/1949</t>
  </si>
  <si>
    <t>10/16/1949</t>
  </si>
  <si>
    <t>08/08/1954</t>
  </si>
  <si>
    <t>12/18/1974</t>
  </si>
  <si>
    <t>07/09/1939</t>
  </si>
  <si>
    <t>01/04/1964</t>
  </si>
  <si>
    <t>09/18/1987</t>
  </si>
  <si>
    <t>12/25/1957</t>
  </si>
  <si>
    <t>05/25/1958</t>
  </si>
  <si>
    <t>06/17/1961</t>
  </si>
  <si>
    <t>03/16/1977</t>
  </si>
  <si>
    <t>06/10/1946</t>
  </si>
  <si>
    <t>11/26/1962</t>
  </si>
  <si>
    <t>06/07/1983</t>
  </si>
  <si>
    <t>08/09/1987</t>
  </si>
  <si>
    <t>09/16/1939</t>
  </si>
  <si>
    <t>09/20/1966</t>
  </si>
  <si>
    <t>08/05/1991</t>
  </si>
  <si>
    <t>05/22/1951</t>
  </si>
  <si>
    <t>11/10/1955</t>
  </si>
  <si>
    <t>10/24/1947</t>
  </si>
  <si>
    <t>01/13/1969</t>
  </si>
  <si>
    <t>04/07/1972</t>
  </si>
  <si>
    <t>02/10/1986</t>
  </si>
  <si>
    <t>09/22/1954</t>
  </si>
  <si>
    <t>09/19/1919</t>
  </si>
  <si>
    <t>05/10/1931</t>
  </si>
  <si>
    <t>06/11/1975</t>
  </si>
  <si>
    <t>08/02/1960</t>
  </si>
  <si>
    <t>10/30/1966</t>
  </si>
  <si>
    <t>01/10/1950</t>
  </si>
  <si>
    <t>01/06/1967</t>
  </si>
  <si>
    <t>12/23/1963</t>
  </si>
  <si>
    <t>11/04/1973</t>
  </si>
  <si>
    <t>03/18/1965</t>
  </si>
  <si>
    <t>12/12/1962</t>
  </si>
  <si>
    <t>01/18/1944</t>
  </si>
  <si>
    <t>08/14/1949</t>
  </si>
  <si>
    <t>02/11/1937</t>
  </si>
  <si>
    <t>06/30/1954</t>
  </si>
  <si>
    <t>04/11/1971</t>
  </si>
  <si>
    <t>09/29/1962</t>
  </si>
  <si>
    <t>04/27/1974</t>
  </si>
  <si>
    <t>02/01/1966</t>
  </si>
  <si>
    <t>10/26/1983</t>
  </si>
  <si>
    <t>06/05/1986</t>
  </si>
  <si>
    <t>10/15/1953</t>
  </si>
  <si>
    <t>04/25/1957</t>
  </si>
  <si>
    <t>04/04/1954</t>
  </si>
  <si>
    <t>01/21/1969</t>
  </si>
  <si>
    <t>10/01/1963</t>
  </si>
  <si>
    <t>03/13/1941</t>
  </si>
  <si>
    <t>07/04/1966</t>
  </si>
  <si>
    <t>08/24/1954</t>
  </si>
  <si>
    <t>04/14/1945</t>
  </si>
  <si>
    <t>06/11/1961</t>
  </si>
  <si>
    <t>03/03/1957</t>
  </si>
  <si>
    <t>04/19/1988</t>
  </si>
  <si>
    <t>02/12/1986</t>
  </si>
  <si>
    <t>01/06/1977</t>
  </si>
  <si>
    <t>07/26/1980</t>
  </si>
  <si>
    <t>08/20/1988</t>
  </si>
  <si>
    <t>09/27/1962</t>
  </si>
  <si>
    <t>12/12/1969</t>
  </si>
  <si>
    <t>10/31/1977</t>
  </si>
  <si>
    <t>07/22/1953</t>
  </si>
  <si>
    <t>04/28/1960</t>
  </si>
  <si>
    <t>08/21/1984</t>
  </si>
  <si>
    <t>12/26/1952</t>
  </si>
  <si>
    <t>08/17/1990</t>
  </si>
  <si>
    <t>01/10/1973</t>
  </si>
  <si>
    <t>10/23/1953</t>
  </si>
  <si>
    <t>02/25/1964</t>
  </si>
  <si>
    <t>12/07/1987</t>
  </si>
  <si>
    <t>01/10/1976</t>
  </si>
  <si>
    <t>04/23/1952</t>
  </si>
  <si>
    <t>11/29/1958</t>
  </si>
  <si>
    <t>01/29/1959</t>
  </si>
  <si>
    <t>02/17/1981</t>
  </si>
  <si>
    <t>09/13/1957</t>
  </si>
  <si>
    <t>10/30/1968</t>
  </si>
  <si>
    <t>02/01/1983</t>
  </si>
  <si>
    <t>12/26/1963</t>
  </si>
  <si>
    <t>02/03/1947</t>
  </si>
  <si>
    <t>01/21/1959</t>
  </si>
  <si>
    <t>07/24/1939</t>
  </si>
  <si>
    <t>02/06/1969</t>
  </si>
  <si>
    <t>08/05/1968</t>
  </si>
  <si>
    <t>06/12/1955</t>
  </si>
  <si>
    <t>11/22/1981</t>
  </si>
  <si>
    <t>02/25/1977</t>
  </si>
  <si>
    <t>08/31/1958</t>
  </si>
  <si>
    <t>08/30/1952</t>
  </si>
  <si>
    <t>05/23/1961</t>
  </si>
  <si>
    <t>12/08/1943</t>
  </si>
  <si>
    <t>10/15/1965</t>
  </si>
  <si>
    <t>10/18/1948</t>
  </si>
  <si>
    <t>02/25/1960</t>
  </si>
  <si>
    <t>09/07/1956</t>
  </si>
  <si>
    <t>06/26/1969</t>
  </si>
  <si>
    <t>06/11/1950</t>
  </si>
  <si>
    <t>06/25/1956</t>
  </si>
  <si>
    <t>03/13/1989</t>
  </si>
  <si>
    <t>08/26/1945</t>
  </si>
  <si>
    <t>04/30/1939</t>
  </si>
  <si>
    <t>04/17/1970</t>
  </si>
  <si>
    <t>06/27/1988</t>
  </si>
  <si>
    <t>05/09/1983</t>
  </si>
  <si>
    <t>03/22/1974</t>
  </si>
  <si>
    <t>04/18/1964</t>
  </si>
  <si>
    <t>06/15/1954</t>
  </si>
  <si>
    <t>10/30/1961</t>
  </si>
  <si>
    <t>05/22/1953</t>
  </si>
  <si>
    <t>09/01/1992</t>
  </si>
  <si>
    <t>06/10/1958</t>
  </si>
  <si>
    <t>04/21/1961</t>
  </si>
  <si>
    <t>12/10/1988</t>
  </si>
  <si>
    <t>04/25/1962</t>
  </si>
  <si>
    <t>02/14/1979</t>
  </si>
  <si>
    <t>01/25/1945</t>
  </si>
  <si>
    <t>04/11/1974</t>
  </si>
  <si>
    <t>06/08/1960</t>
  </si>
  <si>
    <t>09/19/1966</t>
  </si>
  <si>
    <t>04/09/1964</t>
  </si>
  <si>
    <t>05/15/1978</t>
  </si>
  <si>
    <t>08/15/1968</t>
  </si>
  <si>
    <t>12/12/1975</t>
  </si>
  <si>
    <t>04/02/1974</t>
  </si>
  <si>
    <t>10/05/1980</t>
  </si>
  <si>
    <t>06/26/1986</t>
  </si>
  <si>
    <t>09/24/1937</t>
  </si>
  <si>
    <t>09/02/1968</t>
  </si>
  <si>
    <t>09/25/1995</t>
  </si>
  <si>
    <t>01/19/1995</t>
  </si>
  <si>
    <t>12/29/1946</t>
  </si>
  <si>
    <t>02/18/1980</t>
  </si>
  <si>
    <t>02/24/1974</t>
  </si>
  <si>
    <t>03/25/1989</t>
  </si>
  <si>
    <t>12/12/1973</t>
  </si>
  <si>
    <t>09/02/1996</t>
  </si>
  <si>
    <t>03/31/1979</t>
  </si>
  <si>
    <t>07/01/1978</t>
  </si>
  <si>
    <t>08/29/1963</t>
  </si>
  <si>
    <t>06/18/1961</t>
  </si>
  <si>
    <t>04/08/1993</t>
  </si>
  <si>
    <t>12/16/1946</t>
  </si>
  <si>
    <t>04/28/1980</t>
  </si>
  <si>
    <t>05/12/1986</t>
  </si>
  <si>
    <t>02/05/1997</t>
  </si>
  <si>
    <t>08/22/1965</t>
  </si>
  <si>
    <t>11/23/1964</t>
  </si>
  <si>
    <t>05/27/1966</t>
  </si>
  <si>
    <t>09/07/1937</t>
  </si>
  <si>
    <t>03/08/1952</t>
  </si>
  <si>
    <t>05/29/1949</t>
  </si>
  <si>
    <t>03/21/1974</t>
  </si>
  <si>
    <t>12/02/1959</t>
  </si>
  <si>
    <t>12/03/1954</t>
  </si>
  <si>
    <t>08/11/1945</t>
  </si>
  <si>
    <t>01/09/1987</t>
  </si>
  <si>
    <t>03/09/1973</t>
  </si>
  <si>
    <t>01/04/1948</t>
  </si>
  <si>
    <t>07/15/1958</t>
  </si>
  <si>
    <t>09/22/1970</t>
  </si>
  <si>
    <t>10/20/1954</t>
  </si>
  <si>
    <t>04/13/1981</t>
  </si>
  <si>
    <t>01/27/1966</t>
  </si>
  <si>
    <t>02/21/1993</t>
  </si>
  <si>
    <t>02/14/1984</t>
  </si>
  <si>
    <t>02/08/1962</t>
  </si>
  <si>
    <t>01/19/1953</t>
  </si>
  <si>
    <t>10/17/1974</t>
  </si>
  <si>
    <t>11/10/1989</t>
  </si>
  <si>
    <t>04/03/1948</t>
  </si>
  <si>
    <t>09/01/1994</t>
  </si>
  <si>
    <t>07/03/1988</t>
  </si>
  <si>
    <t>08/07/1975</t>
  </si>
  <si>
    <t>03/21/1976</t>
  </si>
  <si>
    <t>08/04/1971</t>
  </si>
  <si>
    <t>08/18/1979</t>
  </si>
  <si>
    <t>11/10/1970</t>
  </si>
  <si>
    <t>02/25/1987</t>
  </si>
  <si>
    <t>05/18/1986</t>
  </si>
  <si>
    <t>03/24/1958</t>
  </si>
  <si>
    <t>07/12/1979</t>
  </si>
  <si>
    <t>08/01/1978</t>
  </si>
  <si>
    <t>01/13/1962</t>
  </si>
  <si>
    <t>10/22/1952</t>
  </si>
  <si>
    <t>02/08/1972</t>
  </si>
  <si>
    <t>05/22/1958</t>
  </si>
  <si>
    <t>03/30/1933</t>
  </si>
  <si>
    <t>11/09/1993</t>
  </si>
  <si>
    <t>11/22/1959</t>
  </si>
  <si>
    <t>07/22/1979</t>
  </si>
  <si>
    <t>05/11/1979</t>
  </si>
  <si>
    <t>04/04/1959</t>
  </si>
  <si>
    <t>10/01/1968</t>
  </si>
  <si>
    <t>08/03/1964</t>
  </si>
  <si>
    <t>03/19/1938</t>
  </si>
  <si>
    <t>08/27/1961</t>
  </si>
  <si>
    <t>01/26/1981</t>
  </si>
  <si>
    <t>08/31/1960</t>
  </si>
  <si>
    <t>11/12/1967</t>
  </si>
  <si>
    <t>10/14/1952</t>
  </si>
  <si>
    <t>12/12/1966</t>
  </si>
  <si>
    <t>10/06/1972</t>
  </si>
  <si>
    <t>02/28/1954</t>
  </si>
  <si>
    <t>02/17/1960</t>
  </si>
  <si>
    <t>04/23/1964</t>
  </si>
  <si>
    <t>11/01/1957</t>
  </si>
  <si>
    <t>04/24/1950</t>
  </si>
  <si>
    <t>03/20/1949</t>
  </si>
  <si>
    <t>03/22/1948</t>
  </si>
  <si>
    <t>10/08/1957</t>
  </si>
  <si>
    <t>06/06/1971</t>
  </si>
  <si>
    <t>08/25/1952</t>
  </si>
  <si>
    <t>06/17/1941</t>
  </si>
  <si>
    <t>05/22/1962</t>
  </si>
  <si>
    <t>09/04/1952</t>
  </si>
  <si>
    <t>06/04/1954</t>
  </si>
  <si>
    <t>02/27/1982</t>
  </si>
  <si>
    <t>08/26/1963</t>
  </si>
  <si>
    <t>08/02/1970</t>
  </si>
  <si>
    <t>06/07/1957</t>
  </si>
  <si>
    <t>07/22/1950</t>
  </si>
  <si>
    <t>11/05/1977</t>
  </si>
  <si>
    <t>01/01/1962</t>
  </si>
  <si>
    <t>11/08/1980</t>
  </si>
  <si>
    <t>06/30/1993</t>
  </si>
  <si>
    <t>06/16/1971</t>
  </si>
  <si>
    <t>03/08/1974</t>
  </si>
  <si>
    <t>10/25/1956</t>
  </si>
  <si>
    <t>01/10/1968</t>
  </si>
  <si>
    <t>08/20/1944</t>
  </si>
  <si>
    <t>01/19/1942</t>
  </si>
  <si>
    <t>08/10/1968</t>
  </si>
  <si>
    <t>05/10/1927</t>
  </si>
  <si>
    <t>10/11/1955</t>
  </si>
  <si>
    <t>01/01/1966</t>
  </si>
  <si>
    <t>06/25/1966</t>
  </si>
  <si>
    <t>11/11/1962</t>
  </si>
  <si>
    <t>05/26/1961</t>
  </si>
  <si>
    <t>04/26/1976</t>
  </si>
  <si>
    <t>04/07/1970</t>
  </si>
  <si>
    <t>06/03/1965</t>
  </si>
  <si>
    <t>12/11/1997</t>
  </si>
  <si>
    <t>07/26/1961</t>
  </si>
  <si>
    <t>02/24/1982</t>
  </si>
  <si>
    <t>07/12/1973</t>
  </si>
  <si>
    <t>08/08/1955</t>
  </si>
  <si>
    <t>02/10/1954</t>
  </si>
  <si>
    <t>05/16/1995</t>
  </si>
  <si>
    <t>11/24/1978</t>
  </si>
  <si>
    <t>10/01/1932</t>
  </si>
  <si>
    <t>06/02/1957</t>
  </si>
  <si>
    <t>06/20/1990</t>
  </si>
  <si>
    <t>09/27/1983</t>
  </si>
  <si>
    <t>11/13/1969</t>
  </si>
  <si>
    <t>04/26/1987</t>
  </si>
  <si>
    <t>08/27/1968</t>
  </si>
  <si>
    <t>12/14/1979</t>
  </si>
  <si>
    <t>05/11/1953</t>
  </si>
  <si>
    <t>11/19/1971</t>
  </si>
  <si>
    <t>11/21/1996</t>
  </si>
  <si>
    <t>10/06/1946</t>
  </si>
  <si>
    <t>02/02/1954</t>
  </si>
  <si>
    <t>01/15/1984</t>
  </si>
  <si>
    <t>06/15/1946</t>
  </si>
  <si>
    <t>01/13/1987</t>
  </si>
  <si>
    <t>11/14/1987</t>
  </si>
  <si>
    <t>08/12/1952</t>
  </si>
  <si>
    <t>03/01/1974</t>
  </si>
  <si>
    <t>05/18/1971</t>
  </si>
  <si>
    <t>01/05/1958</t>
  </si>
  <si>
    <t>07/31/1963</t>
  </si>
  <si>
    <t>11/02/1986</t>
  </si>
  <si>
    <t>04/27/1961</t>
  </si>
  <si>
    <t>10/27/1959</t>
  </si>
  <si>
    <t>08/09/1975</t>
  </si>
  <si>
    <t>08/09/1983</t>
  </si>
  <si>
    <t>02/15/1974</t>
  </si>
  <si>
    <t>03/26/1949</t>
  </si>
  <si>
    <t>05/11/1956</t>
  </si>
  <si>
    <t>06/08/1974</t>
  </si>
  <si>
    <t>12/30/1973</t>
  </si>
  <si>
    <t>10/11/1975</t>
  </si>
  <si>
    <t>05/14/1954</t>
  </si>
  <si>
    <t>03/11/1941</t>
  </si>
  <si>
    <t>10/03/1961</t>
  </si>
  <si>
    <t>03/21/1966</t>
  </si>
  <si>
    <t>02/28/1963</t>
  </si>
  <si>
    <t>05/08/1961</t>
  </si>
  <si>
    <t>07/10/1963</t>
  </si>
  <si>
    <t>02/19/1959</t>
  </si>
  <si>
    <t>09/28/1969</t>
  </si>
  <si>
    <t>01/02/1949</t>
  </si>
  <si>
    <t>01/12/1986</t>
  </si>
  <si>
    <t>01/07/1981</t>
  </si>
  <si>
    <t>06/17/1966</t>
  </si>
  <si>
    <t>08/31/1969</t>
  </si>
  <si>
    <t>06/11/1964</t>
  </si>
  <si>
    <t>06/02/1987</t>
  </si>
  <si>
    <t>02/20/1992</t>
  </si>
  <si>
    <t>06/22/1963</t>
  </si>
  <si>
    <t>07/20/1953</t>
  </si>
  <si>
    <t>08/04/1942</t>
  </si>
  <si>
    <t>12/20/1948</t>
  </si>
  <si>
    <t>04/22/1978</t>
  </si>
  <si>
    <t>07/14/1979</t>
  </si>
  <si>
    <t>01/19/1967</t>
  </si>
  <si>
    <t>08/16/1974</t>
  </si>
  <si>
    <t>04/14/1952</t>
  </si>
  <si>
    <t>04/09/1960</t>
  </si>
  <si>
    <t>11/28/1971</t>
  </si>
  <si>
    <t>10/11/1974</t>
  </si>
  <si>
    <t>06/07/1955</t>
  </si>
  <si>
    <t>12/24/1958</t>
  </si>
  <si>
    <t>07/23/1956</t>
  </si>
  <si>
    <t>09/14/1974</t>
  </si>
  <si>
    <t>06/14/1955</t>
  </si>
  <si>
    <t>08/03/1944</t>
  </si>
  <si>
    <t>06/23/1963</t>
  </si>
  <si>
    <t>02/12/1962</t>
  </si>
  <si>
    <t>02/18/1968</t>
  </si>
  <si>
    <t>12/03/1946</t>
  </si>
  <si>
    <t>01/17/1973</t>
  </si>
  <si>
    <t>12/12/1952</t>
  </si>
  <si>
    <t>02/16/1965</t>
  </si>
  <si>
    <t>02/14/1940</t>
  </si>
  <si>
    <t>02/25/1940</t>
  </si>
  <si>
    <t>08/01/1967</t>
  </si>
  <si>
    <t>09/06/1960</t>
  </si>
  <si>
    <t>02/03/1959</t>
  </si>
  <si>
    <t>05/12/1967</t>
  </si>
  <si>
    <t>08/11/1972</t>
  </si>
  <si>
    <t>05/06/1958</t>
  </si>
  <si>
    <t>06/09/1979</t>
  </si>
  <si>
    <t>09/02/1969</t>
  </si>
  <si>
    <t>10/26/1969</t>
  </si>
  <si>
    <t>02/20/1963</t>
  </si>
  <si>
    <t>08/02/1961</t>
  </si>
  <si>
    <t>09/25/1961</t>
  </si>
  <si>
    <t>06/17/1970</t>
  </si>
  <si>
    <t>08/24/1967</t>
  </si>
  <si>
    <t>09/08/1974</t>
  </si>
  <si>
    <t>12/14/1978</t>
  </si>
  <si>
    <t>09/06/1956</t>
  </si>
  <si>
    <t>05/08/1960</t>
  </si>
  <si>
    <t>06/10/1984</t>
  </si>
  <si>
    <t>06/23/1948</t>
  </si>
  <si>
    <t>03/11/1990</t>
  </si>
  <si>
    <t>12/02/1962</t>
  </si>
  <si>
    <t>04/05/1981</t>
  </si>
  <si>
    <t>04/29/1961</t>
  </si>
  <si>
    <t>06/14/1976</t>
  </si>
  <si>
    <t>06/02/1962</t>
  </si>
  <si>
    <t>01/30/1956</t>
  </si>
  <si>
    <t>06/23/1959</t>
  </si>
  <si>
    <t>08/07/1969</t>
  </si>
  <si>
    <t>05/25/1976</t>
  </si>
  <si>
    <t>10/14/1962</t>
  </si>
  <si>
    <t>08/02/1953</t>
  </si>
  <si>
    <t>10/22/1941</t>
  </si>
  <si>
    <t>11/09/1972</t>
  </si>
  <si>
    <t>03/28/1973</t>
  </si>
  <si>
    <t>08/01/1970</t>
  </si>
  <si>
    <t>07/01/1958</t>
  </si>
  <si>
    <t>02/05/1961</t>
  </si>
  <si>
    <t>10/04/1959</t>
  </si>
  <si>
    <t>11/16/1981</t>
  </si>
  <si>
    <t>10/16/1980</t>
  </si>
  <si>
    <t>04/29/1974</t>
  </si>
  <si>
    <t>07/16/1995</t>
  </si>
  <si>
    <t>11/27/1971</t>
  </si>
  <si>
    <t>12/10/1946</t>
  </si>
  <si>
    <t>04/13/1937</t>
  </si>
  <si>
    <t>10/08/1947</t>
  </si>
  <si>
    <t>12/10/1952</t>
  </si>
  <si>
    <t>09/16/1969</t>
  </si>
  <si>
    <t>08/24/1950</t>
  </si>
  <si>
    <t>06/04/1965</t>
  </si>
  <si>
    <t>10/15/1950</t>
  </si>
  <si>
    <t>04/21/1958</t>
  </si>
  <si>
    <t>02/01/1973</t>
  </si>
  <si>
    <t>11/25/1973</t>
  </si>
  <si>
    <t>01/05/1952</t>
  </si>
  <si>
    <t>11/30/1982</t>
  </si>
  <si>
    <t>02/20/1971</t>
  </si>
  <si>
    <t>09/21/1966</t>
  </si>
  <si>
    <t>10/05/1988</t>
  </si>
  <si>
    <t>12/13/1955</t>
  </si>
  <si>
    <t>11/09/1980</t>
  </si>
  <si>
    <t>01/18/1972</t>
  </si>
  <si>
    <t>09/13/1964</t>
  </si>
  <si>
    <t>07/01/1965</t>
  </si>
  <si>
    <t>12/04/1971</t>
  </si>
  <si>
    <t>05/23/1957</t>
  </si>
  <si>
    <t>03/18/1960</t>
  </si>
  <si>
    <t>03/18/1954</t>
  </si>
  <si>
    <t>02/05/1995</t>
  </si>
  <si>
    <t>10/30/1929</t>
  </si>
  <si>
    <t>08/16/1986</t>
  </si>
  <si>
    <t>11/29/1993</t>
  </si>
  <si>
    <t>07/18/1989</t>
  </si>
  <si>
    <t>12/22/1982</t>
  </si>
  <si>
    <t>03/23/1951</t>
  </si>
  <si>
    <t>02/08/1960</t>
  </si>
  <si>
    <t>08/28/1971</t>
  </si>
  <si>
    <t>01/05/1980</t>
  </si>
  <si>
    <t>11/21/1975</t>
  </si>
  <si>
    <t>03/14/1965</t>
  </si>
  <si>
    <t>06/21/1977</t>
  </si>
  <si>
    <t>09/09/1967</t>
  </si>
  <si>
    <t>01/18/1941</t>
  </si>
  <si>
    <t>05/12/1956</t>
  </si>
  <si>
    <t>12/30/1923</t>
  </si>
  <si>
    <t>01/04/1975</t>
  </si>
  <si>
    <t>05/16/1970</t>
  </si>
  <si>
    <t>08/25/1969</t>
  </si>
  <si>
    <t>02/06/1944</t>
  </si>
  <si>
    <t>08/07/1961</t>
  </si>
  <si>
    <t>01/26/1944</t>
  </si>
  <si>
    <t>11/20/1969</t>
  </si>
  <si>
    <t>03/28/1980</t>
  </si>
  <si>
    <t>10/02/1987</t>
  </si>
  <si>
    <t>05/12/1991</t>
  </si>
  <si>
    <t>03/06/1949</t>
  </si>
  <si>
    <t>07/24/1945</t>
  </si>
  <si>
    <t>05/04/1962</t>
  </si>
  <si>
    <t>07/13/1954</t>
  </si>
  <si>
    <t>08/29/1981</t>
  </si>
  <si>
    <t>07/06/1956</t>
  </si>
  <si>
    <t>06/26/1952</t>
  </si>
  <si>
    <t>03/18/1973</t>
  </si>
  <si>
    <t>10/12/1953</t>
  </si>
  <si>
    <t>12/07/1959</t>
  </si>
  <si>
    <t>08/04/1950</t>
  </si>
  <si>
    <t>01/25/1965</t>
  </si>
  <si>
    <t>12/05/1982</t>
  </si>
  <si>
    <t>09/05/1978</t>
  </si>
  <si>
    <t>08/15/1989</t>
  </si>
  <si>
    <t>03/13/1960</t>
  </si>
  <si>
    <t>03/06/1959</t>
  </si>
  <si>
    <t>09/28/1986</t>
  </si>
  <si>
    <t>11/06/1990</t>
  </si>
  <si>
    <t>05/23/1959</t>
  </si>
  <si>
    <t>10/19/1972</t>
  </si>
  <si>
    <t>10/19/1977</t>
  </si>
  <si>
    <t>09/22/1957</t>
  </si>
  <si>
    <t>10/10/1948</t>
  </si>
  <si>
    <t>10/25/1974</t>
  </si>
  <si>
    <t>06/07/1956</t>
  </si>
  <si>
    <t>07/11/1961</t>
  </si>
  <si>
    <t>06/04/1985</t>
  </si>
  <si>
    <t>11/15/1975</t>
  </si>
  <si>
    <t>10/27/1967</t>
  </si>
  <si>
    <t>12/24/1979</t>
  </si>
  <si>
    <t>10/26/1940</t>
  </si>
  <si>
    <t>11/30/1941</t>
  </si>
  <si>
    <t>11/12/1982</t>
  </si>
  <si>
    <t>06/07/1945</t>
  </si>
  <si>
    <t>12/26/1957</t>
  </si>
  <si>
    <t>08/12/1970</t>
  </si>
  <si>
    <t>01/14/1970</t>
  </si>
  <si>
    <t>07/02/1975</t>
  </si>
  <si>
    <t>02/23/1980</t>
  </si>
  <si>
    <t>01/08/1956</t>
  </si>
  <si>
    <t>06/04/1953</t>
  </si>
  <si>
    <t>10/26/1945</t>
  </si>
  <si>
    <t>07/04/1965</t>
  </si>
  <si>
    <t>08/11/1956</t>
  </si>
  <si>
    <t>06/01/1981</t>
  </si>
  <si>
    <t>04/19/1950</t>
  </si>
  <si>
    <t>05/11/1973</t>
  </si>
  <si>
    <t>08/13/1985</t>
  </si>
  <si>
    <t>12/19/1982</t>
  </si>
  <si>
    <t>07/26/1955</t>
  </si>
  <si>
    <t>12/05/1949</t>
  </si>
  <si>
    <t>08/10/1977</t>
  </si>
  <si>
    <t>12/11/1985</t>
  </si>
  <si>
    <t>02/23/1982</t>
  </si>
  <si>
    <t>07/15/1955</t>
  </si>
  <si>
    <t>01/18/1978</t>
  </si>
  <si>
    <t>03/28/1962</t>
  </si>
  <si>
    <t>01/26/1949</t>
  </si>
  <si>
    <t>12/30/1977</t>
  </si>
  <si>
    <t>12/09/1988</t>
  </si>
  <si>
    <t>11/13/1947</t>
  </si>
  <si>
    <t>09/04/1980</t>
  </si>
  <si>
    <t>09/19/1956</t>
  </si>
  <si>
    <t>07/18/1984</t>
  </si>
  <si>
    <t>08/18/1950</t>
  </si>
  <si>
    <t>07/14/1958</t>
  </si>
  <si>
    <t>07/01/1979</t>
  </si>
  <si>
    <t>12/27/1960</t>
  </si>
  <si>
    <t>05/13/1975</t>
  </si>
  <si>
    <t>01/20/1941</t>
  </si>
  <si>
    <t>11/09/1941</t>
  </si>
  <si>
    <t>02/12/1970</t>
  </si>
  <si>
    <t>07/03/1973</t>
  </si>
  <si>
    <t>09/12/1973</t>
  </si>
  <si>
    <t>07/12/1951</t>
  </si>
  <si>
    <t>11/06/1941</t>
  </si>
  <si>
    <t>12/06/1940</t>
  </si>
  <si>
    <t>03/04/1988</t>
  </si>
  <si>
    <t>02/16/1939</t>
  </si>
  <si>
    <t>04/28/1967</t>
  </si>
  <si>
    <t>07/16/1947</t>
  </si>
  <si>
    <t>09/30/1940</t>
  </si>
  <si>
    <t>01/05/1975</t>
  </si>
  <si>
    <t>05/23/1946</t>
  </si>
  <si>
    <t>06/18/1958</t>
  </si>
  <si>
    <t>06/10/1965</t>
  </si>
  <si>
    <t>04/16/1971</t>
  </si>
  <si>
    <t>03/21/1950</t>
  </si>
  <si>
    <t>02/08/1976</t>
  </si>
  <si>
    <t>04/11/1965</t>
  </si>
  <si>
    <t>06/25/1955</t>
  </si>
  <si>
    <t>11/21/1947</t>
  </si>
  <si>
    <t>08/30/1967</t>
  </si>
  <si>
    <t>09/19/1950</t>
  </si>
  <si>
    <t>10/14/1963</t>
  </si>
  <si>
    <t>10/15/1957</t>
  </si>
  <si>
    <t>01/11/1974</t>
  </si>
  <si>
    <t>07/29/1988</t>
  </si>
  <si>
    <t>05/13/1973</t>
  </si>
  <si>
    <t>06/15/1958</t>
  </si>
  <si>
    <t>11/05/1954</t>
  </si>
  <si>
    <t>08/05/1973</t>
  </si>
  <si>
    <t>12/24/1930</t>
  </si>
  <si>
    <t>10/07/1963</t>
  </si>
  <si>
    <t>01/03/1993</t>
  </si>
  <si>
    <t>01/12/1957</t>
  </si>
  <si>
    <t>08/12/1993</t>
  </si>
  <si>
    <t>07/16/1972</t>
  </si>
  <si>
    <t>09/01/1967</t>
  </si>
  <si>
    <t>02/10/1972</t>
  </si>
  <si>
    <t>05/29/1965</t>
  </si>
  <si>
    <t>05/15/1947</t>
  </si>
  <si>
    <t>12/24/1965</t>
  </si>
  <si>
    <t>03/16/1968</t>
  </si>
  <si>
    <t>05/11/1993</t>
  </si>
  <si>
    <t>10/24/1953</t>
  </si>
  <si>
    <t>04/06/1942</t>
  </si>
  <si>
    <t>11/27/1981</t>
  </si>
  <si>
    <t>08/31/1940</t>
  </si>
  <si>
    <t>01/16/1979</t>
  </si>
  <si>
    <t>06/03/1953</t>
  </si>
  <si>
    <t>09/26/1971</t>
  </si>
  <si>
    <t>07/20/1946</t>
  </si>
  <si>
    <t>03/30/1982</t>
  </si>
  <si>
    <t>11/01/1989</t>
  </si>
  <si>
    <t>05/21/1970</t>
  </si>
  <si>
    <t>12/27/1959</t>
  </si>
  <si>
    <t>05/17/1967</t>
  </si>
  <si>
    <t>10/05/1963</t>
  </si>
  <si>
    <t>02/19/1978</t>
  </si>
  <si>
    <t>12/12/1961</t>
  </si>
  <si>
    <t>06/05/1979</t>
  </si>
  <si>
    <t>11/08/1976</t>
  </si>
  <si>
    <t>02/21/1961</t>
  </si>
  <si>
    <t>04/30/1979</t>
  </si>
  <si>
    <t>01/14/1954</t>
  </si>
  <si>
    <t>06/12/1987</t>
  </si>
  <si>
    <t>03/27/1989</t>
  </si>
  <si>
    <t>10/09/1939</t>
  </si>
  <si>
    <t>01/06/1968</t>
  </si>
  <si>
    <t>07/30/1966</t>
  </si>
  <si>
    <t>06/29/1964</t>
  </si>
  <si>
    <t>09/11/1954</t>
  </si>
  <si>
    <t>03/30/1952</t>
  </si>
  <si>
    <t>08/31/1962</t>
  </si>
  <si>
    <t>02/05/1947</t>
  </si>
  <si>
    <t>03/27/1992</t>
  </si>
  <si>
    <t>09/17/1972</t>
  </si>
  <si>
    <t>04/09/1981</t>
  </si>
  <si>
    <t>02/10/1957</t>
  </si>
  <si>
    <t>12/19/1979</t>
  </si>
  <si>
    <t>09/17/1961</t>
  </si>
  <si>
    <t>06/03/1979</t>
  </si>
  <si>
    <t>05/01/1996</t>
  </si>
  <si>
    <t>10/26/1987</t>
  </si>
  <si>
    <t>08/06/1986</t>
  </si>
  <si>
    <t>09/02/1967</t>
  </si>
  <si>
    <t>11/29/1979</t>
  </si>
  <si>
    <t>04/09/1992</t>
  </si>
  <si>
    <t>02/09/1952</t>
  </si>
  <si>
    <t>03/23/1962</t>
  </si>
  <si>
    <t>08/16/1981</t>
  </si>
  <si>
    <t>09/11/1966</t>
  </si>
  <si>
    <t>08/26/1962</t>
  </si>
  <si>
    <t>06/30/1960</t>
  </si>
  <si>
    <t>03/20/1959</t>
  </si>
  <si>
    <t>07/19/1962</t>
  </si>
  <si>
    <t>12/11/1949</t>
  </si>
  <si>
    <t>04/06/1962</t>
  </si>
  <si>
    <t>04/17/1979</t>
  </si>
  <si>
    <t>12/19/1967</t>
  </si>
  <si>
    <t>12/30/1950</t>
  </si>
  <si>
    <t>10/19/1954</t>
  </si>
  <si>
    <t>06/27/1944</t>
  </si>
  <si>
    <t>09/10/1968</t>
  </si>
  <si>
    <t>05/15/1979</t>
  </si>
  <si>
    <t>01/19/1982</t>
  </si>
  <si>
    <t>02/11/1985</t>
  </si>
  <si>
    <t>10/20/1976</t>
  </si>
  <si>
    <t>11/16/1962</t>
  </si>
  <si>
    <t>08/04/1985</t>
  </si>
  <si>
    <t>09/01/1980</t>
  </si>
  <si>
    <t>02/03/1970</t>
  </si>
  <si>
    <t>12/27/1963</t>
  </si>
  <si>
    <t>09/16/1941</t>
  </si>
  <si>
    <t>12/17/1962</t>
  </si>
  <si>
    <t>08/14/1982</t>
  </si>
  <si>
    <t>11/13/1952</t>
  </si>
  <si>
    <t>02/13/1947</t>
  </si>
  <si>
    <t>08/30/1947</t>
  </si>
  <si>
    <t>07/15/1951</t>
  </si>
  <si>
    <t>11/24/1984</t>
  </si>
  <si>
    <t>02/07/1971</t>
  </si>
  <si>
    <t>11/25/1968</t>
  </si>
  <si>
    <t>03/11/1950</t>
  </si>
  <si>
    <t>04/22/1993</t>
  </si>
  <si>
    <t>01/01/1987</t>
  </si>
  <si>
    <t>05/10/1990</t>
  </si>
  <si>
    <t>07/20/1964</t>
  </si>
  <si>
    <t>02/12/1969</t>
  </si>
  <si>
    <t>03/24/1970</t>
  </si>
  <si>
    <t>11/30/1964</t>
  </si>
  <si>
    <t>03/06/1942</t>
  </si>
  <si>
    <t>02/10/1969</t>
  </si>
  <si>
    <t>09/29/1923</t>
  </si>
  <si>
    <t>08/14/1964</t>
  </si>
  <si>
    <t>01/18/1982</t>
  </si>
  <si>
    <t>12/25/1962</t>
  </si>
  <si>
    <t>12/29/1986</t>
  </si>
  <si>
    <t>12/09/1964</t>
  </si>
  <si>
    <t>09/19/1941</t>
  </si>
  <si>
    <t>10/08/1981</t>
  </si>
  <si>
    <t>06/14/1960</t>
  </si>
  <si>
    <t>10/08/1950</t>
  </si>
  <si>
    <t>09/13/1981</t>
  </si>
  <si>
    <t>07/01/1961</t>
  </si>
  <si>
    <t>01/23/1971</t>
  </si>
  <si>
    <t>08/28/1979</t>
  </si>
  <si>
    <t>12/01/1969</t>
  </si>
  <si>
    <t>06/02/1977</t>
  </si>
  <si>
    <t>11/21/1981</t>
  </si>
  <si>
    <t>08/24/1949</t>
  </si>
  <si>
    <t>01/18/1947</t>
  </si>
  <si>
    <t>02/24/1942</t>
  </si>
  <si>
    <t>01/03/1942</t>
  </si>
  <si>
    <t>09/05/1969</t>
  </si>
  <si>
    <t>08/21/1947</t>
  </si>
  <si>
    <t>08/30/1959</t>
  </si>
  <si>
    <t>09/28/1965</t>
  </si>
  <si>
    <t>10/29/1969</t>
  </si>
  <si>
    <t>12/31/1941</t>
  </si>
  <si>
    <t>09/22/1942</t>
  </si>
  <si>
    <t>02/08/1993</t>
  </si>
  <si>
    <t>03/05/1994</t>
  </si>
  <si>
    <t>07/20/1989</t>
  </si>
  <si>
    <t>05/02/1982</t>
  </si>
  <si>
    <t>12/01/1950</t>
  </si>
  <si>
    <t>02/08/1974</t>
  </si>
  <si>
    <t>09/02/1997</t>
  </si>
  <si>
    <t>12/15/1949</t>
  </si>
  <si>
    <t>08/15/1990</t>
  </si>
  <si>
    <t>03/14/1971</t>
  </si>
  <si>
    <t>01/30/1985</t>
  </si>
  <si>
    <t>01/18/1956</t>
  </si>
  <si>
    <t>08/01/1989</t>
  </si>
  <si>
    <t>02/21/1960</t>
  </si>
  <si>
    <t>03/28/1948</t>
  </si>
  <si>
    <t>06/11/1966</t>
  </si>
  <si>
    <t>01/05/1955</t>
  </si>
  <si>
    <t>04/17/1990</t>
  </si>
  <si>
    <t>10/13/1958</t>
  </si>
  <si>
    <t>06/21/1961</t>
  </si>
  <si>
    <t>04/13/1994</t>
  </si>
  <si>
    <t>12/20/1962</t>
  </si>
  <si>
    <t>12/06/1969</t>
  </si>
  <si>
    <t>10/01/1952</t>
  </si>
  <si>
    <t>10/03/1976</t>
  </si>
  <si>
    <t>06/06/1940</t>
  </si>
  <si>
    <t>10/26/1974</t>
  </si>
  <si>
    <t>07/20/1961</t>
  </si>
  <si>
    <t>07/05/1968</t>
  </si>
  <si>
    <t>09/15/1957</t>
  </si>
  <si>
    <t>04/22/1990</t>
  </si>
  <si>
    <t>06/02/1989</t>
  </si>
  <si>
    <t>12/24/1984</t>
  </si>
  <si>
    <t>11/07/1967</t>
  </si>
  <si>
    <t>12/06/1964</t>
  </si>
  <si>
    <t>12/30/1963</t>
  </si>
  <si>
    <t>12/07/1965</t>
  </si>
  <si>
    <t>07/13/1953</t>
  </si>
  <si>
    <t>06/29/1968</t>
  </si>
  <si>
    <t>06/26/1949</t>
  </si>
  <si>
    <t>03/29/1984</t>
  </si>
  <si>
    <t>04/30/1985</t>
  </si>
  <si>
    <t>02/05/1992</t>
  </si>
  <si>
    <t>12/15/1991</t>
  </si>
  <si>
    <t>04/09/1984</t>
  </si>
  <si>
    <t>04/23/1986</t>
  </si>
  <si>
    <t>01/03/1958</t>
  </si>
  <si>
    <t>02/24/1991</t>
  </si>
  <si>
    <t>06/21/1970</t>
  </si>
  <si>
    <t>05/08/1945</t>
  </si>
  <si>
    <t>02/03/1966</t>
  </si>
  <si>
    <t>01/15/1956</t>
  </si>
  <si>
    <t>01/15/1948</t>
  </si>
  <si>
    <t>02/19/1990</t>
  </si>
  <si>
    <t>12/30/1951</t>
  </si>
  <si>
    <t>01/07/1960</t>
  </si>
  <si>
    <t>12/08/1970</t>
  </si>
  <si>
    <t>04/11/1977</t>
  </si>
  <si>
    <t>10/20/1993</t>
  </si>
  <si>
    <t>04/13/1962</t>
  </si>
  <si>
    <t>06/21/1976</t>
  </si>
  <si>
    <t>01/09/1975</t>
  </si>
  <si>
    <t>09/19/1990</t>
  </si>
  <si>
    <t>03/06/1964</t>
  </si>
  <si>
    <t>05/14/1975</t>
  </si>
  <si>
    <t>03/18/1994</t>
  </si>
  <si>
    <t>08/03/1972</t>
  </si>
  <si>
    <t>07/20/1984</t>
  </si>
  <si>
    <t>10/02/1986</t>
  </si>
  <si>
    <t>11/07/1956</t>
  </si>
  <si>
    <t>12/26/1983</t>
  </si>
  <si>
    <t>01/24/1992</t>
  </si>
  <si>
    <t>05/19/1977</t>
  </si>
  <si>
    <t>06/14/1965</t>
  </si>
  <si>
    <t>07/07/1959</t>
  </si>
  <si>
    <t>11/07/1964</t>
  </si>
  <si>
    <t>07/29/1984</t>
  </si>
  <si>
    <t>04/20/1994</t>
  </si>
  <si>
    <t>11/11/1961</t>
  </si>
  <si>
    <t>03/06/1991</t>
  </si>
  <si>
    <t>05/07/1972</t>
  </si>
  <si>
    <t>11/29/1981</t>
  </si>
  <si>
    <t>07/19/1959</t>
  </si>
  <si>
    <t>03/11/1961</t>
  </si>
  <si>
    <t>07/28/1975</t>
  </si>
  <si>
    <t>06/05/1954</t>
  </si>
  <si>
    <t>06/19/1939</t>
  </si>
  <si>
    <t>11/29/1963</t>
  </si>
  <si>
    <t>08/20/1978</t>
  </si>
  <si>
    <t>02/08/1982</t>
  </si>
  <si>
    <t>11/05/1975</t>
  </si>
  <si>
    <t>11/02/1942</t>
  </si>
  <si>
    <t>03/28/1986</t>
  </si>
  <si>
    <t>10/21/1988</t>
  </si>
  <si>
    <t>03/15/1962</t>
  </si>
  <si>
    <t>05/30/1981</t>
  </si>
  <si>
    <t>11/22/1976</t>
  </si>
  <si>
    <t>04/01/1993</t>
  </si>
  <si>
    <t>08/10/1991</t>
  </si>
  <si>
    <t>10/03/1950</t>
  </si>
  <si>
    <t>09/08/1991</t>
  </si>
  <si>
    <t>11/26/1951</t>
  </si>
  <si>
    <t>06/11/1978</t>
  </si>
  <si>
    <t>04/07/1945</t>
  </si>
  <si>
    <t>08/22/1987</t>
  </si>
  <si>
    <t>12/30/1988</t>
  </si>
  <si>
    <t>05/04/1965</t>
  </si>
  <si>
    <t>03/02/1987</t>
  </si>
  <si>
    <t>03/09/1968</t>
  </si>
  <si>
    <t>09/15/1964</t>
  </si>
  <si>
    <t>11/18/1984</t>
  </si>
  <si>
    <t>10/30/1963</t>
  </si>
  <si>
    <t>05/05/1991</t>
  </si>
  <si>
    <t>01/25/1957</t>
  </si>
  <si>
    <t>01/23/1991</t>
  </si>
  <si>
    <t>11/14/1977</t>
  </si>
  <si>
    <t>06/29/1960</t>
  </si>
  <si>
    <t>05/27/1989</t>
  </si>
  <si>
    <t>02/22/1969</t>
  </si>
  <si>
    <t>08/26/1969</t>
  </si>
  <si>
    <t>01/16/1987</t>
  </si>
  <si>
    <t>10/06/1968</t>
  </si>
  <si>
    <t>12/20/1943</t>
  </si>
  <si>
    <t>10/10/1975</t>
  </si>
  <si>
    <t>07/21/1984</t>
  </si>
  <si>
    <t>07/18/1992</t>
  </si>
  <si>
    <t>01/13/1952</t>
  </si>
  <si>
    <t>08/02/1949</t>
  </si>
  <si>
    <t>06/29/1987</t>
  </si>
  <si>
    <t>09/06/1983</t>
  </si>
  <si>
    <t>06/08/1982</t>
  </si>
  <si>
    <t>07/15/1971</t>
  </si>
  <si>
    <t>11/10/1981</t>
  </si>
  <si>
    <t>07/20/1990</t>
  </si>
  <si>
    <t>09/21/1987</t>
  </si>
  <si>
    <t>04/30/1959</t>
  </si>
  <si>
    <t>04/17/1991</t>
  </si>
  <si>
    <t>02/12/1983</t>
  </si>
  <si>
    <t>04/16/1985</t>
  </si>
  <si>
    <t>10/09/1994</t>
  </si>
  <si>
    <t>11/06/1977</t>
  </si>
  <si>
    <t>02/19/1980</t>
  </si>
  <si>
    <t>05/09/1992</t>
  </si>
  <si>
    <t>01/25/1988</t>
  </si>
  <si>
    <t>06/19/1979</t>
  </si>
  <si>
    <t>01/13/1979</t>
  </si>
  <si>
    <t>12/29/1988</t>
  </si>
  <si>
    <t>03/31/1955</t>
  </si>
  <si>
    <t>05/17/1979</t>
  </si>
  <si>
    <t>01/30/1986</t>
  </si>
  <si>
    <t>04/13/1982</t>
  </si>
  <si>
    <t>02/20/1990</t>
  </si>
  <si>
    <t>10/09/1973</t>
  </si>
  <si>
    <t>06/12/1995</t>
  </si>
  <si>
    <t>04/03/1952</t>
  </si>
  <si>
    <t>05/29/1983</t>
  </si>
  <si>
    <t>07/07/1989</t>
  </si>
  <si>
    <t>08/06/1969</t>
  </si>
  <si>
    <t>12/08/1950</t>
  </si>
  <si>
    <t>003608543J</t>
  </si>
  <si>
    <t>001588705C</t>
  </si>
  <si>
    <t>0369086C</t>
  </si>
  <si>
    <t>001638054F</t>
  </si>
  <si>
    <t>081214202G</t>
  </si>
  <si>
    <t>008770915A</t>
  </si>
  <si>
    <t>018322875I</t>
  </si>
  <si>
    <t>037233016H</t>
  </si>
  <si>
    <t>000-00-0000</t>
  </si>
  <si>
    <t>36930653F</t>
  </si>
  <si>
    <t>037247274G</t>
  </si>
  <si>
    <t>035845196B</t>
  </si>
  <si>
    <t>8095559E</t>
  </si>
  <si>
    <t>036426379I</t>
  </si>
  <si>
    <t>018423603C</t>
  </si>
  <si>
    <t>000-000-000</t>
  </si>
  <si>
    <t>006782006I</t>
  </si>
  <si>
    <t>00037311548E</t>
  </si>
  <si>
    <t>000000000000</t>
  </si>
  <si>
    <t>009376079B</t>
  </si>
  <si>
    <t>000345730G</t>
  </si>
  <si>
    <t>011044483D</t>
  </si>
  <si>
    <t>6959187D</t>
  </si>
  <si>
    <t>not available</t>
  </si>
  <si>
    <t>37069750A</t>
  </si>
  <si>
    <t>00037497882D</t>
  </si>
  <si>
    <t>036515000C</t>
  </si>
  <si>
    <t>9279334I</t>
  </si>
  <si>
    <t>18349364-C</t>
  </si>
  <si>
    <t>035334052E</t>
  </si>
  <si>
    <t>18292952-B</t>
  </si>
  <si>
    <t>003995994F</t>
  </si>
  <si>
    <t>0374509A</t>
  </si>
  <si>
    <t>006652357C</t>
  </si>
  <si>
    <t>007198027A</t>
  </si>
  <si>
    <t>005439185J</t>
  </si>
  <si>
    <t>03730222H</t>
  </si>
  <si>
    <t>037271984J</t>
  </si>
  <si>
    <t>QB989064</t>
  </si>
  <si>
    <t>032728498A</t>
  </si>
  <si>
    <t>005364197D</t>
  </si>
  <si>
    <t>04700560I</t>
  </si>
  <si>
    <t>5107693D</t>
  </si>
  <si>
    <t>037287821F</t>
  </si>
  <si>
    <t>015282490A</t>
  </si>
  <si>
    <t>37242996J</t>
  </si>
  <si>
    <t>35326768F</t>
  </si>
  <si>
    <t>00022009745F</t>
  </si>
  <si>
    <t>035464183J</t>
  </si>
  <si>
    <t>00009827849C</t>
  </si>
  <si>
    <t>003382432H</t>
  </si>
  <si>
    <t>005345600A</t>
  </si>
  <si>
    <t>1750101G</t>
  </si>
  <si>
    <t>00037540753D</t>
  </si>
  <si>
    <t>37100485E</t>
  </si>
  <si>
    <t>005098432H</t>
  </si>
  <si>
    <t>00037100008E</t>
  </si>
  <si>
    <t>37282189C</t>
  </si>
  <si>
    <t>018489081C</t>
  </si>
  <si>
    <t>001381174A</t>
  </si>
  <si>
    <t>2952457G</t>
  </si>
  <si>
    <t>001119280E</t>
  </si>
  <si>
    <t>003761746B</t>
  </si>
  <si>
    <t>009943907H</t>
  </si>
  <si>
    <t>09329375B</t>
  </si>
  <si>
    <t>00009748241I</t>
  </si>
  <si>
    <t>04191730D</t>
  </si>
  <si>
    <t>032204970B</t>
  </si>
  <si>
    <t>0058419944G</t>
  </si>
  <si>
    <t>005841994G</t>
  </si>
  <si>
    <t>037197484B</t>
  </si>
  <si>
    <t>V35891T</t>
  </si>
  <si>
    <t>037774880B</t>
  </si>
  <si>
    <t>18313267J</t>
  </si>
  <si>
    <t>001143873G</t>
  </si>
  <si>
    <t>008136303I</t>
  </si>
  <si>
    <t>008658106D</t>
  </si>
  <si>
    <t>010805220A</t>
  </si>
  <si>
    <t>7230391 A</t>
  </si>
  <si>
    <t>007347101D</t>
  </si>
  <si>
    <t>006148062A</t>
  </si>
  <si>
    <t>006680410F</t>
  </si>
  <si>
    <t>036929292F</t>
  </si>
  <si>
    <t>037176449J</t>
  </si>
  <si>
    <t>003868587B</t>
  </si>
  <si>
    <t>90286398E</t>
  </si>
  <si>
    <t>00037246468F</t>
  </si>
  <si>
    <t>008322266B</t>
  </si>
  <si>
    <t>033842670D</t>
  </si>
  <si>
    <t>008876568A</t>
  </si>
  <si>
    <t>8095488G</t>
  </si>
  <si>
    <t>036917143E</t>
  </si>
  <si>
    <t>017829404H</t>
  </si>
  <si>
    <t>015680685D</t>
  </si>
  <si>
    <t>0018167969H</t>
  </si>
  <si>
    <t>002943957H</t>
  </si>
  <si>
    <t>008808843A</t>
  </si>
  <si>
    <t>009351154B</t>
  </si>
  <si>
    <t>036526844A</t>
  </si>
  <si>
    <t>006548550A</t>
  </si>
  <si>
    <t>036668969D</t>
  </si>
  <si>
    <t>37941477E</t>
  </si>
  <si>
    <t>0009839321-01-04</t>
  </si>
  <si>
    <t>009637380I</t>
  </si>
  <si>
    <t>009349917-01-01</t>
  </si>
  <si>
    <t>007014649D</t>
  </si>
  <si>
    <t>037277809C</t>
  </si>
  <si>
    <t>012210461F</t>
  </si>
  <si>
    <t>RX32372B</t>
  </si>
  <si>
    <t>4859857H</t>
  </si>
  <si>
    <t>037401001F</t>
  </si>
  <si>
    <t>03523053C</t>
  </si>
  <si>
    <t>008767889C</t>
  </si>
  <si>
    <t>034344425D</t>
  </si>
  <si>
    <t>000438475G</t>
  </si>
  <si>
    <t>7139339B</t>
  </si>
  <si>
    <t>014498931G</t>
  </si>
  <si>
    <t>034939178J</t>
  </si>
  <si>
    <t>004629355B</t>
  </si>
  <si>
    <t>00015368528 E</t>
  </si>
  <si>
    <t>6058962J</t>
  </si>
  <si>
    <t>037219705D</t>
  </si>
  <si>
    <t>037308386E</t>
  </si>
  <si>
    <t>00017981176F</t>
  </si>
  <si>
    <t>03877034D</t>
  </si>
  <si>
    <t>16577857A</t>
  </si>
  <si>
    <t>1657785A</t>
  </si>
  <si>
    <t>011127666D</t>
  </si>
  <si>
    <t>18496207E</t>
  </si>
  <si>
    <t>005465687B</t>
  </si>
  <si>
    <t>006367239I</t>
  </si>
  <si>
    <t>7010534B</t>
  </si>
  <si>
    <t>0069996297F</t>
  </si>
  <si>
    <t>036794417A</t>
  </si>
  <si>
    <t>009198736C</t>
  </si>
  <si>
    <t>00518766B</t>
  </si>
  <si>
    <t>090362652B</t>
  </si>
  <si>
    <t>037935024c</t>
  </si>
  <si>
    <t>1225786-1</t>
  </si>
  <si>
    <t>00037372338G</t>
  </si>
  <si>
    <t>03204240A</t>
  </si>
  <si>
    <t>008003294J</t>
  </si>
  <si>
    <t>36193339D</t>
  </si>
  <si>
    <t>036190284E</t>
  </si>
  <si>
    <t>00012967888E</t>
  </si>
  <si>
    <t>007390332A</t>
  </si>
  <si>
    <t>7382661C</t>
  </si>
  <si>
    <t>018420543D</t>
  </si>
  <si>
    <t>017987191I</t>
  </si>
  <si>
    <t>007290797-F</t>
  </si>
  <si>
    <t>009309181H</t>
  </si>
  <si>
    <t>005358036B</t>
  </si>
  <si>
    <t>014134163G</t>
  </si>
  <si>
    <t>18089865C</t>
  </si>
  <si>
    <t>007760958E</t>
  </si>
  <si>
    <t>08952769B</t>
  </si>
  <si>
    <t>006601754C</t>
  </si>
  <si>
    <t>036869011B</t>
  </si>
  <si>
    <t>009800633B</t>
  </si>
  <si>
    <t>037561033E</t>
  </si>
  <si>
    <t>012355234B</t>
  </si>
  <si>
    <t>002558631E</t>
  </si>
  <si>
    <t>009788684A</t>
  </si>
  <si>
    <t>37448921J</t>
  </si>
  <si>
    <t>018373784A</t>
  </si>
  <si>
    <t>YP2216D</t>
  </si>
  <si>
    <t>7179895-D</t>
  </si>
  <si>
    <t>005668458C</t>
  </si>
  <si>
    <t>37447234I</t>
  </si>
  <si>
    <t>007187393J</t>
  </si>
  <si>
    <t>037143619H</t>
  </si>
  <si>
    <t>Not on PA</t>
  </si>
  <si>
    <t>008743010E</t>
  </si>
  <si>
    <t>7451476B</t>
  </si>
  <si>
    <t>010593597H</t>
  </si>
  <si>
    <t>010636591J</t>
  </si>
  <si>
    <t>018364964J</t>
  </si>
  <si>
    <t>007358873D</t>
  </si>
  <si>
    <t>030060214B</t>
  </si>
  <si>
    <t>391390C</t>
  </si>
  <si>
    <t>004054136J</t>
  </si>
  <si>
    <t>007257771B</t>
  </si>
  <si>
    <t>012538853 I</t>
  </si>
  <si>
    <t>012221787A</t>
  </si>
  <si>
    <t>015066138H</t>
  </si>
  <si>
    <t>005611470F</t>
  </si>
  <si>
    <t>006885886J</t>
  </si>
  <si>
    <t>001533387F</t>
  </si>
  <si>
    <t>4442446-1</t>
  </si>
  <si>
    <t>000448531E</t>
  </si>
  <si>
    <t>009745137B</t>
  </si>
  <si>
    <t>00958451A</t>
  </si>
  <si>
    <t>UN34332T</t>
  </si>
  <si>
    <t>002548716G</t>
  </si>
  <si>
    <t>037374579D</t>
  </si>
  <si>
    <t>2196694-02</t>
  </si>
  <si>
    <t>017831897I</t>
  </si>
  <si>
    <t>017644835F</t>
  </si>
  <si>
    <t>006583847G</t>
  </si>
  <si>
    <t>00004014576F</t>
  </si>
  <si>
    <t>002960083A</t>
  </si>
  <si>
    <t>0033576258-01</t>
  </si>
  <si>
    <t>007724914C</t>
  </si>
  <si>
    <t>018155124D</t>
  </si>
  <si>
    <t>004324947D</t>
  </si>
  <si>
    <t>00461214J</t>
  </si>
  <si>
    <t>10934456E</t>
  </si>
  <si>
    <t>033684292H</t>
  </si>
  <si>
    <t>006694699H</t>
  </si>
  <si>
    <t>013809335G</t>
  </si>
  <si>
    <t>18138059D</t>
  </si>
  <si>
    <t>MU39601B</t>
  </si>
  <si>
    <t>000836805C</t>
  </si>
  <si>
    <t>6004868927312427544</t>
  </si>
  <si>
    <t>91248162C</t>
  </si>
  <si>
    <t>015365085I</t>
  </si>
  <si>
    <t>36937971-E</t>
  </si>
  <si>
    <t>08725926D</t>
  </si>
  <si>
    <t>012712226F</t>
  </si>
  <si>
    <t>006563731G</t>
  </si>
  <si>
    <t>00011307912D</t>
  </si>
  <si>
    <t>037364602F</t>
  </si>
  <si>
    <t>032544748A</t>
  </si>
  <si>
    <t>00004876535I</t>
  </si>
  <si>
    <t>011072346H</t>
  </si>
  <si>
    <t>18330874-B</t>
  </si>
  <si>
    <t>QA10109U</t>
  </si>
  <si>
    <t>0036982304-01-02</t>
  </si>
  <si>
    <t>00006823G</t>
  </si>
  <si>
    <t>014772310A</t>
  </si>
  <si>
    <t>000339447F</t>
  </si>
  <si>
    <t>009019022E</t>
  </si>
  <si>
    <t>033688014B</t>
  </si>
  <si>
    <t>002159246E</t>
  </si>
  <si>
    <t>0837516E</t>
  </si>
  <si>
    <t>011082964F</t>
  </si>
  <si>
    <t>3271908A</t>
  </si>
  <si>
    <t>09841443G</t>
  </si>
  <si>
    <t>006766160D</t>
  </si>
  <si>
    <t>037469377I</t>
  </si>
  <si>
    <t>033170066H</t>
  </si>
  <si>
    <t>008522134J</t>
  </si>
  <si>
    <t>018185585J</t>
  </si>
  <si>
    <t>030590978A</t>
  </si>
  <si>
    <t>Z880554H</t>
  </si>
  <si>
    <t>008136942D</t>
  </si>
  <si>
    <t>030643052B</t>
  </si>
  <si>
    <t>003138885D</t>
  </si>
  <si>
    <t>017222863H</t>
  </si>
  <si>
    <t>011238184D</t>
  </si>
  <si>
    <t>033173366H</t>
  </si>
  <si>
    <t>3730492D</t>
  </si>
  <si>
    <t>00037225893J</t>
  </si>
  <si>
    <t>012198839I</t>
  </si>
  <si>
    <t>36877322C</t>
  </si>
  <si>
    <t>YX01304A</t>
  </si>
  <si>
    <t>010164383B</t>
  </si>
  <si>
    <t>006965303I</t>
  </si>
  <si>
    <t>010138507I</t>
  </si>
  <si>
    <t>S308506</t>
  </si>
  <si>
    <t>030938153B</t>
  </si>
  <si>
    <t>011798484J</t>
  </si>
  <si>
    <t>007224143D</t>
  </si>
  <si>
    <t>018199341B</t>
  </si>
  <si>
    <t>004280726D</t>
  </si>
  <si>
    <t>005028630B</t>
  </si>
  <si>
    <t>035377186-I</t>
  </si>
  <si>
    <t>007906536D</t>
  </si>
  <si>
    <t>002329349B</t>
  </si>
  <si>
    <t>UNKNOWN</t>
  </si>
  <si>
    <t>018295906E</t>
  </si>
  <si>
    <t>034650303A</t>
  </si>
  <si>
    <t>011455347C</t>
  </si>
  <si>
    <t>012560205C</t>
  </si>
  <si>
    <t>00036987622I</t>
  </si>
  <si>
    <t>009111529F</t>
  </si>
  <si>
    <t>00552789A</t>
  </si>
  <si>
    <t>010980725F</t>
  </si>
  <si>
    <t>ZG93804U &amp; 12210107</t>
  </si>
  <si>
    <t>016143114D</t>
  </si>
  <si>
    <t>12097798i</t>
  </si>
  <si>
    <t>034382554D</t>
  </si>
  <si>
    <t>012703662C</t>
  </si>
  <si>
    <t>037279745G</t>
  </si>
  <si>
    <t>037240487B</t>
  </si>
  <si>
    <t>3982589I</t>
  </si>
  <si>
    <t>00012074533G</t>
  </si>
  <si>
    <t>015044201A</t>
  </si>
  <si>
    <t>6004868123 /185941196</t>
  </si>
  <si>
    <t>Y548370C</t>
  </si>
  <si>
    <t>011375659H</t>
  </si>
  <si>
    <t>ZS30068P</t>
  </si>
  <si>
    <t>031562694F</t>
  </si>
  <si>
    <t>03156294F</t>
  </si>
  <si>
    <t>Not available</t>
  </si>
  <si>
    <t>012090268J</t>
  </si>
  <si>
    <t>VX27402Q</t>
  </si>
  <si>
    <t>18421359D</t>
  </si>
  <si>
    <t>015442451J</t>
  </si>
  <si>
    <t>12480289D</t>
  </si>
  <si>
    <t>014934740D</t>
  </si>
  <si>
    <t>x4503755</t>
  </si>
  <si>
    <t>006132629E</t>
  </si>
  <si>
    <t>000152523H</t>
  </si>
  <si>
    <t>not provided</t>
  </si>
  <si>
    <t>008490504B</t>
  </si>
  <si>
    <t>005342501D</t>
  </si>
  <si>
    <t>010388752H</t>
  </si>
  <si>
    <t>005591562D</t>
  </si>
  <si>
    <t>WK31684D</t>
  </si>
  <si>
    <t>VW84117P</t>
  </si>
  <si>
    <t>018110203J</t>
  </si>
  <si>
    <t>017985846J</t>
  </si>
  <si>
    <t>016292499H</t>
  </si>
  <si>
    <t>10027902-F</t>
  </si>
  <si>
    <t>00037201694J</t>
  </si>
  <si>
    <t>00037502203F</t>
  </si>
  <si>
    <t>015934905J</t>
  </si>
  <si>
    <t>016141953G</t>
  </si>
  <si>
    <t>9592685D</t>
  </si>
  <si>
    <t>010756984A</t>
  </si>
  <si>
    <t>17891001E</t>
  </si>
  <si>
    <t>015810620D</t>
  </si>
  <si>
    <t>34891104-B</t>
  </si>
  <si>
    <t>5D21619M</t>
  </si>
  <si>
    <t>037210701B</t>
  </si>
  <si>
    <t>05955225H</t>
  </si>
  <si>
    <t>037528108G</t>
  </si>
  <si>
    <t>018289552E</t>
  </si>
  <si>
    <t>0007557622D</t>
  </si>
  <si>
    <t>4487848G</t>
  </si>
  <si>
    <t>018582774I</t>
  </si>
  <si>
    <t>ZZ39348C</t>
  </si>
  <si>
    <t>010737723G</t>
  </si>
  <si>
    <t>00009085227I</t>
  </si>
  <si>
    <t>09493250G</t>
  </si>
  <si>
    <t>07222783I</t>
  </si>
  <si>
    <t>004949261E</t>
  </si>
  <si>
    <t>03352956J</t>
  </si>
  <si>
    <t>077801569J</t>
  </si>
  <si>
    <t>00003368626C</t>
  </si>
  <si>
    <t>01310530I</t>
  </si>
  <si>
    <t>017664528B</t>
  </si>
  <si>
    <t>35426060G</t>
  </si>
  <si>
    <t>008895026G</t>
  </si>
  <si>
    <t>036972500H</t>
  </si>
  <si>
    <t>017876945B</t>
  </si>
  <si>
    <t>004505352H</t>
  </si>
  <si>
    <t>037317791E</t>
  </si>
  <si>
    <t>010799339G</t>
  </si>
  <si>
    <t>018507187F</t>
  </si>
  <si>
    <t>837516E</t>
  </si>
  <si>
    <t>018602407B</t>
  </si>
  <si>
    <t>17711859-D</t>
  </si>
  <si>
    <t>015941913E</t>
  </si>
  <si>
    <t>037535482G</t>
  </si>
  <si>
    <t>00663821B</t>
  </si>
  <si>
    <t>009145052I</t>
  </si>
  <si>
    <t>004463058A</t>
  </si>
  <si>
    <t>037369012C</t>
  </si>
  <si>
    <t>004125573I</t>
  </si>
  <si>
    <t>4236372-1</t>
  </si>
  <si>
    <t>036430035A</t>
  </si>
  <si>
    <t>YE59744Y</t>
  </si>
  <si>
    <t>27S12228</t>
  </si>
  <si>
    <t>12146850-I</t>
  </si>
  <si>
    <t>8970740-A</t>
  </si>
  <si>
    <t>032792272A</t>
  </si>
  <si>
    <t>006692067J</t>
  </si>
  <si>
    <t>00018409848B</t>
  </si>
  <si>
    <t>016876603I</t>
  </si>
  <si>
    <t>4538247A</t>
  </si>
  <si>
    <t>018339342A</t>
  </si>
  <si>
    <t>00006258240l</t>
  </si>
  <si>
    <t>56794C1</t>
  </si>
  <si>
    <t>015114542C</t>
  </si>
  <si>
    <t>9382275H</t>
  </si>
  <si>
    <t>015365722G</t>
  </si>
  <si>
    <t>037405777G</t>
  </si>
  <si>
    <t>011832700G</t>
  </si>
  <si>
    <t>018161776C</t>
  </si>
  <si>
    <t>004613350B</t>
  </si>
  <si>
    <t>018376371D</t>
  </si>
  <si>
    <t>018266737I</t>
  </si>
  <si>
    <t>018200363C</t>
  </si>
  <si>
    <t>015470836G</t>
  </si>
  <si>
    <t>00016600288B</t>
  </si>
  <si>
    <t>018514094E</t>
  </si>
  <si>
    <t>018034257I</t>
  </si>
  <si>
    <t>00022969266A</t>
  </si>
  <si>
    <t>YM82644G</t>
  </si>
  <si>
    <t>033204723C</t>
  </si>
  <si>
    <t>010445444C</t>
  </si>
  <si>
    <t>035846331D</t>
  </si>
  <si>
    <t>006506786A</t>
  </si>
  <si>
    <t>4089216I</t>
  </si>
  <si>
    <t>Y222420R</t>
  </si>
  <si>
    <t>00037289885I</t>
  </si>
  <si>
    <t>4034579F</t>
  </si>
  <si>
    <t>034927804E</t>
  </si>
  <si>
    <t>TP1473ZX</t>
  </si>
  <si>
    <t>7811890-I</t>
  </si>
  <si>
    <t>081117276I</t>
  </si>
  <si>
    <t>013941130J</t>
  </si>
  <si>
    <t>00037415296 F</t>
  </si>
  <si>
    <t>00037415296F</t>
  </si>
  <si>
    <t>013242390G</t>
  </si>
  <si>
    <t>018220042-I</t>
  </si>
  <si>
    <t>18494021B</t>
  </si>
  <si>
    <t>008906280G</t>
  </si>
  <si>
    <t>011092937J</t>
  </si>
  <si>
    <t>010243771C</t>
  </si>
  <si>
    <t>018467060C</t>
  </si>
  <si>
    <t>PR23469F</t>
  </si>
  <si>
    <t>017947952C</t>
  </si>
  <si>
    <t>017846329F</t>
  </si>
  <si>
    <t>008310949G</t>
  </si>
  <si>
    <t>004121711I</t>
  </si>
  <si>
    <t>008107165G</t>
  </si>
  <si>
    <t>unavailable</t>
  </si>
  <si>
    <t>018293966A</t>
  </si>
  <si>
    <t>037193843E</t>
  </si>
  <si>
    <t>017750074B</t>
  </si>
  <si>
    <t>018065971G</t>
  </si>
  <si>
    <t>037240502H</t>
  </si>
  <si>
    <t>0037401752D</t>
  </si>
  <si>
    <t>00037497698D</t>
  </si>
  <si>
    <t>009453433G</t>
  </si>
  <si>
    <t>62770098H</t>
  </si>
  <si>
    <t>36917062G</t>
  </si>
  <si>
    <t>010254950I</t>
  </si>
  <si>
    <t>18-1874885</t>
  </si>
  <si>
    <t>008586546 H</t>
  </si>
  <si>
    <t>037197903A</t>
  </si>
  <si>
    <t>011621619D</t>
  </si>
  <si>
    <t>00037370417A</t>
  </si>
  <si>
    <t>005127913B</t>
  </si>
  <si>
    <t>37737821BCL</t>
  </si>
  <si>
    <t>7084974-A</t>
  </si>
  <si>
    <t>00037113523H</t>
  </si>
  <si>
    <t>001455271F</t>
  </si>
  <si>
    <t>036885715H</t>
  </si>
  <si>
    <t>033941360B</t>
  </si>
  <si>
    <t>00030681780A</t>
  </si>
  <si>
    <t>10802715C</t>
  </si>
  <si>
    <t>N/a</t>
  </si>
  <si>
    <t>004801450A</t>
  </si>
  <si>
    <t>095-72-8027</t>
  </si>
  <si>
    <t>051-62-2602</t>
  </si>
  <si>
    <t>092-38-9626</t>
  </si>
  <si>
    <t>116-56-5909</t>
  </si>
  <si>
    <t>050-58-3266</t>
  </si>
  <si>
    <t>106-60-3378</t>
  </si>
  <si>
    <t>119-66-4869</t>
  </si>
  <si>
    <t>072-66-2689</t>
  </si>
  <si>
    <t>071-72-1403</t>
  </si>
  <si>
    <t>083-56-1530</t>
  </si>
  <si>
    <t>101-60-8108</t>
  </si>
  <si>
    <t>493-82-1591</t>
  </si>
  <si>
    <t>106-56-4933</t>
  </si>
  <si>
    <t>089-78-0626</t>
  </si>
  <si>
    <t>092-80-5892</t>
  </si>
  <si>
    <t>109-56-4862</t>
  </si>
  <si>
    <t>129-68-2087</t>
  </si>
  <si>
    <t>121-64-3355</t>
  </si>
  <si>
    <t>054-68-3745</t>
  </si>
  <si>
    <t>060-62-0323</t>
  </si>
  <si>
    <t>396-29-0818</t>
  </si>
  <si>
    <t>118-82-0272</t>
  </si>
  <si>
    <t>609-90-2524</t>
  </si>
  <si>
    <t>117-96-7302</t>
  </si>
  <si>
    <t>068-78-9897</t>
  </si>
  <si>
    <t>094-78-5714</t>
  </si>
  <si>
    <t>078-70-5975</t>
  </si>
  <si>
    <t>101-60-5540</t>
  </si>
  <si>
    <t>155-96-1318</t>
  </si>
  <si>
    <t>075-64-7328</t>
  </si>
  <si>
    <t>081-68-8476</t>
  </si>
  <si>
    <t>042-98-8316</t>
  </si>
  <si>
    <t>108-84-4713</t>
  </si>
  <si>
    <t>133-70-1977</t>
  </si>
  <si>
    <t>812-30-9843</t>
  </si>
  <si>
    <t>146-68-3178</t>
  </si>
  <si>
    <t>575-98-7631</t>
  </si>
  <si>
    <t>051-70-7961</t>
  </si>
  <si>
    <t>080-70-7528</t>
  </si>
  <si>
    <t>131-54-0474</t>
  </si>
  <si>
    <t>095-64-7896</t>
  </si>
  <si>
    <t>129-58-7495</t>
  </si>
  <si>
    <t>134-64-7978</t>
  </si>
  <si>
    <t>638-05-1804</t>
  </si>
  <si>
    <t>117-66-7292</t>
  </si>
  <si>
    <t>086-60-7260</t>
  </si>
  <si>
    <t>065-72-4767</t>
  </si>
  <si>
    <t>100-62-4852</t>
  </si>
  <si>
    <t>051-40-7384</t>
  </si>
  <si>
    <t>112-70-1802</t>
  </si>
  <si>
    <t>104-86-6145</t>
  </si>
  <si>
    <t>110-62-9080</t>
  </si>
  <si>
    <t>054-76-5419</t>
  </si>
  <si>
    <t>127-60-0446</t>
  </si>
  <si>
    <t>084-60-8407</t>
  </si>
  <si>
    <t>112-70-6433</t>
  </si>
  <si>
    <t>091-42-0254</t>
  </si>
  <si>
    <t>080-92-4936</t>
  </si>
  <si>
    <t>418-19-6544</t>
  </si>
  <si>
    <t>128-48-3275</t>
  </si>
  <si>
    <t>094-76-8668</t>
  </si>
  <si>
    <t>106-72-0405</t>
  </si>
  <si>
    <t>595-43-4951</t>
  </si>
  <si>
    <t>048-68-6512</t>
  </si>
  <si>
    <t>119-56-0224</t>
  </si>
  <si>
    <t>403-11-8022</t>
  </si>
  <si>
    <t>157-08-8925</t>
  </si>
  <si>
    <t>124-36-4476</t>
  </si>
  <si>
    <t>104-86-4962</t>
  </si>
  <si>
    <t>084-62-0665</t>
  </si>
  <si>
    <t>067-86-0285</t>
  </si>
  <si>
    <t>062-86-0887</t>
  </si>
  <si>
    <t>022-96-7935</t>
  </si>
  <si>
    <t>151-94-5287</t>
  </si>
  <si>
    <t>073-58-2540</t>
  </si>
  <si>
    <t>093-98-8840</t>
  </si>
  <si>
    <t>102-66-2303</t>
  </si>
  <si>
    <t>084-62-9813</t>
  </si>
  <si>
    <t>128-69-5223</t>
  </si>
  <si>
    <t>072-72-0715</t>
  </si>
  <si>
    <t>068-62-8250</t>
  </si>
  <si>
    <t>102-96-2766</t>
  </si>
  <si>
    <t>124-84-6863</t>
  </si>
  <si>
    <t>000-00-1190</t>
  </si>
  <si>
    <t>060-02-3665</t>
  </si>
  <si>
    <t>132-84-9839</t>
  </si>
  <si>
    <t>000-00-3768</t>
  </si>
  <si>
    <t>093-52-7486</t>
  </si>
  <si>
    <t>569-43-5434</t>
  </si>
  <si>
    <t>849-02-4803</t>
  </si>
  <si>
    <t>108-76-3554</t>
  </si>
  <si>
    <t>120-66-6281</t>
  </si>
  <si>
    <t>000-00-8781</t>
  </si>
  <si>
    <t>584-74-1310</t>
  </si>
  <si>
    <t>101-86-5551</t>
  </si>
  <si>
    <t>133-86-7385</t>
  </si>
  <si>
    <t>062-76-6993</t>
  </si>
  <si>
    <t>082-64-6484</t>
  </si>
  <si>
    <t>120-56-1668</t>
  </si>
  <si>
    <t>647-35-1814</t>
  </si>
  <si>
    <t>043-76-6261</t>
  </si>
  <si>
    <t>582-95-9685</t>
  </si>
  <si>
    <t>104-74-6359</t>
  </si>
  <si>
    <t>596-59-2973</t>
  </si>
  <si>
    <t>109-68-9988</t>
  </si>
  <si>
    <t>093-78-7668</t>
  </si>
  <si>
    <t>125-72-3876</t>
  </si>
  <si>
    <t>078-54-7000</t>
  </si>
  <si>
    <t>090-82-9550</t>
  </si>
  <si>
    <t>054-66-6784</t>
  </si>
  <si>
    <t>096-54-4276</t>
  </si>
  <si>
    <t>079-58-5726</t>
  </si>
  <si>
    <t>107-96-9097</t>
  </si>
  <si>
    <t>392-86-4173</t>
  </si>
  <si>
    <t>113-70-9943</t>
  </si>
  <si>
    <t>108-64-5846</t>
  </si>
  <si>
    <t>057-66-0901</t>
  </si>
  <si>
    <t>099-84-1491</t>
  </si>
  <si>
    <t>599-30-3653</t>
  </si>
  <si>
    <t>091-84-5931</t>
  </si>
  <si>
    <t>077-96-6976</t>
  </si>
  <si>
    <t>091-62-0877</t>
  </si>
  <si>
    <t>062-62-7342</t>
  </si>
  <si>
    <t>771-14-6160</t>
  </si>
  <si>
    <t>105-78-2615</t>
  </si>
  <si>
    <t>122-92-6286</t>
  </si>
  <si>
    <t>083-90-9276</t>
  </si>
  <si>
    <t>077-96-3407</t>
  </si>
  <si>
    <t>123-88-2154</t>
  </si>
  <si>
    <t>583-33-6984</t>
  </si>
  <si>
    <t>065-74-5784</t>
  </si>
  <si>
    <t>097-84-7534</t>
  </si>
  <si>
    <t>126-72-5418</t>
  </si>
  <si>
    <t>644-78-3773</t>
  </si>
  <si>
    <t>062-80-6110</t>
  </si>
  <si>
    <t>104-60-1918</t>
  </si>
  <si>
    <t>141-96-0770</t>
  </si>
  <si>
    <t>999-99-9999</t>
  </si>
  <si>
    <t>056-68-1309</t>
  </si>
  <si>
    <t>098-56-6711</t>
  </si>
  <si>
    <t>052-98-7684</t>
  </si>
  <si>
    <t>109-86-4668</t>
  </si>
  <si>
    <t>591-45-8072</t>
  </si>
  <si>
    <t>097-64-0950</t>
  </si>
  <si>
    <t>116-70-4408</t>
  </si>
  <si>
    <t>087-50-8442</t>
  </si>
  <si>
    <t>056-58-6955</t>
  </si>
  <si>
    <t>120-72-3026</t>
  </si>
  <si>
    <t>562-37-8999</t>
  </si>
  <si>
    <t>131-64-4895</t>
  </si>
  <si>
    <t>093-62-4707</t>
  </si>
  <si>
    <t>115-78-2997</t>
  </si>
  <si>
    <t>624-88-3234</t>
  </si>
  <si>
    <t>078-70-1831</t>
  </si>
  <si>
    <t>109-80-8799</t>
  </si>
  <si>
    <t>065-58-0005</t>
  </si>
  <si>
    <t>125-64-4584</t>
  </si>
  <si>
    <t>085-98-0540</t>
  </si>
  <si>
    <t>094-54-4331</t>
  </si>
  <si>
    <t>084-80-8534</t>
  </si>
  <si>
    <t>080-84-8792</t>
  </si>
  <si>
    <t>076-98-4741</t>
  </si>
  <si>
    <t>088-52-6336</t>
  </si>
  <si>
    <t>000-00-2264</t>
  </si>
  <si>
    <t>062-62-7671</t>
  </si>
  <si>
    <t>023-64-5826</t>
  </si>
  <si>
    <t>105-38-0070</t>
  </si>
  <si>
    <t>266-93-7500</t>
  </si>
  <si>
    <t>093-72-3914</t>
  </si>
  <si>
    <t>064-82-7990</t>
  </si>
  <si>
    <t>132-70-8181</t>
  </si>
  <si>
    <t>144-60-7862</t>
  </si>
  <si>
    <t>058-72-3293</t>
  </si>
  <si>
    <t>089-52-0422</t>
  </si>
  <si>
    <t>106-38-5476</t>
  </si>
  <si>
    <t>129-68-0090</t>
  </si>
  <si>
    <t>056-62-8785</t>
  </si>
  <si>
    <t>079-72-5016</t>
  </si>
  <si>
    <t>133-82-2294</t>
  </si>
  <si>
    <t>082-80-3856</t>
  </si>
  <si>
    <t>050-84-9393</t>
  </si>
  <si>
    <t>599-44-6515</t>
  </si>
  <si>
    <t>104-58-3968</t>
  </si>
  <si>
    <t>584-47-9916</t>
  </si>
  <si>
    <t>224-91-1249</t>
  </si>
  <si>
    <t>103-50-6230</t>
  </si>
  <si>
    <t>599-42-2857</t>
  </si>
  <si>
    <t>062-58-8408</t>
  </si>
  <si>
    <t>089-46-4138</t>
  </si>
  <si>
    <t>582-91-3949</t>
  </si>
  <si>
    <t>119-76-9003</t>
  </si>
  <si>
    <t>051-96-1553</t>
  </si>
  <si>
    <t>080-84-1418</t>
  </si>
  <si>
    <t>597-40-9398</t>
  </si>
  <si>
    <t>094-68-6221</t>
  </si>
  <si>
    <t>118-90-2295</t>
  </si>
  <si>
    <t>101-74-0225</t>
  </si>
  <si>
    <t>130-80-2657</t>
  </si>
  <si>
    <t>089-86-3392</t>
  </si>
  <si>
    <t>078-56-4724</t>
  </si>
  <si>
    <t>094-66-5297</t>
  </si>
  <si>
    <t>071-58-8743</t>
  </si>
  <si>
    <t>065-98-7656</t>
  </si>
  <si>
    <t>134-56-0842</t>
  </si>
  <si>
    <t>079-60-0683</t>
  </si>
  <si>
    <t>094-66-3109</t>
  </si>
  <si>
    <t>120-64-2425</t>
  </si>
  <si>
    <t>066-50-7724</t>
  </si>
  <si>
    <t>091-82-5755</t>
  </si>
  <si>
    <t>103-78-0314</t>
  </si>
  <si>
    <t>065-58-4797</t>
  </si>
  <si>
    <t>125-52-1907</t>
  </si>
  <si>
    <t>146-60-3145</t>
  </si>
  <si>
    <t>114-58-9652</t>
  </si>
  <si>
    <t>023-64-7040</t>
  </si>
  <si>
    <t>000-00-4645</t>
  </si>
  <si>
    <t>122-70-4412</t>
  </si>
  <si>
    <t>122-58-9419</t>
  </si>
  <si>
    <t>057-86-4204</t>
  </si>
  <si>
    <t>050-56-4783</t>
  </si>
  <si>
    <t>106-76-3294</t>
  </si>
  <si>
    <t>057-74-4943</t>
  </si>
  <si>
    <t>067-66-8331</t>
  </si>
  <si>
    <t>106-60-8320</t>
  </si>
  <si>
    <t>110-68-7738</t>
  </si>
  <si>
    <t>133-48-4104</t>
  </si>
  <si>
    <t>086-80-5883</t>
  </si>
  <si>
    <t>125-66-5383</t>
  </si>
  <si>
    <t>106-48-1386</t>
  </si>
  <si>
    <t>105-74-4592</t>
  </si>
  <si>
    <t>064-82-5363</t>
  </si>
  <si>
    <t>581-29-5821</t>
  </si>
  <si>
    <t>114-48-4474</t>
  </si>
  <si>
    <t>075-58-4422</t>
  </si>
  <si>
    <t>108-68-1739</t>
  </si>
  <si>
    <t>084-78-2051</t>
  </si>
  <si>
    <t>602-89-3294</t>
  </si>
  <si>
    <t>068-60-1562</t>
  </si>
  <si>
    <t>097-56-1671</t>
  </si>
  <si>
    <t>081-94-2246</t>
  </si>
  <si>
    <t>730-14-5584</t>
  </si>
  <si>
    <t>123-90-0586</t>
  </si>
  <si>
    <t>102-58-5187</t>
  </si>
  <si>
    <t>070-76-8488</t>
  </si>
  <si>
    <t>108-66-5600</t>
  </si>
  <si>
    <t>075-76-5147</t>
  </si>
  <si>
    <t>596-32-1295</t>
  </si>
  <si>
    <t>103-80-2216</t>
  </si>
  <si>
    <t>071-72-5696</t>
  </si>
  <si>
    <t>106-90-5537</t>
  </si>
  <si>
    <t>083-64-4372</t>
  </si>
  <si>
    <t>120-72-4866</t>
  </si>
  <si>
    <t>729-14-8437</t>
  </si>
  <si>
    <t>000-00-5938</t>
  </si>
  <si>
    <t>090-70-4567</t>
  </si>
  <si>
    <t>102-76-4490</t>
  </si>
  <si>
    <t>114-50-5539</t>
  </si>
  <si>
    <t>133-94-2927</t>
  </si>
  <si>
    <t>121-88-3411</t>
  </si>
  <si>
    <t>118-58-4060</t>
  </si>
  <si>
    <t>554-63-9553</t>
  </si>
  <si>
    <t>127-74-3762</t>
  </si>
  <si>
    <t>117-64-7816</t>
  </si>
  <si>
    <t>056-56-2842</t>
  </si>
  <si>
    <t>128-74-9232</t>
  </si>
  <si>
    <t>115-76-4451</t>
  </si>
  <si>
    <t>117-34-8872</t>
  </si>
  <si>
    <t>134-62-9194</t>
  </si>
  <si>
    <t>128-58-4175</t>
  </si>
  <si>
    <t>063-58-1725</t>
  </si>
  <si>
    <t>059-78-7449</t>
  </si>
  <si>
    <t>115-64-6676</t>
  </si>
  <si>
    <t>105-52-8251</t>
  </si>
  <si>
    <t>098-58-0308</t>
  </si>
  <si>
    <t>051-02-5747</t>
  </si>
  <si>
    <t>088-76-4628</t>
  </si>
  <si>
    <t>076-60-1987</t>
  </si>
  <si>
    <t>073-86-5344</t>
  </si>
  <si>
    <t>097-64-6235</t>
  </si>
  <si>
    <t>100-70-2101</t>
  </si>
  <si>
    <t>126-84-9615</t>
  </si>
  <si>
    <t>624-33-1005</t>
  </si>
  <si>
    <t>062-86-9822</t>
  </si>
  <si>
    <t>000-00-0733</t>
  </si>
  <si>
    <t>154-32-2832</t>
  </si>
  <si>
    <t>089-78-8620</t>
  </si>
  <si>
    <t>085-98-2513</t>
  </si>
  <si>
    <t>054-76-3437</t>
  </si>
  <si>
    <t>053-80-5989</t>
  </si>
  <si>
    <t>090-58-8842</t>
  </si>
  <si>
    <t>557-61-4831</t>
  </si>
  <si>
    <t>113-88-7740</t>
  </si>
  <si>
    <t>122-74-5303</t>
  </si>
  <si>
    <t>130-66-8502</t>
  </si>
  <si>
    <t>080-76-5034</t>
  </si>
  <si>
    <t>068-64-5872</t>
  </si>
  <si>
    <t>053-70-3855</t>
  </si>
  <si>
    <t>106-76-4351</t>
  </si>
  <si>
    <t>103-92-3037</t>
  </si>
  <si>
    <t>120-98-6288</t>
  </si>
  <si>
    <t>096-70-8922</t>
  </si>
  <si>
    <t>081-54-5854</t>
  </si>
  <si>
    <t>104-72-0097</t>
  </si>
  <si>
    <t>061-70-3082</t>
  </si>
  <si>
    <t>061-68-9731</t>
  </si>
  <si>
    <t>072-34-5890</t>
  </si>
  <si>
    <t>066-68-6986</t>
  </si>
  <si>
    <t>061-58-8965</t>
  </si>
  <si>
    <t>107-88-6567</t>
  </si>
  <si>
    <t>101-62-0089</t>
  </si>
  <si>
    <t>111-74-9683</t>
  </si>
  <si>
    <t>087-68-1354</t>
  </si>
  <si>
    <t>107-70-2081</t>
  </si>
  <si>
    <t>000-00-3788</t>
  </si>
  <si>
    <t>091-13-4434</t>
  </si>
  <si>
    <t>856-16-0365</t>
  </si>
  <si>
    <t>095-68-3275</t>
  </si>
  <si>
    <t>131-82-7254</t>
  </si>
  <si>
    <t>077-54-6495</t>
  </si>
  <si>
    <t>069-62-9676</t>
  </si>
  <si>
    <t>121-64-2345</t>
  </si>
  <si>
    <t>134-64-5979</t>
  </si>
  <si>
    <t>097-96-5314</t>
  </si>
  <si>
    <t>015-92-7304</t>
  </si>
  <si>
    <t>087-68-2494</t>
  </si>
  <si>
    <t>248-87-4800</t>
  </si>
  <si>
    <t>109-62-0742</t>
  </si>
  <si>
    <t>051-72-5318</t>
  </si>
  <si>
    <t>016-78-3007</t>
  </si>
  <si>
    <t>084-56-6428</t>
  </si>
  <si>
    <t>068-58-0612</t>
  </si>
  <si>
    <t>108-82-9139</t>
  </si>
  <si>
    <t>117-92-3431</t>
  </si>
  <si>
    <t>069-62-1200</t>
  </si>
  <si>
    <t>101-92-7867</t>
  </si>
  <si>
    <t>086-52-9506</t>
  </si>
  <si>
    <t>114-68-3712</t>
  </si>
  <si>
    <t>133-56-6462</t>
  </si>
  <si>
    <t>586-66-7487</t>
  </si>
  <si>
    <t>598-16-7837</t>
  </si>
  <si>
    <t>099-72-1952</t>
  </si>
  <si>
    <t>071-58-7788</t>
  </si>
  <si>
    <t>063-58-1981</t>
  </si>
  <si>
    <t>067-58-8053</t>
  </si>
  <si>
    <t>052-92-2480</t>
  </si>
  <si>
    <t>053-88-5429</t>
  </si>
  <si>
    <t>056-98-7121</t>
  </si>
  <si>
    <t>072-70-1090</t>
  </si>
  <si>
    <t>086-66-8364</t>
  </si>
  <si>
    <t>081-68-2376</t>
  </si>
  <si>
    <t>758-37-0163</t>
  </si>
  <si>
    <t>066-72-4178</t>
  </si>
  <si>
    <t>129-64-2047</t>
  </si>
  <si>
    <t>059-64-8355</t>
  </si>
  <si>
    <t>074-50-5405</t>
  </si>
  <si>
    <t>127-64-8951</t>
  </si>
  <si>
    <t>108-48-7773</t>
  </si>
  <si>
    <t>564-70-9301</t>
  </si>
  <si>
    <t>108-66-9843</t>
  </si>
  <si>
    <t>116-68-5913</t>
  </si>
  <si>
    <t>116-68-5912</t>
  </si>
  <si>
    <t>072-58-2906</t>
  </si>
  <si>
    <t>085-64-7147</t>
  </si>
  <si>
    <t>109-66-9510</t>
  </si>
  <si>
    <t>102-66-9527</t>
  </si>
  <si>
    <t>097-58-2954</t>
  </si>
  <si>
    <t>076-86-6207</t>
  </si>
  <si>
    <t>123-90-7150</t>
  </si>
  <si>
    <t>068-64-0750</t>
  </si>
  <si>
    <t>124-56-7070</t>
  </si>
  <si>
    <t>375-86-3159</t>
  </si>
  <si>
    <t>103-80-6069</t>
  </si>
  <si>
    <t>244-25-2337</t>
  </si>
  <si>
    <t>130-80-6243</t>
  </si>
  <si>
    <t>019-48-7290</t>
  </si>
  <si>
    <t>114-70-4705</t>
  </si>
  <si>
    <t>041-80-2934</t>
  </si>
  <si>
    <t>000-00-5839</t>
  </si>
  <si>
    <t>070-58-0175</t>
  </si>
  <si>
    <t>056-88-6442</t>
  </si>
  <si>
    <t>120-58-1235</t>
  </si>
  <si>
    <t>115-90-3854</t>
  </si>
  <si>
    <t>101-64-8227</t>
  </si>
  <si>
    <t>131-98-4847</t>
  </si>
  <si>
    <t>051-92-4633</t>
  </si>
  <si>
    <t>083-56-0492</t>
  </si>
  <si>
    <t>584-04-8228</t>
  </si>
  <si>
    <t>133-68-1739</t>
  </si>
  <si>
    <t>052-46-0330</t>
  </si>
  <si>
    <t>128-48-5081</t>
  </si>
  <si>
    <t>071-64-2621</t>
  </si>
  <si>
    <t>000-00-6760</t>
  </si>
  <si>
    <t>057-56-2488</t>
  </si>
  <si>
    <t>562-89-4337</t>
  </si>
  <si>
    <t>079-84-7650</t>
  </si>
  <si>
    <t>067-58-1198</t>
  </si>
  <si>
    <t>231-45-1583</t>
  </si>
  <si>
    <t>293-17-0856</t>
  </si>
  <si>
    <t>125-84-1195</t>
  </si>
  <si>
    <t>080-68-7289</t>
  </si>
  <si>
    <t>827-32-7133</t>
  </si>
  <si>
    <t>000-00-2332</t>
  </si>
  <si>
    <t>100-58-4358</t>
  </si>
  <si>
    <t>580-06-7295</t>
  </si>
  <si>
    <t>113-56-0451</t>
  </si>
  <si>
    <t>076-56-3700</t>
  </si>
  <si>
    <t>091-76-8241</t>
  </si>
  <si>
    <t>063-58-7788</t>
  </si>
  <si>
    <t>117-72-6575</t>
  </si>
  <si>
    <t>098-84-2564</t>
  </si>
  <si>
    <t>057-80-3890</t>
  </si>
  <si>
    <t>098-66-6693</t>
  </si>
  <si>
    <t>583-81-8418</t>
  </si>
  <si>
    <t>485-17-2053</t>
  </si>
  <si>
    <t>217-84-3641</t>
  </si>
  <si>
    <t>729-20-0660</t>
  </si>
  <si>
    <t>078-98-5589</t>
  </si>
  <si>
    <t>040-04-2795</t>
  </si>
  <si>
    <t>091-94-5296</t>
  </si>
  <si>
    <t>125-62-5359</t>
  </si>
  <si>
    <t>243-75-7400</t>
  </si>
  <si>
    <t>247-11-5210</t>
  </si>
  <si>
    <t>087-52-4590</t>
  </si>
  <si>
    <t>128-74-2314</t>
  </si>
  <si>
    <t>580-96-5802</t>
  </si>
  <si>
    <t>033-92-8608</t>
  </si>
  <si>
    <t>083-74-6076</t>
  </si>
  <si>
    <t>128-74-2678</t>
  </si>
  <si>
    <t>073-62-6495</t>
  </si>
  <si>
    <t>133-82-3246</t>
  </si>
  <si>
    <t>117-70-7232</t>
  </si>
  <si>
    <t>098-74-4142</t>
  </si>
  <si>
    <t>583-89-7141</t>
  </si>
  <si>
    <t>066-56-2073</t>
  </si>
  <si>
    <t>104-42-5247</t>
  </si>
  <si>
    <t>582-27-3529</t>
  </si>
  <si>
    <t>092-40-0715</t>
  </si>
  <si>
    <t>078-76-6190</t>
  </si>
  <si>
    <t>087-80-8613</t>
  </si>
  <si>
    <t>071-48-6367</t>
  </si>
  <si>
    <t>141-06-4878</t>
  </si>
  <si>
    <t>587-11-1254</t>
  </si>
  <si>
    <t>091-64-9908</t>
  </si>
  <si>
    <t>133-68-1133</t>
  </si>
  <si>
    <t>076-72-9141</t>
  </si>
  <si>
    <t>128-72-0450</t>
  </si>
  <si>
    <t>131-56-7558</t>
  </si>
  <si>
    <t>115-62-0958</t>
  </si>
  <si>
    <t>103-68-4304</t>
  </si>
  <si>
    <t>117-68-8378</t>
  </si>
  <si>
    <t>397-41-3621</t>
  </si>
  <si>
    <t>111-82-5103</t>
  </si>
  <si>
    <t>096-60-4197</t>
  </si>
  <si>
    <t>114-36-7689</t>
  </si>
  <si>
    <t>099-58-5178</t>
  </si>
  <si>
    <t>121-70-3306</t>
  </si>
  <si>
    <t>078-82-2593</t>
  </si>
  <si>
    <t>121-76-1885</t>
  </si>
  <si>
    <t>078-56-6911</t>
  </si>
  <si>
    <t>153-84-8214</t>
  </si>
  <si>
    <t>063-80-4093</t>
  </si>
  <si>
    <t>125-74-4731</t>
  </si>
  <si>
    <t>091-58-9784</t>
  </si>
  <si>
    <t>128-90-6568</t>
  </si>
  <si>
    <t>093-56-8575</t>
  </si>
  <si>
    <t>145-04-9453</t>
  </si>
  <si>
    <t>072-92-2020</t>
  </si>
  <si>
    <t>054-02-8877</t>
  </si>
  <si>
    <t>041-78-7596</t>
  </si>
  <si>
    <t>128-88-4017</t>
  </si>
  <si>
    <t>069-58-9275</t>
  </si>
  <si>
    <t>065-92-7647</t>
  </si>
  <si>
    <t>109-54-1144</t>
  </si>
  <si>
    <t>078-58-6555</t>
  </si>
  <si>
    <t>054-88-8862</t>
  </si>
  <si>
    <t>094-70-1591</t>
  </si>
  <si>
    <t>092-66-0388</t>
  </si>
  <si>
    <t>062-68-1689</t>
  </si>
  <si>
    <t>100-58-7023</t>
  </si>
  <si>
    <t>592-03-5421</t>
  </si>
  <si>
    <t>082-60-7633</t>
  </si>
  <si>
    <t>099-52-9805</t>
  </si>
  <si>
    <t>596-03-7844</t>
  </si>
  <si>
    <t>077-52-1563</t>
  </si>
  <si>
    <t>060-60-3470</t>
  </si>
  <si>
    <t>113-62-9262</t>
  </si>
  <si>
    <t>082-74-9395</t>
  </si>
  <si>
    <t>114-36-9163</t>
  </si>
  <si>
    <t>000-00-1777</t>
  </si>
  <si>
    <t>080-78-5517</t>
  </si>
  <si>
    <t>000-00-9117</t>
  </si>
  <si>
    <t>582-04-1059</t>
  </si>
  <si>
    <t>060-82-3467</t>
  </si>
  <si>
    <t>220-61-6612</t>
  </si>
  <si>
    <t>055-62-4678</t>
  </si>
  <si>
    <t>596-16-6926</t>
  </si>
  <si>
    <t>000-00-6323</t>
  </si>
  <si>
    <t>106-56-1050</t>
  </si>
  <si>
    <t>074-66-7666</t>
  </si>
  <si>
    <t>095-80-7995</t>
  </si>
  <si>
    <t>082-40-4282</t>
  </si>
  <si>
    <t>094-56-5399</t>
  </si>
  <si>
    <t>147-55-5616</t>
  </si>
  <si>
    <t>084-72-3588</t>
  </si>
  <si>
    <t>063-84-7718</t>
  </si>
  <si>
    <t>582-97-9094</t>
  </si>
  <si>
    <t>207-63-8490</t>
  </si>
  <si>
    <t>422-35-1675</t>
  </si>
  <si>
    <t>083-86-3645</t>
  </si>
  <si>
    <t>115-62-1830</t>
  </si>
  <si>
    <t>097-72-4268</t>
  </si>
  <si>
    <t>078-72-8653</t>
  </si>
  <si>
    <t>061-70-2033</t>
  </si>
  <si>
    <t>598-28-2790</t>
  </si>
  <si>
    <t>100-74-6024</t>
  </si>
  <si>
    <t>109-66-8773</t>
  </si>
  <si>
    <t>580-88-3480</t>
  </si>
  <si>
    <t>128-46-8459</t>
  </si>
  <si>
    <t>734-52-8722</t>
  </si>
  <si>
    <t>075-44-6880</t>
  </si>
  <si>
    <t>119-56-8769</t>
  </si>
  <si>
    <t>058-88-9969</t>
  </si>
  <si>
    <t>089-64-6662</t>
  </si>
  <si>
    <t>584-53-6421</t>
  </si>
  <si>
    <t>073-64-7390</t>
  </si>
  <si>
    <t>118-64-2672</t>
  </si>
  <si>
    <t>055-88-0255</t>
  </si>
  <si>
    <t>069-58-7163</t>
  </si>
  <si>
    <t>076-56-9392</t>
  </si>
  <si>
    <t>091-58-6170</t>
  </si>
  <si>
    <t>076-64-1280</t>
  </si>
  <si>
    <t>598-05-6577</t>
  </si>
  <si>
    <t>132-54-7012</t>
  </si>
  <si>
    <t>075-50-0503</t>
  </si>
  <si>
    <t>056-76-1407</t>
  </si>
  <si>
    <t>255-23-5124</t>
  </si>
  <si>
    <t>098-46-7329</t>
  </si>
  <si>
    <t>123-42-4299</t>
  </si>
  <si>
    <t>101-98-1443</t>
  </si>
  <si>
    <t>584-08-3286</t>
  </si>
  <si>
    <t>076-56-1948</t>
  </si>
  <si>
    <t>282-91-2077</t>
  </si>
  <si>
    <t>055-46-0017</t>
  </si>
  <si>
    <t>134-68-4268</t>
  </si>
  <si>
    <t>119-84-0064</t>
  </si>
  <si>
    <t>082-94-7748</t>
  </si>
  <si>
    <t>077-62-9141</t>
  </si>
  <si>
    <t>085-54-7429</t>
  </si>
  <si>
    <t>581-99-2917</t>
  </si>
  <si>
    <t>116-64-3924</t>
  </si>
  <si>
    <t>066-64-0517</t>
  </si>
  <si>
    <t>110-50-0439</t>
  </si>
  <si>
    <t>113-70-9369</t>
  </si>
  <si>
    <t>130-42-9252</t>
  </si>
  <si>
    <t>081-42-5016</t>
  </si>
  <si>
    <t>102-64-7663</t>
  </si>
  <si>
    <t>592-33-4514</t>
  </si>
  <si>
    <t>112-72-9838</t>
  </si>
  <si>
    <t>130-80-7550</t>
  </si>
  <si>
    <t>058-48-5395</t>
  </si>
  <si>
    <t>053-64-8422</t>
  </si>
  <si>
    <t>371-69-0758</t>
  </si>
  <si>
    <t>589-18-1984</t>
  </si>
  <si>
    <t>134-58-0753</t>
  </si>
  <si>
    <t>108-80-6857</t>
  </si>
  <si>
    <t>112-54-6268</t>
  </si>
  <si>
    <t>148-58-9764</t>
  </si>
  <si>
    <t>077-72-7430</t>
  </si>
  <si>
    <t>116-68-0220</t>
  </si>
  <si>
    <t>079-52-0908</t>
  </si>
  <si>
    <t>111-78-6465</t>
  </si>
  <si>
    <t>098-46-2865</t>
  </si>
  <si>
    <t>580-31-0661</t>
  </si>
  <si>
    <t>091-80-1052</t>
  </si>
  <si>
    <t>072-58-4493</t>
  </si>
  <si>
    <t>107-48-9745</t>
  </si>
  <si>
    <t>088-76-7430</t>
  </si>
  <si>
    <t>076-86-9957</t>
  </si>
  <si>
    <t>129-58-2135</t>
  </si>
  <si>
    <t>335-57-8114</t>
  </si>
  <si>
    <t>093-74-2374</t>
  </si>
  <si>
    <t>094-64-5359</t>
  </si>
  <si>
    <t>120-56-0808</t>
  </si>
  <si>
    <t>058-62-5714</t>
  </si>
  <si>
    <t>117-86-0283</t>
  </si>
  <si>
    <t>086-60-3241</t>
  </si>
  <si>
    <t>099-34-5117</t>
  </si>
  <si>
    <t>060-58-4309</t>
  </si>
  <si>
    <t>063-66-5071</t>
  </si>
  <si>
    <t>087-66-6923</t>
  </si>
  <si>
    <t>125-75-0313</t>
  </si>
  <si>
    <t>116-54-7580</t>
  </si>
  <si>
    <t>605-37-6085</t>
  </si>
  <si>
    <t>130-60-2714</t>
  </si>
  <si>
    <t>247-52-3269</t>
  </si>
  <si>
    <t>000-34-3330</t>
  </si>
  <si>
    <t>072-56-9474</t>
  </si>
  <si>
    <t>000-00-0889</t>
  </si>
  <si>
    <t>584-78-7856</t>
  </si>
  <si>
    <t>020-43-0922</t>
  </si>
  <si>
    <t>584-19-6941</t>
  </si>
  <si>
    <t>090-50-8173</t>
  </si>
  <si>
    <t>107-60-8069</t>
  </si>
  <si>
    <t>106-66-8618</t>
  </si>
  <si>
    <t>055-34-5684</t>
  </si>
  <si>
    <t>109-54-6991</t>
  </si>
  <si>
    <t>098-36-7732</t>
  </si>
  <si>
    <t>125-82-9586</t>
  </si>
  <si>
    <t>111-90-0247</t>
  </si>
  <si>
    <t>131-52-8503</t>
  </si>
  <si>
    <t>099-78-9927</t>
  </si>
  <si>
    <t>098-94-3587</t>
  </si>
  <si>
    <t>295-60-1623</t>
  </si>
  <si>
    <t>093-76-7899</t>
  </si>
  <si>
    <t>069-78-7596</t>
  </si>
  <si>
    <t>058-70-7512</t>
  </si>
  <si>
    <t>118-56-1550</t>
  </si>
  <si>
    <t>062-86-3183</t>
  </si>
  <si>
    <t>112-76-3742</t>
  </si>
  <si>
    <t>059-62-4508</t>
  </si>
  <si>
    <t>067-64-4220</t>
  </si>
  <si>
    <t>583-96-5909</t>
  </si>
  <si>
    <t>227-75-5421</t>
  </si>
  <si>
    <t>051-62-7512</t>
  </si>
  <si>
    <t>064-78-0788</t>
  </si>
  <si>
    <t>130-54-0321</t>
  </si>
  <si>
    <t>053-68-0906</t>
  </si>
  <si>
    <t>075-02-2377</t>
  </si>
  <si>
    <t>061-84-3664</t>
  </si>
  <si>
    <t>079-68-4477</t>
  </si>
  <si>
    <t>885-46-6297</t>
  </si>
  <si>
    <t>211-84-4778</t>
  </si>
  <si>
    <t>372-84-5289</t>
  </si>
  <si>
    <t>057-70-5487</t>
  </si>
  <si>
    <t>096-58-9214</t>
  </si>
  <si>
    <t>109-86-2247</t>
  </si>
  <si>
    <t>062-80-0551</t>
  </si>
  <si>
    <t>062-66-3461</t>
  </si>
  <si>
    <t>103-94-4417</t>
  </si>
  <si>
    <t>098-54-5212</t>
  </si>
  <si>
    <t>108-92-5939</t>
  </si>
  <si>
    <t>106-50-6651</t>
  </si>
  <si>
    <t>078-76-3875</t>
  </si>
  <si>
    <t>057-86-3392</t>
  </si>
  <si>
    <t>062-54-8575</t>
  </si>
  <si>
    <t>102-69-2252</t>
  </si>
  <si>
    <t>084-86-5826</t>
  </si>
  <si>
    <t>121-90-2362</t>
  </si>
  <si>
    <t>599-18-6322</t>
  </si>
  <si>
    <t>114-80-9830</t>
  </si>
  <si>
    <t>058-82-5209</t>
  </si>
  <si>
    <t>523-25-1350</t>
  </si>
  <si>
    <t>055-54-5520</t>
  </si>
  <si>
    <t>211-19-5513</t>
  </si>
  <si>
    <t>016-66-9736</t>
  </si>
  <si>
    <t>118-54-2329</t>
  </si>
  <si>
    <t>097-52-2597</t>
  </si>
  <si>
    <t>058-60-7220</t>
  </si>
  <si>
    <t>067-66-2793</t>
  </si>
  <si>
    <t>073-40-0582</t>
  </si>
  <si>
    <t>664-25-4660</t>
  </si>
  <si>
    <t>070-72-3310</t>
  </si>
  <si>
    <t>129-58-2381</t>
  </si>
  <si>
    <t>067-82-3172</t>
  </si>
  <si>
    <t>095-68-9007</t>
  </si>
  <si>
    <t>123-98-2470</t>
  </si>
  <si>
    <t>000-00-8676</t>
  </si>
  <si>
    <t>104-88-4915</t>
  </si>
  <si>
    <t>092-74-5206</t>
  </si>
  <si>
    <t>706-64-8491</t>
  </si>
  <si>
    <t>597-40-8290</t>
  </si>
  <si>
    <t>129-56-0887</t>
  </si>
  <si>
    <t>118-98-9413</t>
  </si>
  <si>
    <t>060-62-8618</t>
  </si>
  <si>
    <t>000-00-1917</t>
  </si>
  <si>
    <t>104-70-8789</t>
  </si>
  <si>
    <t>129-68-4106</t>
  </si>
  <si>
    <t>085-02-7666</t>
  </si>
  <si>
    <t>166-46-1092</t>
  </si>
  <si>
    <t>112-74-9224</t>
  </si>
  <si>
    <t>240-88-5081</t>
  </si>
  <si>
    <t>094-58-1320</t>
  </si>
  <si>
    <t>581-86-2284</t>
  </si>
  <si>
    <t>112-74-1820</t>
  </si>
  <si>
    <t>107-74-0188</t>
  </si>
  <si>
    <t>112-86-8260</t>
  </si>
  <si>
    <t>584-15-8539</t>
  </si>
  <si>
    <t>123-90-0314</t>
  </si>
  <si>
    <t>084-84-9559</t>
  </si>
  <si>
    <t>583-98-2961</t>
  </si>
  <si>
    <t>096-48-3284</t>
  </si>
  <si>
    <t>532-77-6365</t>
  </si>
  <si>
    <t>067-70-5294</t>
  </si>
  <si>
    <t>104-40-3805</t>
  </si>
  <si>
    <t>124-84-8139</t>
  </si>
  <si>
    <t>127-86-6488</t>
  </si>
  <si>
    <t>067-76-7736</t>
  </si>
  <si>
    <t>113-48-2528</t>
  </si>
  <si>
    <t>584-75-9061</t>
  </si>
  <si>
    <t>069-46-9237</t>
  </si>
  <si>
    <t>056-76-6606</t>
  </si>
  <si>
    <t>068-74-5867</t>
  </si>
  <si>
    <t>112-62-8145</t>
  </si>
  <si>
    <t>077-64-2542</t>
  </si>
  <si>
    <t>066-54-7946</t>
  </si>
  <si>
    <t>050-78-1250</t>
  </si>
  <si>
    <t>056-54-0359</t>
  </si>
  <si>
    <t>043-48-0176</t>
  </si>
  <si>
    <t>545-98-2355</t>
  </si>
  <si>
    <t>109-70-5752</t>
  </si>
  <si>
    <t>056-96-8290</t>
  </si>
  <si>
    <t>110-62-6553</t>
  </si>
  <si>
    <t>085-98-9063</t>
  </si>
  <si>
    <t>771-56-0971</t>
  </si>
  <si>
    <t>747-91-0802</t>
  </si>
  <si>
    <t>101-90-3599</t>
  </si>
  <si>
    <t>109-54-0136</t>
  </si>
  <si>
    <t>079-66-9068</t>
  </si>
  <si>
    <t>096-56-7086</t>
  </si>
  <si>
    <t>056-96-3413</t>
  </si>
  <si>
    <t>580-98-6803</t>
  </si>
  <si>
    <t>103-38-2860</t>
  </si>
  <si>
    <t>140-48-8902</t>
  </si>
  <si>
    <t>128-48-9058</t>
  </si>
  <si>
    <t>101-40-5094</t>
  </si>
  <si>
    <t>086-60-7213</t>
  </si>
  <si>
    <t>120-75-3614</t>
  </si>
  <si>
    <t>590-20-6989</t>
  </si>
  <si>
    <t>069-40-2108</t>
  </si>
  <si>
    <t>248-72-2517</t>
  </si>
  <si>
    <t>125-34-1139</t>
  </si>
  <si>
    <t>124-76-3040</t>
  </si>
  <si>
    <t>072-02-2167</t>
  </si>
  <si>
    <t>075-82-8723</t>
  </si>
  <si>
    <t>084-48-5135</t>
  </si>
  <si>
    <t>584-38-2801</t>
  </si>
  <si>
    <t>061-86-3888</t>
  </si>
  <si>
    <t>060-46-5714</t>
  </si>
  <si>
    <t>057-56-9388</t>
  </si>
  <si>
    <t>123-82-2454</t>
  </si>
  <si>
    <t>108-80-7706</t>
  </si>
  <si>
    <t>261-97-2848</t>
  </si>
  <si>
    <t>000-00-2145</t>
  </si>
  <si>
    <t>112-62-8982</t>
  </si>
  <si>
    <t>063-42-5038</t>
  </si>
  <si>
    <t>090-66-0103</t>
  </si>
  <si>
    <t>104-46-2161</t>
  </si>
  <si>
    <t>077-58-4307</t>
  </si>
  <si>
    <t>096-58-7003</t>
  </si>
  <si>
    <t>598-12-3163</t>
  </si>
  <si>
    <t>120-68-7173</t>
  </si>
  <si>
    <t>098-74-5834</t>
  </si>
  <si>
    <t>116-46-3306</t>
  </si>
  <si>
    <t>079-56-7055</t>
  </si>
  <si>
    <t>110-52-2580</t>
  </si>
  <si>
    <t>091-54-3687</t>
  </si>
  <si>
    <t>243-19-2394</t>
  </si>
  <si>
    <t>120-56-5429</t>
  </si>
  <si>
    <t>241-29-4995</t>
  </si>
  <si>
    <t>121-40-0942</t>
  </si>
  <si>
    <t>055-52-8439</t>
  </si>
  <si>
    <t>105-50-3326</t>
  </si>
  <si>
    <t>115-56-9932</t>
  </si>
  <si>
    <t>584-18-0228</t>
  </si>
  <si>
    <t>104-68-1303</t>
  </si>
  <si>
    <t>584-15-2778</t>
  </si>
  <si>
    <t>073-48-4131</t>
  </si>
  <si>
    <t>121-60-0864</t>
  </si>
  <si>
    <t>599-16-4320</t>
  </si>
  <si>
    <t>156-98-6916</t>
  </si>
  <si>
    <t>070-40-6654</t>
  </si>
  <si>
    <t>584-10-6024</t>
  </si>
  <si>
    <t>263-64-7039</t>
  </si>
  <si>
    <t>121-46-4907</t>
  </si>
  <si>
    <t>123-60-4588</t>
  </si>
  <si>
    <t>071-58-6091</t>
  </si>
  <si>
    <t>111-58-9135</t>
  </si>
  <si>
    <t>116-16-2202</t>
  </si>
  <si>
    <t>777-76-4829</t>
  </si>
  <si>
    <t>064-74-0877</t>
  </si>
  <si>
    <t>069-78-5261</t>
  </si>
  <si>
    <t>103-50-5256</t>
  </si>
  <si>
    <t>131-50-9550</t>
  </si>
  <si>
    <t>052-02-9690</t>
  </si>
  <si>
    <t>582-46-1111</t>
  </si>
  <si>
    <t>157-56-6436</t>
  </si>
  <si>
    <t>073-94-6982</t>
  </si>
  <si>
    <t>091-94-5533</t>
  </si>
  <si>
    <t>171-74-3102</t>
  </si>
  <si>
    <t>050-50-2357</t>
  </si>
  <si>
    <t>262-85-1529</t>
  </si>
  <si>
    <t>077-68-1578</t>
  </si>
  <si>
    <t>119-54-4937</t>
  </si>
  <si>
    <t>499-60-6266</t>
  </si>
  <si>
    <t>051-44-1357</t>
  </si>
  <si>
    <t>292-62-1292</t>
  </si>
  <si>
    <t>355-45-7393</t>
  </si>
  <si>
    <t>066-76-8243</t>
  </si>
  <si>
    <t>265-65-3058</t>
  </si>
  <si>
    <t>105-58-4466</t>
  </si>
  <si>
    <t>510-72-2672</t>
  </si>
  <si>
    <t>100-48-1345</t>
  </si>
  <si>
    <t>224-88-0006</t>
  </si>
  <si>
    <t>063-84-0388</t>
  </si>
  <si>
    <t>109-92-2565</t>
  </si>
  <si>
    <t>055-62-1077</t>
  </si>
  <si>
    <t>026-58-8399</t>
  </si>
  <si>
    <t>099-48-9821</t>
  </si>
  <si>
    <t>000-00-6666</t>
  </si>
  <si>
    <t>055-94-7800</t>
  </si>
  <si>
    <t>071-72-9318</t>
  </si>
  <si>
    <t>053-78-9096</t>
  </si>
  <si>
    <t>583-74-2251</t>
  </si>
  <si>
    <t>129-36-3367</t>
  </si>
  <si>
    <t>086-60-1771</t>
  </si>
  <si>
    <t>075-58-6691</t>
  </si>
  <si>
    <t>146-40-5259</t>
  </si>
  <si>
    <t>123-70-9978</t>
  </si>
  <si>
    <t>114-52-3925</t>
  </si>
  <si>
    <t>584-90-9002</t>
  </si>
  <si>
    <t>765-31-8748</t>
  </si>
  <si>
    <t>083-56-2928</t>
  </si>
  <si>
    <t>063-44-1333</t>
  </si>
  <si>
    <t>077-50-5981</t>
  </si>
  <si>
    <t>120-62-9149</t>
  </si>
  <si>
    <t>102-60-0202</t>
  </si>
  <si>
    <t>011-23-8306</t>
  </si>
  <si>
    <t>583-13-3394</t>
  </si>
  <si>
    <t>073-70-5621</t>
  </si>
  <si>
    <t>081-82-8741</t>
  </si>
  <si>
    <t>121-62-9499</t>
  </si>
  <si>
    <t>125-90-1439</t>
  </si>
  <si>
    <t>027-27-4577</t>
  </si>
  <si>
    <t>114-64-8527</t>
  </si>
  <si>
    <t>070-40-1704</t>
  </si>
  <si>
    <t>154-72-0727</t>
  </si>
  <si>
    <t>087-82-9998</t>
  </si>
  <si>
    <t>067-58-7750</t>
  </si>
  <si>
    <t>127-86-7212</t>
  </si>
  <si>
    <t>064-54-0155</t>
  </si>
  <si>
    <t>248-25-9051</t>
  </si>
  <si>
    <t>122-62-1904</t>
  </si>
  <si>
    <t>089-72-2686</t>
  </si>
  <si>
    <t>060-62-7920</t>
  </si>
  <si>
    <t>131-98-9450</t>
  </si>
  <si>
    <t>079-02-1486</t>
  </si>
  <si>
    <t>061-50-8237</t>
  </si>
  <si>
    <t>062-54-3745</t>
  </si>
  <si>
    <t>063-58-5850</t>
  </si>
  <si>
    <t>102-38-5049</t>
  </si>
  <si>
    <t>556-80-7385</t>
  </si>
  <si>
    <t>251-17-0196</t>
  </si>
  <si>
    <t>449-51-0375</t>
  </si>
  <si>
    <t>063-99-5992</t>
  </si>
  <si>
    <t>125-66-2259</t>
  </si>
  <si>
    <t>423-78-2580</t>
  </si>
  <si>
    <t>058-56-6015</t>
  </si>
  <si>
    <t>580-82-4582</t>
  </si>
  <si>
    <t>074-66-6639</t>
  </si>
  <si>
    <t>069-58-9499</t>
  </si>
  <si>
    <t>261-95-3516</t>
  </si>
  <si>
    <t>062-78-4303</t>
  </si>
  <si>
    <t>087-48-0485</t>
  </si>
  <si>
    <t>111-46-4331</t>
  </si>
  <si>
    <t>129-30-5818</t>
  </si>
  <si>
    <t>836-55-3614</t>
  </si>
  <si>
    <t>078-36-1539</t>
  </si>
  <si>
    <t>126-70-5471</t>
  </si>
  <si>
    <t>131-62-3689</t>
  </si>
  <si>
    <t>113-72-8090</t>
  </si>
  <si>
    <t>097-46-4066</t>
  </si>
  <si>
    <t>258-48-2676</t>
  </si>
  <si>
    <t>106-76-3632</t>
  </si>
  <si>
    <t>119-86-5571</t>
  </si>
  <si>
    <t>433-51-6186</t>
  </si>
  <si>
    <t>091-40-5580</t>
  </si>
  <si>
    <t>081-56-2683</t>
  </si>
  <si>
    <t>239-78-3960</t>
  </si>
  <si>
    <t>110-52-0979</t>
  </si>
  <si>
    <t>103-58-4935</t>
  </si>
  <si>
    <t>086-44-7534</t>
  </si>
  <si>
    <t>086-02-8830</t>
  </si>
  <si>
    <t>599-03-3944</t>
  </si>
  <si>
    <t>095-62-0417</t>
  </si>
  <si>
    <t>155-46-0151</t>
  </si>
  <si>
    <t>131-80-5045</t>
  </si>
  <si>
    <t>127-54-4559</t>
  </si>
  <si>
    <t>074-12-4878</t>
  </si>
  <si>
    <t>073-52-5981</t>
  </si>
  <si>
    <t>068-58-6529</t>
  </si>
  <si>
    <t>073-68-5684</t>
  </si>
  <si>
    <t>147-70-9786</t>
  </si>
  <si>
    <t>102-74-5685</t>
  </si>
  <si>
    <t>064-36-4773</t>
  </si>
  <si>
    <t>066-30-6599</t>
  </si>
  <si>
    <t>105-58-9586</t>
  </si>
  <si>
    <t>049-44-8370</t>
  </si>
  <si>
    <t>133-44-4184</t>
  </si>
  <si>
    <t>058-82-8103</t>
  </si>
  <si>
    <t>065-56-4430</t>
  </si>
  <si>
    <t>125-32-0081</t>
  </si>
  <si>
    <t>113-42-0501</t>
  </si>
  <si>
    <t>084-74-5779</t>
  </si>
  <si>
    <t>134-72-8235</t>
  </si>
  <si>
    <t>000-00-2451</t>
  </si>
  <si>
    <t>073-50-5837</t>
  </si>
  <si>
    <t>136-50-6506</t>
  </si>
  <si>
    <t>248-96-0403</t>
  </si>
  <si>
    <t>131-50-3118</t>
  </si>
  <si>
    <t>099-68-2305</t>
  </si>
  <si>
    <t>374-36-2609</t>
  </si>
  <si>
    <t>086-74-1627</t>
  </si>
  <si>
    <t>088-56-5927</t>
  </si>
  <si>
    <t>203-58-0262</t>
  </si>
  <si>
    <t>126-54-6220</t>
  </si>
  <si>
    <t>091-52-0807</t>
  </si>
  <si>
    <t>061-46-9375</t>
  </si>
  <si>
    <t>132-58-5078</t>
  </si>
  <si>
    <t>060-70-1076</t>
  </si>
  <si>
    <t>000-00-9959</t>
  </si>
  <si>
    <t>103-74-3806</t>
  </si>
  <si>
    <t>256-37-0656</t>
  </si>
  <si>
    <t>038-56-5630</t>
  </si>
  <si>
    <t>105-56-0138</t>
  </si>
  <si>
    <t>122-46-9252</t>
  </si>
  <si>
    <t>103-80-3857</t>
  </si>
  <si>
    <t>149-32-3269</t>
  </si>
  <si>
    <t>117-40-0164</t>
  </si>
  <si>
    <t>118-66-9174</t>
  </si>
  <si>
    <t>105-63-7353</t>
  </si>
  <si>
    <t>056-58-0890</t>
  </si>
  <si>
    <t>095-52-8626</t>
  </si>
  <si>
    <t>059-78-5149</t>
  </si>
  <si>
    <t>106-48-4642</t>
  </si>
  <si>
    <t>073-58-8577</t>
  </si>
  <si>
    <t>582-06-4461</t>
  </si>
  <si>
    <t>153-48-2639</t>
  </si>
  <si>
    <t>097-54-9643</t>
  </si>
  <si>
    <t>112-52-2953</t>
  </si>
  <si>
    <t>108-80-6062</t>
  </si>
  <si>
    <t>128-48-2363</t>
  </si>
  <si>
    <t>583-62-3994</t>
  </si>
  <si>
    <t>071-46-4906</t>
  </si>
  <si>
    <t>000-00-2580</t>
  </si>
  <si>
    <t>153-44-1190</t>
  </si>
  <si>
    <t>088-80-3736</t>
  </si>
  <si>
    <t>115-56-1126</t>
  </si>
  <si>
    <t>119-84-0712</t>
  </si>
  <si>
    <t>127-66-7633</t>
  </si>
  <si>
    <t>090-68-1494</t>
  </si>
  <si>
    <t>731-09-2384</t>
  </si>
  <si>
    <t>182-30-1243</t>
  </si>
  <si>
    <t>118-54-2101</t>
  </si>
  <si>
    <t>111-46-5927</t>
  </si>
  <si>
    <t>094-86-2184</t>
  </si>
  <si>
    <t>249-70-2850</t>
  </si>
  <si>
    <t>091-66-0366</t>
  </si>
  <si>
    <t>584-46-6467</t>
  </si>
  <si>
    <t>093-56-1947</t>
  </si>
  <si>
    <t>133-56-8298</t>
  </si>
  <si>
    <t>121-34-4394</t>
  </si>
  <si>
    <t>068-48-8275</t>
  </si>
  <si>
    <t>070-48-3324</t>
  </si>
  <si>
    <t>000-00-2979</t>
  </si>
  <si>
    <t>252-48-4088</t>
  </si>
  <si>
    <t>130-64-4279</t>
  </si>
  <si>
    <t>053-50-5580</t>
  </si>
  <si>
    <t>583-78-7215</t>
  </si>
  <si>
    <t>090-68-9519</t>
  </si>
  <si>
    <t>582-37-8377</t>
  </si>
  <si>
    <t>091-42-5993</t>
  </si>
  <si>
    <t>087-48-1625</t>
  </si>
  <si>
    <t>106-48-2419</t>
  </si>
  <si>
    <t>219-08-7487</t>
  </si>
  <si>
    <t>096-56-5451</t>
  </si>
  <si>
    <t>057-48-1599</t>
  </si>
  <si>
    <t>105-82-1209</t>
  </si>
  <si>
    <t>193-44-4858</t>
  </si>
  <si>
    <t>122-50-3883</t>
  </si>
  <si>
    <t>108-44-2025</t>
  </si>
  <si>
    <t>094-34-3967</t>
  </si>
  <si>
    <t>584-83-3050</t>
  </si>
  <si>
    <t>082-56-0574</t>
  </si>
  <si>
    <t>108-52-5052</t>
  </si>
  <si>
    <t>059-86-9495</t>
  </si>
  <si>
    <t>088-92-1616</t>
  </si>
  <si>
    <t>106-96-5684</t>
  </si>
  <si>
    <t>052-68-4361</t>
  </si>
  <si>
    <t>733-14-0281</t>
  </si>
  <si>
    <t>614-22-7039</t>
  </si>
  <si>
    <t>119-52-5006</t>
  </si>
  <si>
    <t>085-50-5243</t>
  </si>
  <si>
    <t>087-56-8129</t>
  </si>
  <si>
    <t>096-36-8722</t>
  </si>
  <si>
    <t>090-58-7748</t>
  </si>
  <si>
    <t>133-62-8635</t>
  </si>
  <si>
    <t>092-90-7640</t>
  </si>
  <si>
    <t>058-58-5429</t>
  </si>
  <si>
    <t>095-58-2750</t>
  </si>
  <si>
    <t>134-52-2974</t>
  </si>
  <si>
    <t>059-66-1046</t>
  </si>
  <si>
    <t>098-62-0317</t>
  </si>
  <si>
    <t>090-72-7244</t>
  </si>
  <si>
    <t>119-56-0441</t>
  </si>
  <si>
    <t>066-36-3957</t>
  </si>
  <si>
    <t>086-54-7404</t>
  </si>
  <si>
    <t>122-56-0255</t>
  </si>
  <si>
    <t>081-98-7155</t>
  </si>
  <si>
    <t>102-52-2798</t>
  </si>
  <si>
    <t>039-94-3421</t>
  </si>
  <si>
    <t>120-52-4795</t>
  </si>
  <si>
    <t>086-44-7737</t>
  </si>
  <si>
    <t>079-62-2946</t>
  </si>
  <si>
    <t>128-86-2508</t>
  </si>
  <si>
    <t>062-72-4938</t>
  </si>
  <si>
    <t>086-82-3291</t>
  </si>
  <si>
    <t>108-88-7151</t>
  </si>
  <si>
    <t>096-84-8980</t>
  </si>
  <si>
    <t>095-48-1950</t>
  </si>
  <si>
    <t>063-54-1845</t>
  </si>
  <si>
    <t>101-74-8189</t>
  </si>
  <si>
    <t>114-40-3363</t>
  </si>
  <si>
    <t>098-50-5451</t>
  </si>
  <si>
    <t>100-70-0187</t>
  </si>
  <si>
    <t>393-75-4977</t>
  </si>
  <si>
    <t>756-23-4953</t>
  </si>
  <si>
    <t>151-13-2834</t>
  </si>
  <si>
    <t>085-54-6248</t>
  </si>
  <si>
    <t>104-54-0674</t>
  </si>
  <si>
    <t>089-52-0229</t>
  </si>
  <si>
    <t>092-88-4650</t>
  </si>
  <si>
    <t>088-40-0678</t>
  </si>
  <si>
    <t>582-11-8987</t>
  </si>
  <si>
    <t>091-54-6575</t>
  </si>
  <si>
    <t>000-00-4720</t>
  </si>
  <si>
    <t>083-32-9931</t>
  </si>
  <si>
    <t>583-40-6836</t>
  </si>
  <si>
    <t>081-80-8444</t>
  </si>
  <si>
    <t>075-94-2752</t>
  </si>
  <si>
    <t>075-38-5626</t>
  </si>
  <si>
    <t>584-94-1066</t>
  </si>
  <si>
    <t>092-43-1474</t>
  </si>
  <si>
    <t>098-02-9496</t>
  </si>
  <si>
    <t>054-68-2755</t>
  </si>
  <si>
    <t>086-56-6671</t>
  </si>
  <si>
    <t>589-92-9383</t>
  </si>
  <si>
    <t>094-68-4168</t>
  </si>
  <si>
    <t>114-50-2942</t>
  </si>
  <si>
    <t>116-46-7185</t>
  </si>
  <si>
    <t>082-58-7093</t>
  </si>
  <si>
    <t>121-40-9142</t>
  </si>
  <si>
    <t>122-92-9571</t>
  </si>
  <si>
    <t>058-68-6837</t>
  </si>
  <si>
    <t>064-76-6994</t>
  </si>
  <si>
    <t>530-73-2222</t>
  </si>
  <si>
    <t>862-69-8155</t>
  </si>
  <si>
    <t>147-84-8752</t>
  </si>
  <si>
    <t>115-64-6534</t>
  </si>
  <si>
    <t>092-64-7881</t>
  </si>
  <si>
    <t>583-71-4901</t>
  </si>
  <si>
    <t>059-60-1312</t>
  </si>
  <si>
    <t>104-34-4530</t>
  </si>
  <si>
    <t>055-74-6359</t>
  </si>
  <si>
    <t>079-48-5695</t>
  </si>
  <si>
    <t>129-82-6632</t>
  </si>
  <si>
    <t>028-32-7805</t>
  </si>
  <si>
    <t>580-09-3528</t>
  </si>
  <si>
    <t>583-48-3256</t>
  </si>
  <si>
    <t>579-50-5094</t>
  </si>
  <si>
    <t>704-29-2519</t>
  </si>
  <si>
    <t>134-82-8076</t>
  </si>
  <si>
    <t>133-52-9413</t>
  </si>
  <si>
    <t>075-70-5765</t>
  </si>
  <si>
    <t>087-74-2051</t>
  </si>
  <si>
    <t>058-44-6232</t>
  </si>
  <si>
    <t>082-80-2740</t>
  </si>
  <si>
    <t>088-54-8301</t>
  </si>
  <si>
    <t>124-80-2443</t>
  </si>
  <si>
    <t>050-98-8026</t>
  </si>
  <si>
    <t>167-86-8770</t>
  </si>
  <si>
    <t>083-94-0429</t>
  </si>
  <si>
    <t>071-64-1497</t>
  </si>
  <si>
    <t>099-84-2261</t>
  </si>
  <si>
    <t>121-80-6772</t>
  </si>
  <si>
    <t>052-64-1298</t>
  </si>
  <si>
    <t>096-56-2643</t>
  </si>
  <si>
    <t>442-61-6085</t>
  </si>
  <si>
    <t>099-52-3398</t>
  </si>
  <si>
    <t>085-94-8329</t>
  </si>
  <si>
    <t>063-66-0266</t>
  </si>
  <si>
    <t>107-70-4648</t>
  </si>
  <si>
    <t>098-82-7516</t>
  </si>
  <si>
    <t>099-50-3046</t>
  </si>
  <si>
    <t>073-58-2156</t>
  </si>
  <si>
    <t>123-42-9405</t>
  </si>
  <si>
    <t>132-60-9482</t>
  </si>
  <si>
    <t>125-44-3934</t>
  </si>
  <si>
    <t>058-50-5191</t>
  </si>
  <si>
    <t>155-04-3679</t>
  </si>
  <si>
    <t>125-52-9600</t>
  </si>
  <si>
    <t>821-13-0266</t>
  </si>
  <si>
    <t>132-82-8038</t>
  </si>
  <si>
    <t>128-54-2720</t>
  </si>
  <si>
    <t>127-88-1118</t>
  </si>
  <si>
    <t>067-58-0374</t>
  </si>
  <si>
    <t>116-46-4135</t>
  </si>
  <si>
    <t>121-94-0514</t>
  </si>
  <si>
    <t>083-56-3795</t>
  </si>
  <si>
    <t>069-70-3734</t>
  </si>
  <si>
    <t>074-44-8093</t>
  </si>
  <si>
    <t>351-94-5012</t>
  </si>
  <si>
    <t>105-80-5984</t>
  </si>
  <si>
    <t>076-34-0287</t>
  </si>
  <si>
    <t>598-30-0388</t>
  </si>
  <si>
    <t>099-76-1528</t>
  </si>
  <si>
    <t>059-68-0705</t>
  </si>
  <si>
    <t>119-94-5025</t>
  </si>
  <si>
    <t>105-54-1327</t>
  </si>
  <si>
    <t>103-88-7197</t>
  </si>
  <si>
    <t>107-60-8680</t>
  </si>
  <si>
    <t>050-42-4889</t>
  </si>
  <si>
    <t>109-80-2647</t>
  </si>
  <si>
    <t>236-66-5231</t>
  </si>
  <si>
    <t>059-66-0046</t>
  </si>
  <si>
    <t>109-72-9781</t>
  </si>
  <si>
    <t>098-86-9519</t>
  </si>
  <si>
    <t>082-54-0161</t>
  </si>
  <si>
    <t>183-86-0596</t>
  </si>
  <si>
    <t>581-72-8698</t>
  </si>
  <si>
    <t>107-64-2417</t>
  </si>
  <si>
    <t>084-78-2327</t>
  </si>
  <si>
    <t>718-49-4818</t>
  </si>
  <si>
    <t>105-50-0812</t>
  </si>
  <si>
    <t>580-14-2932</t>
  </si>
  <si>
    <t>025-64-6550</t>
  </si>
  <si>
    <t>056-58-7995</t>
  </si>
  <si>
    <t>247-74-7167</t>
  </si>
  <si>
    <t>120-68-6525</t>
  </si>
  <si>
    <t>116-44-5229</t>
  </si>
  <si>
    <t>186-54-7712</t>
  </si>
  <si>
    <t>068-62-9946</t>
  </si>
  <si>
    <t>599-01-8460</t>
  </si>
  <si>
    <t>061-70-1902</t>
  </si>
  <si>
    <t>076-48-5570</t>
  </si>
  <si>
    <t>082-46-2224</t>
  </si>
  <si>
    <t>114-54-5353</t>
  </si>
  <si>
    <t>109-56-6980</t>
  </si>
  <si>
    <t>063-48-3487</t>
  </si>
  <si>
    <t>065-86-2445</t>
  </si>
  <si>
    <t>070-48-7632</t>
  </si>
  <si>
    <t>000-00-1605</t>
  </si>
  <si>
    <t>060-96-0271</t>
  </si>
  <si>
    <t>086-70-8663</t>
  </si>
  <si>
    <t>082-60-0457</t>
  </si>
  <si>
    <t>086-86-1916</t>
  </si>
  <si>
    <t>000-00-1006</t>
  </si>
  <si>
    <t>069-36-7556</t>
  </si>
  <si>
    <t>096-36-8742</t>
  </si>
  <si>
    <t>056-68-7638</t>
  </si>
  <si>
    <t>109-90-7130</t>
  </si>
  <si>
    <t>590-46-0496</t>
  </si>
  <si>
    <t>583-55-8222</t>
  </si>
  <si>
    <t>061-46-7770</t>
  </si>
  <si>
    <t>154-76-3581</t>
  </si>
  <si>
    <t>045-42-2933</t>
  </si>
  <si>
    <t>077-54-3795</t>
  </si>
  <si>
    <t>047-72-3642</t>
  </si>
  <si>
    <t>067-82-0920</t>
  </si>
  <si>
    <t>236-51-1618</t>
  </si>
  <si>
    <t>082-66-1525</t>
  </si>
  <si>
    <t>731-24-9287</t>
  </si>
  <si>
    <t>168-76-2600</t>
  </si>
  <si>
    <t>116-54-8392</t>
  </si>
  <si>
    <t>903-74-8885</t>
  </si>
  <si>
    <t>099-88-0713</t>
  </si>
  <si>
    <t>066-26-0050</t>
  </si>
  <si>
    <t>126-66-9842</t>
  </si>
  <si>
    <t>095-76-1728</t>
  </si>
  <si>
    <t>156-52-9824</t>
  </si>
  <si>
    <t>730-16-9554</t>
  </si>
  <si>
    <t>144-23-1288</t>
  </si>
  <si>
    <t>051-84-7827</t>
  </si>
  <si>
    <t>133-66-5736</t>
  </si>
  <si>
    <t>129-70-9153</t>
  </si>
  <si>
    <t>584-92-2039</t>
  </si>
  <si>
    <t>109-70-4985</t>
  </si>
  <si>
    <t>055-58-9471</t>
  </si>
  <si>
    <t>583-20-9056</t>
  </si>
  <si>
    <t>431-27-0471</t>
  </si>
  <si>
    <t>085-70-2548</t>
  </si>
  <si>
    <t>070-50-4326</t>
  </si>
  <si>
    <t>057-60-3667</t>
  </si>
  <si>
    <t>098-76-3290</t>
  </si>
  <si>
    <t>796-05-7637</t>
  </si>
  <si>
    <t>130-42-6136</t>
  </si>
  <si>
    <t>071-46-3302</t>
  </si>
  <si>
    <t>730-07-8971</t>
  </si>
  <si>
    <t>097-56-0479</t>
  </si>
  <si>
    <t>899-53-4205</t>
  </si>
  <si>
    <t>066-60-0236</t>
  </si>
  <si>
    <t>098-56-1260</t>
  </si>
  <si>
    <t>052-38-9852</t>
  </si>
  <si>
    <t>729-18-7560</t>
  </si>
  <si>
    <t>127-84-4500</t>
  </si>
  <si>
    <t>133-76-6442</t>
  </si>
  <si>
    <t>105-78-8644</t>
  </si>
  <si>
    <t>082-84-7850</t>
  </si>
  <si>
    <t>127-90-8857</t>
  </si>
  <si>
    <t>224-74-4008</t>
  </si>
  <si>
    <t>124-36-3469</t>
  </si>
  <si>
    <t>059-44-6035</t>
  </si>
  <si>
    <t>088-94-5194</t>
  </si>
  <si>
    <t>088-94-5794</t>
  </si>
  <si>
    <t>084-78-8704</t>
  </si>
  <si>
    <t>063-58-7649</t>
  </si>
  <si>
    <t>103-34-6473</t>
  </si>
  <si>
    <t>059-80-8469</t>
  </si>
  <si>
    <t>064-78-3660</t>
  </si>
  <si>
    <t>059-76-4912</t>
  </si>
  <si>
    <t>671-30-7008</t>
  </si>
  <si>
    <t>076-82-2855</t>
  </si>
  <si>
    <t>128-56-2372</t>
  </si>
  <si>
    <t>569-14-1254</t>
  </si>
  <si>
    <t>143-60-5988</t>
  </si>
  <si>
    <t>065-78-4122</t>
  </si>
  <si>
    <t>134-28-7924</t>
  </si>
  <si>
    <t>119-82-3709</t>
  </si>
  <si>
    <t>100-60-0075</t>
  </si>
  <si>
    <t>113-56-5950</t>
  </si>
  <si>
    <t>154-56-4875</t>
  </si>
  <si>
    <t>000-00-6807</t>
  </si>
  <si>
    <t>129-30-7516</t>
  </si>
  <si>
    <t>066-86-3193</t>
  </si>
  <si>
    <t>089-72-3997</t>
  </si>
  <si>
    <t>426-72-3132</t>
  </si>
  <si>
    <t>599-74-3344</t>
  </si>
  <si>
    <t>053-86-3900</t>
  </si>
  <si>
    <t>068-80-6917</t>
  </si>
  <si>
    <t>052-36-4165</t>
  </si>
  <si>
    <t>111-56-5617</t>
  </si>
  <si>
    <t>133-98-6450</t>
  </si>
  <si>
    <t>143-88-0561</t>
  </si>
  <si>
    <t>718-76-9919</t>
  </si>
  <si>
    <t>069-50-1759</t>
  </si>
  <si>
    <t>133-44-1637</t>
  </si>
  <si>
    <t>123-48-6695</t>
  </si>
  <si>
    <t>067-70-3794</t>
  </si>
  <si>
    <t>581-64-4634</t>
  </si>
  <si>
    <t>112-60-3917</t>
  </si>
  <si>
    <t>101-58-8993</t>
  </si>
  <si>
    <t>103-48-4692</t>
  </si>
  <si>
    <t>137-58-6011</t>
  </si>
  <si>
    <t>101-96-4551</t>
  </si>
  <si>
    <t>102-64-5993</t>
  </si>
  <si>
    <t>119-42-7946</t>
  </si>
  <si>
    <t>130-82-5109</t>
  </si>
  <si>
    <t>103-70-6183</t>
  </si>
  <si>
    <t>091-92-7998</t>
  </si>
  <si>
    <t>593-49-4140</t>
  </si>
  <si>
    <t>078-74-6038</t>
  </si>
  <si>
    <t>066-92-9886</t>
  </si>
  <si>
    <t>729-12-9609</t>
  </si>
  <si>
    <t>584-20-3844</t>
  </si>
  <si>
    <t>114-38-1138</t>
  </si>
  <si>
    <t>105-96-5862</t>
  </si>
  <si>
    <t>101-68-1828</t>
  </si>
  <si>
    <t>061-44-1486</t>
  </si>
  <si>
    <t>733-05-3189</t>
  </si>
  <si>
    <t>106-50-3931</t>
  </si>
  <si>
    <t>118-19-9514</t>
  </si>
  <si>
    <t>111-46-4786</t>
  </si>
  <si>
    <t>524-27-9591</t>
  </si>
  <si>
    <t>582-96-6965</t>
  </si>
  <si>
    <t>076-76-4721</t>
  </si>
  <si>
    <t>086-82-4073</t>
  </si>
  <si>
    <t>156-84-5909</t>
  </si>
  <si>
    <t>108-80-0060</t>
  </si>
  <si>
    <t>070-58-4215</t>
  </si>
  <si>
    <t>015-54-1988</t>
  </si>
  <si>
    <t>598-26-4003</t>
  </si>
  <si>
    <t>111-44-5447</t>
  </si>
  <si>
    <t>092-62-9642</t>
  </si>
  <si>
    <t>066-74-4931</t>
  </si>
  <si>
    <t>152-42-5701</t>
  </si>
  <si>
    <t>070-46-7621</t>
  </si>
  <si>
    <t>069-78-6812</t>
  </si>
  <si>
    <t>098-48-3842</t>
  </si>
  <si>
    <t>095-64-7361</t>
  </si>
  <si>
    <t>112-82-1562</t>
  </si>
  <si>
    <t>772-01-7743</t>
  </si>
  <si>
    <t>127-54-7124</t>
  </si>
  <si>
    <t>093-74-1019</t>
  </si>
  <si>
    <t>101-44-8258</t>
  </si>
  <si>
    <t>077-58-2636</t>
  </si>
  <si>
    <t>130-94-8030</t>
  </si>
  <si>
    <t>121-56-4179</t>
  </si>
  <si>
    <t>649-47-5167</t>
  </si>
  <si>
    <t>062-62-6788</t>
  </si>
  <si>
    <t>389-78-7150</t>
  </si>
  <si>
    <t>092-88-3192</t>
  </si>
  <si>
    <t>117-74-4949</t>
  </si>
  <si>
    <t>111-82-7616</t>
  </si>
  <si>
    <t>554-37-1224</t>
  </si>
  <si>
    <t>212-78-4946</t>
  </si>
  <si>
    <t>043-52-2819</t>
  </si>
  <si>
    <t>062-78-4582</t>
  </si>
  <si>
    <t>154-96-0555</t>
  </si>
  <si>
    <t>133-76-7477</t>
  </si>
  <si>
    <t>730-14-7561</t>
  </si>
  <si>
    <t>079-76-5125</t>
  </si>
  <si>
    <t>076-52-1946</t>
  </si>
  <si>
    <t>075-62-1924</t>
  </si>
  <si>
    <t>123-80-1985</t>
  </si>
  <si>
    <t>127-54-7247</t>
  </si>
  <si>
    <t>582-89-5114</t>
  </si>
  <si>
    <t>120-48-2374</t>
  </si>
  <si>
    <t>563-71-2392</t>
  </si>
  <si>
    <t>108-26-4377</t>
  </si>
  <si>
    <t>093-76-7413</t>
  </si>
  <si>
    <t>112-82-7206</t>
  </si>
  <si>
    <t>070-86-6463</t>
  </si>
  <si>
    <t>087-58-9441</t>
  </si>
  <si>
    <t>124-40-5187</t>
  </si>
  <si>
    <t>583-53-8127</t>
  </si>
  <si>
    <t>361-60-1625</t>
  </si>
  <si>
    <t>096-76-6558</t>
  </si>
  <si>
    <t>118-74-5916</t>
  </si>
  <si>
    <t>099-44-7045</t>
  </si>
  <si>
    <t>101-48-9231</t>
  </si>
  <si>
    <t>149-70-9947</t>
  </si>
  <si>
    <t>107-52-8131</t>
  </si>
  <si>
    <t>070-38-8858</t>
  </si>
  <si>
    <t>061-62-0039</t>
  </si>
  <si>
    <t>098-56-3114</t>
  </si>
  <si>
    <t>101-70-6274</t>
  </si>
  <si>
    <t>580-31-9137</t>
  </si>
  <si>
    <t>104-40-4668</t>
  </si>
  <si>
    <t>000-00-5992</t>
  </si>
  <si>
    <t>606-56-0735</t>
  </si>
  <si>
    <t>060-56-0735</t>
  </si>
  <si>
    <t>297-52-0072</t>
  </si>
  <si>
    <t>124-86-1769</t>
  </si>
  <si>
    <t>351-25-1929</t>
  </si>
  <si>
    <t>814-80-9914</t>
  </si>
  <si>
    <t>057-84-7056</t>
  </si>
  <si>
    <t>113-42-2895</t>
  </si>
  <si>
    <t>067-70-2647</t>
  </si>
  <si>
    <t>327-57-8745</t>
  </si>
  <si>
    <t>134-46-6941</t>
  </si>
  <si>
    <t>077-58-3195</t>
  </si>
  <si>
    <t>118-76-8379</t>
  </si>
  <si>
    <t>106-40-7416</t>
  </si>
  <si>
    <t>106-78-5829</t>
  </si>
  <si>
    <t>082-24-7969</t>
  </si>
  <si>
    <t>070-76-8863</t>
  </si>
  <si>
    <t>058-44-2522</t>
  </si>
  <si>
    <t>093-84-9934</t>
  </si>
  <si>
    <t>083-68-2057</t>
  </si>
  <si>
    <t>109-48-0039</t>
  </si>
  <si>
    <t>076-62-4500</t>
  </si>
  <si>
    <t>062-58-0161</t>
  </si>
  <si>
    <t>563-65-6364</t>
  </si>
  <si>
    <t>095-50-0687</t>
  </si>
  <si>
    <t>582-55-3411</t>
  </si>
  <si>
    <t>116-72-7563</t>
  </si>
  <si>
    <t>067-62-1665</t>
  </si>
  <si>
    <t>087-68-7766</t>
  </si>
  <si>
    <t>116-44-1836</t>
  </si>
  <si>
    <t>101-60-6763</t>
  </si>
  <si>
    <t>101-54-6235</t>
  </si>
  <si>
    <t>591-96-7940</t>
  </si>
  <si>
    <t>057-70-8192</t>
  </si>
  <si>
    <t>066-54-2135</t>
  </si>
  <si>
    <t>053-56-8145</t>
  </si>
  <si>
    <t>105-46-5348</t>
  </si>
  <si>
    <t>594-18-4400</t>
  </si>
  <si>
    <t>105-34-4504</t>
  </si>
  <si>
    <t>099-56-8292</t>
  </si>
  <si>
    <t>069-68-6712</t>
  </si>
  <si>
    <t>583-92-5625</t>
  </si>
  <si>
    <t>077-66-5738</t>
  </si>
  <si>
    <t>055-88-7083</t>
  </si>
  <si>
    <t>097-32-0581</t>
  </si>
  <si>
    <t>071-90-5225</t>
  </si>
  <si>
    <t>102-60-2369</t>
  </si>
  <si>
    <t>095-68-4553</t>
  </si>
  <si>
    <t>808-80-6123</t>
  </si>
  <si>
    <t>084-70-1820</t>
  </si>
  <si>
    <t>210-50-8770</t>
  </si>
  <si>
    <t>132-66-8321</t>
  </si>
  <si>
    <t>099-86-8277</t>
  </si>
  <si>
    <t>812-05-4081</t>
  </si>
  <si>
    <t>105-98-4390</t>
  </si>
  <si>
    <t>133-46-0562</t>
  </si>
  <si>
    <t>063-46-2692</t>
  </si>
  <si>
    <t>092-86-5091</t>
  </si>
  <si>
    <t>054-68-0767</t>
  </si>
  <si>
    <t>081-72-2249</t>
  </si>
  <si>
    <t>609-90-1665</t>
  </si>
  <si>
    <t>050-60-8335</t>
  </si>
  <si>
    <t>090-44-9186</t>
  </si>
  <si>
    <t>092-38-3287</t>
  </si>
  <si>
    <t>143-72-7555</t>
  </si>
  <si>
    <t>072-02-1516</t>
  </si>
  <si>
    <t>074-72-3977</t>
  </si>
  <si>
    <t>075-82-3581</t>
  </si>
  <si>
    <t>070-70-8064</t>
  </si>
  <si>
    <t>103-54-5892</t>
  </si>
  <si>
    <t>107-84-0851</t>
  </si>
  <si>
    <t>124-64-0335</t>
  </si>
  <si>
    <t>058-44-7384</t>
  </si>
  <si>
    <t>113-64-6787</t>
  </si>
  <si>
    <t>125-50-6024</t>
  </si>
  <si>
    <t>584-59-1535</t>
  </si>
  <si>
    <t>090-58-0453</t>
  </si>
  <si>
    <t>069-66-7566</t>
  </si>
  <si>
    <t>126-44-8960</t>
  </si>
  <si>
    <t>126-52-7146</t>
  </si>
  <si>
    <t>071-94-7441</t>
  </si>
  <si>
    <t>095-60-0905</t>
  </si>
  <si>
    <t>124-44-3043</t>
  </si>
  <si>
    <t>088-48-0229</t>
  </si>
  <si>
    <t>107-43-9464</t>
  </si>
  <si>
    <t>124-56-2820</t>
  </si>
  <si>
    <t>097-56-5252</t>
  </si>
  <si>
    <t>068-68-3101</t>
  </si>
  <si>
    <t>085-74-3411</t>
  </si>
  <si>
    <t>094-58-1151</t>
  </si>
  <si>
    <t>582-95-4425</t>
  </si>
  <si>
    <t>051-62-8145</t>
  </si>
  <si>
    <t>071-78-4076</t>
  </si>
  <si>
    <t>230-66-6430</t>
  </si>
  <si>
    <t>112-74-2735</t>
  </si>
  <si>
    <t>081-46-9889</t>
  </si>
  <si>
    <t>084-62-0287</t>
  </si>
  <si>
    <t>424-46-2779</t>
  </si>
  <si>
    <t>048-44-4133</t>
  </si>
  <si>
    <t>117-62-8978</t>
  </si>
  <si>
    <t>199-54-7849</t>
  </si>
  <si>
    <t>122-94-1471</t>
  </si>
  <si>
    <t>103-56-7848</t>
  </si>
  <si>
    <t>100-94-8416</t>
  </si>
  <si>
    <t>105-60-4005</t>
  </si>
  <si>
    <t>065-36-0184</t>
  </si>
  <si>
    <t>589-78-4142</t>
  </si>
  <si>
    <t>671-26-9276</t>
  </si>
  <si>
    <t>078-88-1400</t>
  </si>
  <si>
    <t>123-56-7254</t>
  </si>
  <si>
    <t>091-92-1836</t>
  </si>
  <si>
    <t>087-88-2580</t>
  </si>
  <si>
    <t>074-40-9311</t>
  </si>
  <si>
    <t>078-58-3146</t>
  </si>
  <si>
    <t>123-74-6434</t>
  </si>
  <si>
    <t>096-70-2527</t>
  </si>
  <si>
    <t>084-46-8397</t>
  </si>
  <si>
    <t>125-16-9458</t>
  </si>
  <si>
    <t>056-56-5309</t>
  </si>
  <si>
    <t>249-44-7872</t>
  </si>
  <si>
    <t>124-80-0003</t>
  </si>
  <si>
    <t>130-56-4073</t>
  </si>
  <si>
    <t>143-54-3768</t>
  </si>
  <si>
    <t>079-60-1008</t>
  </si>
  <si>
    <t>053-58-3383</t>
  </si>
  <si>
    <t>122-62-6836</t>
  </si>
  <si>
    <t>071-62-6669</t>
  </si>
  <si>
    <t>111-66-2441</t>
  </si>
  <si>
    <t>116-88-5952</t>
  </si>
  <si>
    <t>126-26-4584</t>
  </si>
  <si>
    <t>083-84-5465</t>
  </si>
  <si>
    <t>077-42-0308</t>
  </si>
  <si>
    <t>582-71-0233</t>
  </si>
  <si>
    <t>095-58-0275</t>
  </si>
  <si>
    <t>078-58-0424</t>
  </si>
  <si>
    <t>134-68-4952</t>
  </si>
  <si>
    <t>080-58-3640</t>
  </si>
  <si>
    <t>096-72-7825</t>
  </si>
  <si>
    <t>096-46-5313</t>
  </si>
  <si>
    <t>092-76-8081</t>
  </si>
  <si>
    <t>109-66-5370</t>
  </si>
  <si>
    <t>067-46-5820</t>
  </si>
  <si>
    <t>121-68-7716</t>
  </si>
  <si>
    <t>223-56-2337</t>
  </si>
  <si>
    <t>125-84-7147</t>
  </si>
  <si>
    <t>102-90-3126</t>
  </si>
  <si>
    <t>589-72-5937</t>
  </si>
  <si>
    <t>103-74-3186</t>
  </si>
  <si>
    <t>134-84-2728</t>
  </si>
  <si>
    <t>179-26-3500</t>
  </si>
  <si>
    <t>872-08-3431</t>
  </si>
  <si>
    <t>115-64-4792</t>
  </si>
  <si>
    <t>594-74-4090</t>
  </si>
  <si>
    <t>054-02-8362</t>
  </si>
  <si>
    <t>051-84-2494</t>
  </si>
  <si>
    <t>119-78-5707</t>
  </si>
  <si>
    <t>449-91-5721</t>
  </si>
  <si>
    <t>107-86-5801</t>
  </si>
  <si>
    <t>110-64-1450</t>
  </si>
  <si>
    <t>074-78-8676</t>
  </si>
  <si>
    <t>107-84-6855</t>
  </si>
  <si>
    <t>584-27-7966</t>
  </si>
  <si>
    <t>071-74-9761</t>
  </si>
  <si>
    <t>733-01-4254</t>
  </si>
  <si>
    <t>075-44-2833</t>
  </si>
  <si>
    <t>582-29-4623</t>
  </si>
  <si>
    <t>581-25-2327</t>
  </si>
  <si>
    <t>062-68-2973</t>
  </si>
  <si>
    <t>000-00-0767</t>
  </si>
  <si>
    <t>125-58-2970</t>
  </si>
  <si>
    <t>124-66-8895</t>
  </si>
  <si>
    <t>117-90-8100</t>
  </si>
  <si>
    <t>087-36-5105</t>
  </si>
  <si>
    <t>115-52-9512</t>
  </si>
  <si>
    <t>310-40-7635</t>
  </si>
  <si>
    <t>100-84-7542</t>
  </si>
  <si>
    <t>078-66-7957</t>
  </si>
  <si>
    <t>080-60-6024</t>
  </si>
  <si>
    <t>102-56-8793</t>
  </si>
  <si>
    <t>062-44-2816</t>
  </si>
  <si>
    <t>000-00-9700</t>
  </si>
  <si>
    <t>068-64-6086</t>
  </si>
  <si>
    <t>104-80-6015</t>
  </si>
  <si>
    <t>148-21-1773</t>
  </si>
  <si>
    <t>583-13-9014</t>
  </si>
  <si>
    <t>066-64-7527</t>
  </si>
  <si>
    <t>130-40-8059</t>
  </si>
  <si>
    <t>089-80-9890</t>
  </si>
  <si>
    <t>156-72-1990</t>
  </si>
  <si>
    <t>064-32-8222</t>
  </si>
  <si>
    <t>108-52-5724</t>
  </si>
  <si>
    <t>121-74-5734</t>
  </si>
  <si>
    <t>090-70-3031</t>
  </si>
  <si>
    <t>083-98-4014</t>
  </si>
  <si>
    <t>154-80-2575</t>
  </si>
  <si>
    <t>100-46-9122</t>
  </si>
  <si>
    <t>059-58-8753</t>
  </si>
  <si>
    <t>110-80-3549</t>
  </si>
  <si>
    <t>010-76-2629</t>
  </si>
  <si>
    <t>125-50-5098</t>
  </si>
  <si>
    <t>271-90-2149</t>
  </si>
  <si>
    <t>373-94-2514</t>
  </si>
  <si>
    <t>119-78-8218</t>
  </si>
  <si>
    <t>000-00-9317</t>
  </si>
  <si>
    <t>101-82-7699</t>
  </si>
  <si>
    <t>066-96-4590</t>
  </si>
  <si>
    <t>591-01-4055</t>
  </si>
  <si>
    <t>063-60-9597</t>
  </si>
  <si>
    <t>238-35-3509</t>
  </si>
  <si>
    <t>076-82-6777</t>
  </si>
  <si>
    <t>116-90-7308</t>
  </si>
  <si>
    <t>102-58-2738</t>
  </si>
  <si>
    <t>121-78-9312</t>
  </si>
  <si>
    <t>428-66-0813</t>
  </si>
  <si>
    <t>116-56-4454</t>
  </si>
  <si>
    <t>000-00-0248</t>
  </si>
  <si>
    <t>057-66-1060</t>
  </si>
  <si>
    <t>741-83-4329</t>
  </si>
  <si>
    <t>076-82-3361</t>
  </si>
  <si>
    <t>056-76-2779</t>
  </si>
  <si>
    <t>121-60-0964</t>
  </si>
  <si>
    <t>115-62-6738</t>
  </si>
  <si>
    <t>053-82-0475</t>
  </si>
  <si>
    <t>084-84-8419</t>
  </si>
  <si>
    <t>048-90-8742</t>
  </si>
  <si>
    <t>219-68-5532</t>
  </si>
  <si>
    <t>084-64-3092</t>
  </si>
  <si>
    <t>851-89-3163</t>
  </si>
  <si>
    <t>636-56-7451</t>
  </si>
  <si>
    <t>096-60-7761</t>
  </si>
  <si>
    <t>118-82-4229</t>
  </si>
  <si>
    <t>051-60-1500</t>
  </si>
  <si>
    <t>061-44-1601</t>
  </si>
  <si>
    <t>063-56-5490</t>
  </si>
  <si>
    <t>104-52-1182</t>
  </si>
  <si>
    <t>124-58-7232</t>
  </si>
  <si>
    <t>056-50-4503</t>
  </si>
  <si>
    <t>114-36-5574</t>
  </si>
  <si>
    <t>115-92-8202</t>
  </si>
  <si>
    <t>097-54-1271</t>
  </si>
  <si>
    <t>088-36-7616</t>
  </si>
  <si>
    <t>053-56-3098</t>
  </si>
  <si>
    <t>057-54-9162</t>
  </si>
  <si>
    <t>050-72-3686</t>
  </si>
  <si>
    <t>070-42-3358</t>
  </si>
  <si>
    <t>115-44-9167</t>
  </si>
  <si>
    <t>138-11-3732</t>
  </si>
  <si>
    <t>599-40-8062</t>
  </si>
  <si>
    <t>103-84-2067</t>
  </si>
  <si>
    <t>101-68-1719</t>
  </si>
  <si>
    <t>368-98-8464</t>
  </si>
  <si>
    <t>058-46-8134</t>
  </si>
  <si>
    <t>056-64-0265</t>
  </si>
  <si>
    <t>110-74-6451</t>
  </si>
  <si>
    <t>080-84-2015</t>
  </si>
  <si>
    <t>256-76-5626</t>
  </si>
  <si>
    <t>810-41-1090</t>
  </si>
  <si>
    <t>107-62-1518</t>
  </si>
  <si>
    <t>119-78-3173</t>
  </si>
  <si>
    <t>099-98-5316</t>
  </si>
  <si>
    <t>058-62-1182</t>
  </si>
  <si>
    <t>062-74-4360</t>
  </si>
  <si>
    <t>060-72-0594</t>
  </si>
  <si>
    <t>071-50-6394</t>
  </si>
  <si>
    <t>053-68-4528</t>
  </si>
  <si>
    <t>000-00-2054</t>
  </si>
  <si>
    <t>096-62-2838</t>
  </si>
  <si>
    <t>099-44-7840</t>
  </si>
  <si>
    <t>083-98-7783</t>
  </si>
  <si>
    <t>055-58-4926</t>
  </si>
  <si>
    <t>085-50-4856</t>
  </si>
  <si>
    <t>054-96-4729</t>
  </si>
  <si>
    <t>067-64-4095</t>
  </si>
  <si>
    <t>003-02-5917</t>
  </si>
  <si>
    <t>088-58-0738</t>
  </si>
  <si>
    <t>117-64-2014</t>
  </si>
  <si>
    <t>583-11-7140</t>
  </si>
  <si>
    <t>123-64-8395</t>
  </si>
  <si>
    <t>085-58-7767</t>
  </si>
  <si>
    <t>057-60-1927</t>
  </si>
  <si>
    <t>074-82-6407</t>
  </si>
  <si>
    <t>097-64-2982</t>
  </si>
  <si>
    <t>129-56-8661</t>
  </si>
  <si>
    <t>106-50-0810</t>
  </si>
  <si>
    <t>106-88-3860</t>
  </si>
  <si>
    <t>064-90-2899</t>
  </si>
  <si>
    <t>099-48-2014</t>
  </si>
  <si>
    <t>108-52-1632</t>
  </si>
  <si>
    <t>000-00-7047</t>
  </si>
  <si>
    <t>130-36-7286</t>
  </si>
  <si>
    <t>187-70-7024</t>
  </si>
  <si>
    <t>094-02-9016</t>
  </si>
  <si>
    <t>456-41-1535</t>
  </si>
  <si>
    <t>096-46-7293</t>
  </si>
  <si>
    <t>101-54-3698</t>
  </si>
  <si>
    <t>050-86-6029</t>
  </si>
  <si>
    <t>579-70-9442</t>
  </si>
  <si>
    <t>099-56-8753</t>
  </si>
  <si>
    <t>077-58-1374</t>
  </si>
  <si>
    <t>584-70-9240</t>
  </si>
  <si>
    <t>125-82-8188</t>
  </si>
  <si>
    <t>635-54-7020</t>
  </si>
  <si>
    <t>109-48-2727</t>
  </si>
  <si>
    <t>093-66-6910</t>
  </si>
  <si>
    <t>054-58-8420</t>
  </si>
  <si>
    <t>098-54-7485</t>
  </si>
  <si>
    <t>122-64-8572</t>
  </si>
  <si>
    <t>584-08-0937</t>
  </si>
  <si>
    <t>117-32-6812</t>
  </si>
  <si>
    <t>092-02-8856</t>
  </si>
  <si>
    <t>121-70-1541</t>
  </si>
  <si>
    <t>120-44-2173</t>
  </si>
  <si>
    <t>052-76-2053</t>
  </si>
  <si>
    <t>092-80-9749</t>
  </si>
  <si>
    <t>093-58-1830</t>
  </si>
  <si>
    <t>064-58-7548</t>
  </si>
  <si>
    <t>000-00-7216</t>
  </si>
  <si>
    <t>596-20-7994</t>
  </si>
  <si>
    <t>085-58-3440</t>
  </si>
  <si>
    <t>079-56-1494</t>
  </si>
  <si>
    <t>126-86-1287</t>
  </si>
  <si>
    <t>073-90-7325</t>
  </si>
  <si>
    <t>176-70-4504</t>
  </si>
  <si>
    <t>123-06-3023</t>
  </si>
  <si>
    <t>068-48-5106</t>
  </si>
  <si>
    <t>078-78-2959</t>
  </si>
  <si>
    <t>814-97-2688</t>
  </si>
  <si>
    <t>098-62-1689</t>
  </si>
  <si>
    <t>000-00-1232</t>
  </si>
  <si>
    <t>121-52-0249</t>
  </si>
  <si>
    <t>596-28-4158</t>
  </si>
  <si>
    <t>005-46-5348</t>
  </si>
  <si>
    <t>123-98-7026</t>
  </si>
  <si>
    <t>060-84-5387</t>
  </si>
  <si>
    <t>114-96-7551</t>
  </si>
  <si>
    <t>108-72-5217</t>
  </si>
  <si>
    <t>119-72-0141</t>
  </si>
  <si>
    <t>138-98-8388</t>
  </si>
  <si>
    <t>124-60-7397</t>
  </si>
  <si>
    <t>589-65-0785</t>
  </si>
  <si>
    <t>096-36-3603</t>
  </si>
  <si>
    <t>124-44-8738</t>
  </si>
  <si>
    <t>102-68-0894</t>
  </si>
  <si>
    <t>117-82-1022</t>
  </si>
  <si>
    <t>078-74-9676</t>
  </si>
  <si>
    <t>077-42-9182</t>
  </si>
  <si>
    <t>060-58-2383</t>
  </si>
  <si>
    <t>078-86-8539</t>
  </si>
  <si>
    <t>073-64-9027</t>
  </si>
  <si>
    <t>129-70-3972</t>
  </si>
  <si>
    <t>078-72-1568</t>
  </si>
  <si>
    <t>053-54-4972</t>
  </si>
  <si>
    <t>103-62-0516</t>
  </si>
  <si>
    <t>209-75-5464</t>
  </si>
  <si>
    <t>062-66-9344</t>
  </si>
  <si>
    <t>099-60-8110</t>
  </si>
  <si>
    <t>033-44-5749</t>
  </si>
  <si>
    <t>584-47-4471</t>
  </si>
  <si>
    <t>071-48-5938</t>
  </si>
  <si>
    <t>059-76-9991</t>
  </si>
  <si>
    <t>100-58-4283</t>
  </si>
  <si>
    <t>486-80-1423</t>
  </si>
  <si>
    <t>092-82-5643</t>
  </si>
  <si>
    <t>083-64-2992</t>
  </si>
  <si>
    <t>101-58-4550</t>
  </si>
  <si>
    <t>134-62-2040</t>
  </si>
  <si>
    <t>163-56-3209</t>
  </si>
  <si>
    <t>132-56-6630</t>
  </si>
  <si>
    <t>730-03-4537</t>
  </si>
  <si>
    <t>107-76-3295</t>
  </si>
  <si>
    <t>114-72-1299</t>
  </si>
  <si>
    <t>111-94-3076</t>
  </si>
  <si>
    <t>117-24-5977</t>
  </si>
  <si>
    <t>103-74-1088</t>
  </si>
  <si>
    <t>057-60-0938</t>
  </si>
  <si>
    <t>126-66-7191</t>
  </si>
  <si>
    <t>134-60-9865</t>
  </si>
  <si>
    <t>053-70-8730</t>
  </si>
  <si>
    <t>000-00-4906</t>
  </si>
  <si>
    <t>012-76-8998</t>
  </si>
  <si>
    <t>074-56-4689</t>
  </si>
  <si>
    <t>125-64-7009</t>
  </si>
  <si>
    <t>073-62-7777</t>
  </si>
  <si>
    <t>077-88-4499</t>
  </si>
  <si>
    <t>057-72-1134</t>
  </si>
  <si>
    <t>061-60-1847</t>
  </si>
  <si>
    <t>627-70-9814</t>
  </si>
  <si>
    <t>058-90-5861</t>
  </si>
  <si>
    <t>052-02-4827</t>
  </si>
  <si>
    <t>058-98-8459</t>
  </si>
  <si>
    <t>115-92-9511</t>
  </si>
  <si>
    <t>132-54-6263</t>
  </si>
  <si>
    <t>052-46-3502</t>
  </si>
  <si>
    <t>057-78-3888</t>
  </si>
  <si>
    <t>072-38-6069</t>
  </si>
  <si>
    <t>053-62-6900</t>
  </si>
  <si>
    <t>060-86-7628</t>
  </si>
  <si>
    <t>120-58-2859</t>
  </si>
  <si>
    <t>126-46-0087</t>
  </si>
  <si>
    <t>131-58-5999</t>
  </si>
  <si>
    <t>121-90-2636</t>
  </si>
  <si>
    <t>055-30-5133</t>
  </si>
  <si>
    <t>055-42-4435</t>
  </si>
  <si>
    <t>048-08-6305</t>
  </si>
  <si>
    <t>070-56-8409</t>
  </si>
  <si>
    <t>098-50-1334</t>
  </si>
  <si>
    <t>055-76-8328</t>
  </si>
  <si>
    <t>282-60-1288</t>
  </si>
  <si>
    <t>580-31-6801</t>
  </si>
  <si>
    <t>668-12-5599</t>
  </si>
  <si>
    <t>057-60-6611</t>
  </si>
  <si>
    <t>134-64-2600</t>
  </si>
  <si>
    <t>071-58-4079</t>
  </si>
  <si>
    <t>062-56-8545</t>
  </si>
  <si>
    <t>597-46-8372</t>
  </si>
  <si>
    <t>073-86-8315</t>
  </si>
  <si>
    <t>093-64-0552</t>
  </si>
  <si>
    <t>583-31-5312</t>
  </si>
  <si>
    <t>351-66-8317</t>
  </si>
  <si>
    <t>058-50-2701</t>
  </si>
  <si>
    <t>065-54-8231</t>
  </si>
  <si>
    <t>105-70-3758</t>
  </si>
  <si>
    <t>108-68-1905</t>
  </si>
  <si>
    <t>057-78-8391</t>
  </si>
  <si>
    <t>092-74-6769</t>
  </si>
  <si>
    <t>134-72-4009</t>
  </si>
  <si>
    <t>069-62-7184</t>
  </si>
  <si>
    <t>072-68-2602</t>
  </si>
  <si>
    <t>069-64-1702</t>
  </si>
  <si>
    <t>130-96-5423</t>
  </si>
  <si>
    <t>072-68-3193</t>
  </si>
  <si>
    <t>078-32-4351</t>
  </si>
  <si>
    <t>074-72-0866</t>
  </si>
  <si>
    <t>000-00-4692</t>
  </si>
  <si>
    <t>113-52-0492</t>
  </si>
  <si>
    <t>061-88-1092</t>
  </si>
  <si>
    <t>083-62-4223</t>
  </si>
  <si>
    <t>071-82-2485</t>
  </si>
  <si>
    <t>049-74-1328</t>
  </si>
  <si>
    <t>052-88-0423</t>
  </si>
  <si>
    <t>037-64-0677</t>
  </si>
  <si>
    <t>090-58-2105</t>
  </si>
  <si>
    <t>581-52-1358</t>
  </si>
  <si>
    <t>087-44-7872</t>
  </si>
  <si>
    <t>092-42-5911</t>
  </si>
  <si>
    <t>057-58-5305</t>
  </si>
  <si>
    <t>075-76-8127</t>
  </si>
  <si>
    <t>597-16-7469</t>
  </si>
  <si>
    <t>085-74-0537</t>
  </si>
  <si>
    <t>074-56-1705</t>
  </si>
  <si>
    <t>057-74-9143</t>
  </si>
  <si>
    <t>143-80-4223</t>
  </si>
  <si>
    <t>069-90-7935</t>
  </si>
  <si>
    <t>114-50-5090</t>
  </si>
  <si>
    <t>214-55-6004</t>
  </si>
  <si>
    <t>120-60-5356</t>
  </si>
  <si>
    <t>204-50-7118</t>
  </si>
  <si>
    <t>062-84-0490</t>
  </si>
  <si>
    <t>000-00-1355</t>
  </si>
  <si>
    <t>116-48-0572</t>
  </si>
  <si>
    <t>139-56-3954</t>
  </si>
  <si>
    <t>077-64-3851</t>
  </si>
  <si>
    <t>077-84-3625</t>
  </si>
  <si>
    <t>056-70-7366</t>
  </si>
  <si>
    <t>070-60-1058</t>
  </si>
  <si>
    <t>067-74-6279</t>
  </si>
  <si>
    <t>093-82-5522</t>
  </si>
  <si>
    <t>092-76-6481</t>
  </si>
  <si>
    <t>125-40-4339</t>
  </si>
  <si>
    <t>066-58-5155</t>
  </si>
  <si>
    <t>077-58-1358</t>
  </si>
  <si>
    <t>057-86-3517</t>
  </si>
  <si>
    <t>060-72-9151</t>
  </si>
  <si>
    <t>059-78-8967</t>
  </si>
  <si>
    <t>099-60-2353</t>
  </si>
  <si>
    <t>069-62-7133</t>
  </si>
  <si>
    <t>582-90-7731</t>
  </si>
  <si>
    <t>085-64-5852</t>
  </si>
  <si>
    <t>112-62-2993</t>
  </si>
  <si>
    <t>581-53-2280</t>
  </si>
  <si>
    <t>580-12-6089</t>
  </si>
  <si>
    <t>086-74-6982</t>
  </si>
  <si>
    <t>117-78-5963</t>
  </si>
  <si>
    <t>121-40-0557</t>
  </si>
  <si>
    <t>053-66-1268</t>
  </si>
  <si>
    <t>096-88-6073</t>
  </si>
  <si>
    <t>119-76-4606</t>
  </si>
  <si>
    <t>098-66-5322</t>
  </si>
  <si>
    <t>074-80-1641</t>
  </si>
  <si>
    <t>058-46-6359</t>
  </si>
  <si>
    <t>100-74-3918</t>
  </si>
  <si>
    <t>731-12-1545</t>
  </si>
  <si>
    <t>054-46-8797</t>
  </si>
  <si>
    <t>126-52-5074</t>
  </si>
  <si>
    <t>110-74-3529</t>
  </si>
  <si>
    <t>147-68-2593</t>
  </si>
  <si>
    <t>729-07-8907</t>
  </si>
  <si>
    <t>260-11-0246</t>
  </si>
  <si>
    <t>481-85-7291</t>
  </si>
  <si>
    <t>106-50-1484</t>
  </si>
  <si>
    <t>116-60-1839</t>
  </si>
  <si>
    <t>134-60-5523</t>
  </si>
  <si>
    <t>114-78-7110</t>
  </si>
  <si>
    <t>110-50-3038</t>
  </si>
  <si>
    <t>069-56-1544</t>
  </si>
  <si>
    <t>339-92-7905</t>
  </si>
  <si>
    <t>133-70-7704</t>
  </si>
  <si>
    <t>130-62-5630</t>
  </si>
  <si>
    <t>060-50-7936</t>
  </si>
  <si>
    <t>123-80-0421</t>
  </si>
  <si>
    <t>085-36-3437</t>
  </si>
  <si>
    <t>116-58-4432</t>
  </si>
  <si>
    <t>580-04-9803</t>
  </si>
  <si>
    <t>000-00-1957</t>
  </si>
  <si>
    <t>063-68-3845</t>
  </si>
  <si>
    <t>117-74-3568</t>
  </si>
  <si>
    <t>118-44-8855</t>
  </si>
  <si>
    <t>054-36-0501</t>
  </si>
  <si>
    <t>132-56-5821</t>
  </si>
  <si>
    <t>111-80-3440</t>
  </si>
  <si>
    <t>188-58-9353</t>
  </si>
  <si>
    <t>077-44-8917</t>
  </si>
  <si>
    <t>713-31-4528</t>
  </si>
  <si>
    <t>052-72-7238</t>
  </si>
  <si>
    <t>129-82-7334</t>
  </si>
  <si>
    <t>063-88-5626</t>
  </si>
  <si>
    <t>248-86-3572</t>
  </si>
  <si>
    <t>133-86-7176</t>
  </si>
  <si>
    <t>095-76-6486</t>
  </si>
  <si>
    <t>077-66-5969</t>
  </si>
  <si>
    <t>083-74-1388</t>
  </si>
  <si>
    <t>116-76-2017</t>
  </si>
  <si>
    <t>134-60-7166</t>
  </si>
  <si>
    <t>089-58-1430</t>
  </si>
  <si>
    <t>103-90-9949</t>
  </si>
  <si>
    <t>056-80-1339</t>
  </si>
  <si>
    <t>426-65-1711</t>
  </si>
  <si>
    <t>090-64-5893</t>
  </si>
  <si>
    <t>012-72-5438</t>
  </si>
  <si>
    <t>088-63-6249</t>
  </si>
  <si>
    <t>259-35-7168</t>
  </si>
  <si>
    <t>000-00-0194</t>
  </si>
  <si>
    <t>106-36-5349</t>
  </si>
  <si>
    <t>051-44-8078</t>
  </si>
  <si>
    <t>079-60-9955</t>
  </si>
  <si>
    <t>062-66-2678</t>
  </si>
  <si>
    <t>084-42-7014</t>
  </si>
  <si>
    <t>134-32-4635</t>
  </si>
  <si>
    <t>096-36-5787</t>
  </si>
  <si>
    <t>750-84-6060</t>
  </si>
  <si>
    <t>111-32-6790</t>
  </si>
  <si>
    <t>121-56-6011</t>
  </si>
  <si>
    <t>078-36-0108</t>
  </si>
  <si>
    <t>069-36-0535</t>
  </si>
  <si>
    <t>000-00-9899</t>
  </si>
  <si>
    <t>066-64-0282</t>
  </si>
  <si>
    <t>075-60-9470</t>
  </si>
  <si>
    <t>075-95-3095</t>
  </si>
  <si>
    <t>114-66-8020</t>
  </si>
  <si>
    <t>110-90-6388</t>
  </si>
  <si>
    <t>110-62-9132</t>
  </si>
  <si>
    <t>084-52-0840</t>
  </si>
  <si>
    <t>539-06-9985</t>
  </si>
  <si>
    <t>102-74-9238</t>
  </si>
  <si>
    <t>289-49-7159</t>
  </si>
  <si>
    <t>074-44-6193</t>
  </si>
  <si>
    <t>104-98-1391</t>
  </si>
  <si>
    <t>070-34-1192</t>
  </si>
  <si>
    <t>133-98-8208</t>
  </si>
  <si>
    <t>124-80-8708</t>
  </si>
  <si>
    <t>092-68-6288</t>
  </si>
  <si>
    <t>108-68-3345</t>
  </si>
  <si>
    <t>106-76-9017</t>
  </si>
  <si>
    <t>412-61-1264</t>
  </si>
  <si>
    <t>077-86-6866</t>
  </si>
  <si>
    <t>128-40-3156</t>
  </si>
  <si>
    <t>077-74-7379</t>
  </si>
  <si>
    <t>106-94-6531</t>
  </si>
  <si>
    <t>063-82-7141</t>
  </si>
  <si>
    <t>094-68-2829</t>
  </si>
  <si>
    <t>109-64-3113</t>
  </si>
  <si>
    <t>889-52-8774</t>
  </si>
  <si>
    <t>120-76-6720</t>
  </si>
  <si>
    <t>132-80-0224</t>
  </si>
  <si>
    <t>000-00-7492</t>
  </si>
  <si>
    <t>059-86-5065</t>
  </si>
  <si>
    <t>120-96-9129</t>
  </si>
  <si>
    <t>105-78-2520</t>
  </si>
  <si>
    <t>081-64-7694</t>
  </si>
  <si>
    <t>055-48-9082</t>
  </si>
  <si>
    <t>063-56-7181</t>
  </si>
  <si>
    <t>098-44-6974</t>
  </si>
  <si>
    <t>589-96-3660</t>
  </si>
  <si>
    <t>006-88-6307</t>
  </si>
  <si>
    <t>085-70-3876</t>
  </si>
  <si>
    <t>130-62-1338</t>
  </si>
  <si>
    <t>058-62-1467</t>
  </si>
  <si>
    <t>078-46-3716</t>
  </si>
  <si>
    <t>087-50-8343</t>
  </si>
  <si>
    <t>160-38-6581</t>
  </si>
  <si>
    <t>131-94-9812</t>
  </si>
  <si>
    <t>130-82-3494</t>
  </si>
  <si>
    <t>060-84-7321</t>
  </si>
  <si>
    <t>072-50-6590</t>
  </si>
  <si>
    <t>104-68-7034</t>
  </si>
  <si>
    <t>151-92-5719</t>
  </si>
  <si>
    <t>060-86-2355</t>
  </si>
  <si>
    <t>116-72-0993</t>
  </si>
  <si>
    <t>017-54-8746</t>
  </si>
  <si>
    <t>068-64-8594</t>
  </si>
  <si>
    <t>045-90-4490</t>
  </si>
  <si>
    <t>053-44-6454</t>
  </si>
  <si>
    <t>082-74-7872</t>
  </si>
  <si>
    <t>069-66-0623</t>
  </si>
  <si>
    <t>074-70-6056</t>
  </si>
  <si>
    <t>125-44-0821</t>
  </si>
  <si>
    <t>078-60-5540</t>
  </si>
  <si>
    <t>125-54-5343</t>
  </si>
  <si>
    <t>105-94-0219</t>
  </si>
  <si>
    <t>056-40-1275</t>
  </si>
  <si>
    <t>063-58-3116</t>
  </si>
  <si>
    <t>050-66-3289</t>
  </si>
  <si>
    <t>117-62-5992</t>
  </si>
  <si>
    <t>100-46-9791</t>
  </si>
  <si>
    <t>108-54-4962</t>
  </si>
  <si>
    <t>098-66-4215</t>
  </si>
  <si>
    <t>133-68-0834</t>
  </si>
  <si>
    <t>163-58-5978</t>
  </si>
  <si>
    <t>081-60-0688</t>
  </si>
  <si>
    <t>077-70-7752</t>
  </si>
  <si>
    <t>454-33-4555</t>
  </si>
  <si>
    <t>065-60-8511</t>
  </si>
  <si>
    <t>117-70-7974</t>
  </si>
  <si>
    <t>074-56-0015</t>
  </si>
  <si>
    <t>054-40-6814</t>
  </si>
  <si>
    <t>044-36-8581</t>
  </si>
  <si>
    <t>086-66-2650</t>
  </si>
  <si>
    <t>560-85-9457</t>
  </si>
  <si>
    <t>596-01-7757</t>
  </si>
  <si>
    <t>132-70-8695</t>
  </si>
  <si>
    <t>132-88-0017</t>
  </si>
  <si>
    <t>103-42-7746</t>
  </si>
  <si>
    <t>063-82-3048</t>
  </si>
  <si>
    <t>065-78-6382</t>
  </si>
  <si>
    <t>000-00-9398</t>
  </si>
  <si>
    <t>106-32-1676</t>
  </si>
  <si>
    <t>098-20-6546</t>
  </si>
  <si>
    <t>111-60-9031</t>
  </si>
  <si>
    <t>072-33-3443</t>
  </si>
  <si>
    <t>584-85-3440</t>
  </si>
  <si>
    <t>062-76-5713</t>
  </si>
  <si>
    <t>128-86-1001</t>
  </si>
  <si>
    <t>068-32-1079</t>
  </si>
  <si>
    <t>084-54-0240</t>
  </si>
  <si>
    <t>051-46-4850</t>
  </si>
  <si>
    <t>300-29-0231</t>
  </si>
  <si>
    <t>109-64-3895</t>
  </si>
  <si>
    <t>000-00-7706</t>
  </si>
  <si>
    <t>122-86-2625</t>
  </si>
  <si>
    <t>069-76-2127</t>
  </si>
  <si>
    <t>123-60-1188</t>
  </si>
  <si>
    <t>124-32-9465</t>
  </si>
  <si>
    <t>374-96-6138</t>
  </si>
  <si>
    <t>098-48-3960</t>
  </si>
  <si>
    <t>105-58-9177</t>
  </si>
  <si>
    <t>132-58-5856</t>
  </si>
  <si>
    <t>271-14-4794</t>
  </si>
  <si>
    <t>056-58-9463</t>
  </si>
  <si>
    <t>060-36-3289</t>
  </si>
  <si>
    <t>126-80-3543</t>
  </si>
  <si>
    <t>101-82-8213</t>
  </si>
  <si>
    <t>102-78-1119</t>
  </si>
  <si>
    <t>085-76-7156</t>
  </si>
  <si>
    <t>607-82-8947</t>
  </si>
  <si>
    <t>076-60-8686</t>
  </si>
  <si>
    <t>078-66-7307</t>
  </si>
  <si>
    <t>541-29-3269</t>
  </si>
  <si>
    <t>092-42-4369</t>
  </si>
  <si>
    <t>011-74-0430</t>
  </si>
  <si>
    <t>092-54-2455</t>
  </si>
  <si>
    <t>092-76-9844</t>
  </si>
  <si>
    <t>097-70-8157</t>
  </si>
  <si>
    <t>108-48-9505</t>
  </si>
  <si>
    <t>597-26-3727</t>
  </si>
  <si>
    <t>080-52-2049</t>
  </si>
  <si>
    <t>121-54-1862</t>
  </si>
  <si>
    <t>073-50-6745</t>
  </si>
  <si>
    <t>104-58-8990</t>
  </si>
  <si>
    <t>143-96-6319</t>
  </si>
  <si>
    <t>058-60-6529</t>
  </si>
  <si>
    <t>239-64-3026</t>
  </si>
  <si>
    <t>120-54-8259</t>
  </si>
  <si>
    <t>122-78-6501</t>
  </si>
  <si>
    <t>006-90-3664</t>
  </si>
  <si>
    <t>634-12-0794</t>
  </si>
  <si>
    <t>128-70-1787</t>
  </si>
  <si>
    <t>089-76-9848</t>
  </si>
  <si>
    <t>082-40-5903</t>
  </si>
  <si>
    <t>348-74-3168</t>
  </si>
  <si>
    <t>097-74-2363</t>
  </si>
  <si>
    <t>254-83-0071</t>
  </si>
  <si>
    <t>115-62-9440</t>
  </si>
  <si>
    <t>456-79-2082</t>
  </si>
  <si>
    <t>596-09-6071</t>
  </si>
  <si>
    <t>248-11-9611</t>
  </si>
  <si>
    <t>125-62-3341</t>
  </si>
  <si>
    <t>055-78-6989</t>
  </si>
  <si>
    <t>118-74-4760</t>
  </si>
  <si>
    <t>128-96-0875</t>
  </si>
  <si>
    <t>543-45-6906</t>
  </si>
  <si>
    <t>109-60-1869</t>
  </si>
  <si>
    <t>580-16-7661</t>
  </si>
  <si>
    <t>087-98-5687</t>
  </si>
  <si>
    <t>073-56-9098</t>
  </si>
  <si>
    <t>058-90-0140</t>
  </si>
  <si>
    <t>052-72-1303</t>
  </si>
  <si>
    <t>102-50-9783</t>
  </si>
  <si>
    <t>079-68-6666</t>
  </si>
  <si>
    <t>060-68-6561</t>
  </si>
  <si>
    <t>085-60-5786</t>
  </si>
  <si>
    <t>075-56-9004</t>
  </si>
  <si>
    <t>079-02-4574</t>
  </si>
  <si>
    <t>916-82-7803</t>
  </si>
  <si>
    <t>117-54-0356</t>
  </si>
  <si>
    <t>120-78-7792</t>
  </si>
  <si>
    <t>757-40-6257</t>
  </si>
  <si>
    <t>073-52-6542</t>
  </si>
  <si>
    <t>056-70-1457</t>
  </si>
  <si>
    <t>263-95-9248</t>
  </si>
  <si>
    <t>000-00-0578</t>
  </si>
  <si>
    <t>191-86-5503</t>
  </si>
  <si>
    <t>260-61-1436</t>
  </si>
  <si>
    <t>080-94-3683</t>
  </si>
  <si>
    <t>267-68-3992</t>
  </si>
  <si>
    <t>121-72-9088</t>
  </si>
  <si>
    <t>063-84-2021</t>
  </si>
  <si>
    <t>228-15-2951</t>
  </si>
  <si>
    <t>114-70-7714</t>
  </si>
  <si>
    <t>014-70-1864</t>
  </si>
  <si>
    <t>127-78-9249</t>
  </si>
  <si>
    <t>063-42-4065</t>
  </si>
  <si>
    <t>614-50-5948</t>
  </si>
  <si>
    <t>100-40-4679</t>
  </si>
  <si>
    <t>056-64-3902</t>
  </si>
  <si>
    <t>141-84-5048</t>
  </si>
  <si>
    <t>595-89-3150</t>
  </si>
  <si>
    <t>050-64-6373</t>
  </si>
  <si>
    <t>590-52-6713</t>
  </si>
  <si>
    <t>549-65-2208</t>
  </si>
  <si>
    <t>306-92-3236</t>
  </si>
  <si>
    <t>121-68-0346</t>
  </si>
  <si>
    <t>353-86-7413</t>
  </si>
  <si>
    <t>128-48-3852</t>
  </si>
  <si>
    <t>064-82-8614</t>
  </si>
  <si>
    <t>172-54-7783</t>
  </si>
  <si>
    <t>534-17-8320</t>
  </si>
  <si>
    <t>082-74-0413</t>
  </si>
  <si>
    <t>102-98-6344</t>
  </si>
  <si>
    <t>249-81-5160</t>
  </si>
  <si>
    <t>107-80-9996</t>
  </si>
  <si>
    <t>241-90-1980</t>
  </si>
  <si>
    <t>050-38-2766</t>
  </si>
  <si>
    <t>099-72-5856</t>
  </si>
  <si>
    <t>233-25-0747</t>
  </si>
  <si>
    <t>532-94-6576</t>
  </si>
  <si>
    <t>058-78-8018</t>
  </si>
  <si>
    <t>116-72-8482</t>
  </si>
  <si>
    <t>116-54-1124</t>
  </si>
  <si>
    <t>729-07-7432</t>
  </si>
  <si>
    <t>230-63-1094</t>
  </si>
  <si>
    <t>074-84-5501</t>
  </si>
  <si>
    <t>128-66-5291</t>
  </si>
  <si>
    <t>090-50-2380</t>
  </si>
  <si>
    <t>555-97-1673</t>
  </si>
  <si>
    <t>524-63-4064</t>
  </si>
  <si>
    <t>758-77-6626</t>
  </si>
  <si>
    <t>042-82-4087</t>
  </si>
  <si>
    <t>058-66-8294</t>
  </si>
  <si>
    <t>071-64-5267</t>
  </si>
  <si>
    <t>175-66-9812</t>
  </si>
  <si>
    <t>866-91-7307</t>
  </si>
  <si>
    <t>684-72-6783</t>
  </si>
  <si>
    <t>110-58-4928</t>
  </si>
  <si>
    <t>127-42-8355</t>
  </si>
  <si>
    <t>087-76-3187</t>
  </si>
  <si>
    <t>430-59-6891</t>
  </si>
  <si>
    <t>Unregulated</t>
  </si>
  <si>
    <t>Project-based Sec. 8</t>
  </si>
  <si>
    <t>Other Subsidized Housing</t>
  </si>
  <si>
    <t>Rent Stabilized</t>
  </si>
  <si>
    <t>Mitchell-Lama</t>
  </si>
  <si>
    <t>Unregulated – Co-Op</t>
  </si>
  <si>
    <t>Rent Controlled</t>
  </si>
  <si>
    <t>Low Income Tax Credit</t>
  </si>
  <si>
    <t>Public Housing/NYCHA</t>
  </si>
  <si>
    <t>Supportive Housing</t>
  </si>
  <si>
    <t>Public Housing</t>
  </si>
  <si>
    <t>Unregulated – Other</t>
  </si>
  <si>
    <t>HDFC</t>
  </si>
  <si>
    <t>Unregulated – Sublet</t>
  </si>
  <si>
    <t>LINC</t>
  </si>
  <si>
    <t>Section 8</t>
  </si>
  <si>
    <t>FEPS</t>
  </si>
  <si>
    <t>HOMETBRA</t>
  </si>
  <si>
    <t>SEPS</t>
  </si>
  <si>
    <t>City FEPS</t>
  </si>
  <si>
    <t>HUD VASH</t>
  </si>
  <si>
    <t>HASA</t>
  </si>
  <si>
    <t>DRIE/SCRIE</t>
  </si>
  <si>
    <t>Pathways Home</t>
  </si>
  <si>
    <t>11/28/2016</t>
  </si>
  <si>
    <t>11/26/2016</t>
  </si>
  <si>
    <t>09/17/2017</t>
  </si>
  <si>
    <t>09/19/2017</t>
  </si>
  <si>
    <t>09/12/2017</t>
  </si>
  <si>
    <t>03/02/2017</t>
  </si>
  <si>
    <t>05/12/2017</t>
  </si>
  <si>
    <t>02/26/2018</t>
  </si>
  <si>
    <t>02/20/2017</t>
  </si>
  <si>
    <t>05/11/2018</t>
  </si>
  <si>
    <t>08/16/2017</t>
  </si>
  <si>
    <t>03/20/2017</t>
  </si>
  <si>
    <t>FJC Waiver</t>
  </si>
  <si>
    <t>Income Waiver</t>
  </si>
  <si>
    <t>CAT1: HRA Referral</t>
  </si>
  <si>
    <t>Zip Code Waiver</t>
  </si>
  <si>
    <t>CAT3: Cases Involving Rent-Regulated Housing Or Housing Subsidies Vouchers</t>
  </si>
  <si>
    <t>English</t>
  </si>
  <si>
    <t>Spanish</t>
  </si>
  <si>
    <t>Bengali</t>
  </si>
  <si>
    <t>Korean</t>
  </si>
  <si>
    <t>Chinese/Mandarin</t>
  </si>
  <si>
    <t>Creole</t>
  </si>
  <si>
    <t>Dutch</t>
  </si>
  <si>
    <t>Arabic</t>
  </si>
  <si>
    <t>Albanian</t>
  </si>
  <si>
    <t>Rumanian</t>
  </si>
  <si>
    <t xml:space="preserve">Chinese </t>
  </si>
  <si>
    <t>Finnish</t>
  </si>
  <si>
    <t>Persian</t>
  </si>
  <si>
    <t>Cantonese</t>
  </si>
  <si>
    <t>Samoan</t>
  </si>
  <si>
    <t>Mandarin</t>
  </si>
  <si>
    <t>Amer. Sign Lang.</t>
  </si>
  <si>
    <t>French Creole</t>
  </si>
  <si>
    <t>Japanese</t>
  </si>
  <si>
    <t>Portuguese</t>
  </si>
  <si>
    <t>Slovak</t>
  </si>
  <si>
    <t>Hebrew</t>
  </si>
  <si>
    <t>Russian</t>
  </si>
  <si>
    <t>Cambodian</t>
  </si>
  <si>
    <t>Tagalog</t>
  </si>
  <si>
    <t>consumer issue</t>
  </si>
  <si>
    <t>Waiver obtained re No DHCI required</t>
  </si>
  <si>
    <t>Wavier for APT Faical Recognition. No DHCI required.</t>
  </si>
  <si>
    <t>Wavier for APT Facial Recognition. No DHCI required.</t>
  </si>
  <si>
    <t>Wavier for APT Facial Recognition. No DHCI required. Compliance forms are in 19-1897190</t>
  </si>
  <si>
    <t>Building wide waiver obtained for DHCI form</t>
  </si>
  <si>
    <t>DO-Docs signed and uploaded</t>
  </si>
  <si>
    <t>Compliance docs located in companion file #18-1882630</t>
  </si>
  <si>
    <t>Waiver obtained re No DHCI required. Attestation &amp; Release are housed in parent file #19-1891491</t>
  </si>
  <si>
    <t>Waiver obtained re No DHCI required. Attestation &amp; Release are housed in parent file #19-1891507</t>
  </si>
  <si>
    <t>Waiver obtained re No DHCI required. Attestation &amp; Release are housed in parent file #19-1891531</t>
  </si>
  <si>
    <t>Compliance forms are in orignal LS 19-1892512</t>
  </si>
  <si>
    <t>Compliance forms are 19-1897167</t>
  </si>
  <si>
    <t>Building wide waiver obtained for DHCI form - Compliance Docs located in companion file #19-1897528</t>
  </si>
  <si>
    <t>compliance doc 18-1876696</t>
  </si>
  <si>
    <t>Release and DHCI in 18-1871432</t>
  </si>
  <si>
    <t>see 18-1875936 for compliance docs</t>
  </si>
  <si>
    <t>Compliance forms and all other documents can be found in original case 18-1872177</t>
  </si>
  <si>
    <t>DHCI Form does not match what is in LS</t>
  </si>
  <si>
    <t>Compliance forms are in original LS 19-1893301</t>
  </si>
  <si>
    <t>All forms are uploaded</t>
  </si>
  <si>
    <t>Still needs attestation &amp; Retainer</t>
  </si>
  <si>
    <t>Compliance docs located in companion file #19-1895289</t>
  </si>
  <si>
    <t>Releases are uploaded</t>
  </si>
  <si>
    <t>Compliance Docs located in parent file 18-1856466</t>
  </si>
  <si>
    <t>DHCI and HRA forms located in #19-1889315 - Retainer located in #18-1856466</t>
  </si>
  <si>
    <t>compliance docs are in attestation folder</t>
  </si>
  <si>
    <t>Advice Only</t>
  </si>
  <si>
    <t>DHCI form done</t>
  </si>
  <si>
    <t>DHCI form done HRA</t>
  </si>
  <si>
    <t>All DHCR advocacy occurred 4 months apart, we just obtained all forms in 2018.  No benefit, HRA verified, 7/20/17</t>
  </si>
  <si>
    <t>No 4 month issue, PAR, rent reduction and MCI opp all occurred 4+ months apart</t>
  </si>
  <si>
    <t>CASA 11/29</t>
  </si>
  <si>
    <t>4/10-needs advocacy or advice notes</t>
  </si>
  <si>
    <t>PA# in lieu of DHCI</t>
  </si>
  <si>
    <t>Client did not provide SS number</t>
  </si>
  <si>
    <t>DHCI by HRA</t>
  </si>
  <si>
    <t>advice over phone.</t>
  </si>
  <si>
    <t>compliance docs in Case No: (19-1895470</t>
  </si>
  <si>
    <t>DHCI &amp; billing consent in file # 18-1884409</t>
  </si>
  <si>
    <t>DO</t>
  </si>
  <si>
    <t>consent &amp; DHCI in 18-1884972</t>
  </si>
  <si>
    <t>COnsebt and DHCI 19-1897729</t>
  </si>
  <si>
    <t>DO-Docs signed and uploaded-File is under the compliance folder as "Attestation"</t>
  </si>
  <si>
    <t>DV Survivor</t>
  </si>
  <si>
    <t>releases/packet uploaded</t>
  </si>
  <si>
    <t>HPLP/TRC swap</t>
  </si>
  <si>
    <t>Upload in compliance folder</t>
  </si>
  <si>
    <t>consent/DHCI in 18-1878211 (physical file)</t>
  </si>
  <si>
    <t>signed DHCI</t>
  </si>
  <si>
    <t>Compliance Docs located in parent file 18-1880262</t>
  </si>
  <si>
    <t>client homebound, he's mailing compliance docs back to me</t>
  </si>
  <si>
    <t>Client provided last 4 digits of SS# but declined to provide in its entirety;  case did not include any housing activity indicators.</t>
  </si>
  <si>
    <t>Needs an Updated DHCI Form</t>
  </si>
  <si>
    <t>Consent to Release Form is unsigned</t>
  </si>
  <si>
    <t>forms will be signed by client on 10/30/18</t>
  </si>
  <si>
    <t>HRA Rollover case</t>
  </si>
  <si>
    <t>upload in 17-1852920</t>
  </si>
  <si>
    <t>Compliance Docs located in parent file 18-1856516.</t>
  </si>
  <si>
    <t>Waiver obtained for APT facial recognition group wide initiative - No DHCI required</t>
  </si>
  <si>
    <t>Compliance forms are in original LS 19-1890543</t>
  </si>
  <si>
    <t>no pending proceeding</t>
  </si>
  <si>
    <t>Do not report- declined to rep</t>
  </si>
  <si>
    <t>No DHCI signed uploaded</t>
  </si>
  <si>
    <t>All releases and forms are uploaded</t>
  </si>
  <si>
    <t>Compliance forms are in 19-1898251</t>
  </si>
  <si>
    <t>HRA forms in 17-1854779</t>
  </si>
  <si>
    <t>Waiver obtained - No DHCI required</t>
  </si>
  <si>
    <t>Waiver obtained - No DHCI required Compliance Docs located in parent file #19-1890532</t>
  </si>
  <si>
    <t>upload in 17-1853915</t>
  </si>
  <si>
    <t>Waiver for APT Facial Recognition. No DHCI required.</t>
  </si>
  <si>
    <t>Compliance forms are in 19-1896739</t>
  </si>
  <si>
    <t>Compliance Forms are in 19-1896778</t>
  </si>
  <si>
    <t>Compliance forms are in 19-1896778</t>
  </si>
  <si>
    <t>Compliance docs located in companion file #19-1896778</t>
  </si>
  <si>
    <t>compliance docs located in parent file #18-1885168</t>
  </si>
  <si>
    <t>Compliance Docs located in parent file #18-1885168</t>
  </si>
  <si>
    <t>refused to give ss#</t>
  </si>
  <si>
    <t>upload in 17-1835050</t>
  </si>
  <si>
    <t>DHCI form income and LS income do not match</t>
  </si>
  <si>
    <t>CASA 1/3</t>
  </si>
  <si>
    <t>Compliance Docs located in parent file #18-1886406</t>
  </si>
  <si>
    <t>DHCI &amp; HRA forms located in file # 19-1889304 - Retainer located in file #17-1844625</t>
  </si>
  <si>
    <t>CASA 12/6</t>
  </si>
  <si>
    <t>compliance docs located in parent file #18-1885030</t>
  </si>
  <si>
    <t>Compliance Docs located in parent file #18-1885030</t>
  </si>
  <si>
    <t>consent &amp; DHCI in attestation</t>
  </si>
  <si>
    <t>Compliance docs located in file #17-1844623</t>
  </si>
  <si>
    <t>Compliance Docs located in parent file 17-1844625</t>
  </si>
  <si>
    <t>Not comfortable giving out SSN until meets with someone face-to-face</t>
  </si>
  <si>
    <t>intake/release forms are in Attestation-compliance folder of parent file #19-1887512</t>
  </si>
  <si>
    <t>Compliance forms are in original LS 19-1893331</t>
  </si>
  <si>
    <t>Compliance forms are in original lS 19-1893331</t>
  </si>
  <si>
    <t>CASA 10/11</t>
  </si>
  <si>
    <t>Intake release forms are in Attestation-compliance folder</t>
  </si>
  <si>
    <t>DHCI completed.</t>
  </si>
  <si>
    <t>DHCI form</t>
  </si>
  <si>
    <t>HRA Consent form &amp; Attestation located in Parent File 17-1854274</t>
  </si>
  <si>
    <t>Upload in 17-1852362</t>
  </si>
  <si>
    <t>No 4 month issue, rent reduction was done in 2016, PAR was done in 2017, just obtained forms in 2018</t>
  </si>
  <si>
    <t>Waiver obtained re No DHCI required. Attestation &amp; Release are housed in parent file #19-1891662</t>
  </si>
  <si>
    <t>HPLP/TRC funding swap</t>
  </si>
  <si>
    <t>Client did not provide his SS#</t>
  </si>
  <si>
    <t>compliance doc 18-1877190</t>
  </si>
  <si>
    <t>Compliance forms are in 19-1898732</t>
  </si>
  <si>
    <t>refused to give SS#</t>
  </si>
  <si>
    <t>Upload is in Compliance folder</t>
  </si>
  <si>
    <t>Release in Attestation  file</t>
  </si>
  <si>
    <t>no case, can't report UA/HPLP</t>
  </si>
  <si>
    <t>Forms are in the other 2018 file</t>
  </si>
  <si>
    <t>see file # 18-1871977 for consent &amp; DHCI</t>
  </si>
  <si>
    <t>Compliance upload 18-1878653</t>
  </si>
  <si>
    <t>Releases are in the attestation folder</t>
  </si>
  <si>
    <t>DHCI &amp; consent in 18-1884730</t>
  </si>
  <si>
    <t>HRA forms in 18-1873865</t>
  </si>
  <si>
    <t>DHCI and HRA forms located in #19-1889312 -  Retainer located in #17-1844626</t>
  </si>
  <si>
    <t>Wavier for APT facial recognition. No DHCI required.</t>
  </si>
  <si>
    <t>Compliance forms are in original LS 19-1892004</t>
  </si>
  <si>
    <t>Wavier for APt facial recognition. No DHCI required.</t>
  </si>
  <si>
    <t>Compliance forms are in original LS 19-1891991</t>
  </si>
  <si>
    <t>Compliance docs are located in companion file #18-1879255</t>
  </si>
  <si>
    <t>DHCI &amp; HRA forms located in file #19-1889327- Retainer located in file #18-1882438</t>
  </si>
  <si>
    <t>consent in 2018 file; active HRA# in lieu of DHCI</t>
  </si>
  <si>
    <t>Compliance docs located in companion file #18-1882154</t>
  </si>
  <si>
    <t>refused to give me SS#</t>
  </si>
  <si>
    <t>Compliance Docs located in companion file #19-1897431</t>
  </si>
  <si>
    <t>Compliance Docs located in parent file 18-1882438</t>
  </si>
  <si>
    <t>Release forms can be found in Attestation upload</t>
  </si>
  <si>
    <t>Compliance Docs located in parent file #18-1878029</t>
  </si>
  <si>
    <t>DHCI &amp; consent under attestation</t>
  </si>
  <si>
    <t>HPD Termination proceeding, no case number.</t>
  </si>
  <si>
    <t>Compliance Docs found in parent file 18-1878029</t>
  </si>
  <si>
    <t>PVT house</t>
  </si>
  <si>
    <t>Compliance docs located in companion file #18-1884207</t>
  </si>
  <si>
    <t>All compliance forms are uploaded</t>
  </si>
  <si>
    <t>Wavier for APT Facial recognition. No DHCI required.</t>
  </si>
  <si>
    <t>Compliance forms are in original LS 19-1892678</t>
  </si>
  <si>
    <t>Retainer &amp; Attestation in companion file #19-1899826</t>
  </si>
  <si>
    <t>Compliance forms are in 19-1897175</t>
  </si>
  <si>
    <t>Upload in 17-1852179</t>
  </si>
  <si>
    <t>All releases are uploaded</t>
  </si>
  <si>
    <t>don't need DHCI bc HRA verified benefits</t>
  </si>
  <si>
    <t>Compliance forms are in original LS 19-1892650</t>
  </si>
  <si>
    <t>Need HRA consent form</t>
  </si>
  <si>
    <t>no documented advice</t>
  </si>
  <si>
    <t>Group case although this is the only address</t>
  </si>
  <si>
    <t>no show for her appt</t>
  </si>
  <si>
    <t>Compliance forms are in 19-1897843</t>
  </si>
  <si>
    <t>compliance docs located in parent file #18-1873030</t>
  </si>
  <si>
    <t>Client did not want to provide her SS number</t>
  </si>
  <si>
    <t>No 4 month issue, rent reduction was done in 2016, PAR was done in 2017, just obtained forms in 2018.  DHCI marked yes bc verified benefits</t>
  </si>
  <si>
    <t>Compliance forms are in 19-1897154</t>
  </si>
  <si>
    <t>Compliance forms are in 19-1898956</t>
  </si>
  <si>
    <t>Waiver obtained re No DHCI required. Attestation &amp; Release are housed in parent file #19-1891604</t>
  </si>
  <si>
    <t>CASA 11/8</t>
  </si>
  <si>
    <t>DHCI &amp; consent in 18-1886637</t>
  </si>
  <si>
    <t>not sure if we can bill since case is about damages in a former apt?</t>
  </si>
  <si>
    <t>Attestation can be found in 18-1860318</t>
  </si>
  <si>
    <t>Pvt house</t>
  </si>
  <si>
    <t>Compliance Docs located in parent file 17-1844626</t>
  </si>
  <si>
    <t>Located DHCI form and uploaded</t>
  </si>
  <si>
    <t>NO DHCI ; other forms are in 19-1896750</t>
  </si>
  <si>
    <t>Compliance forms are in 19-1896750</t>
  </si>
  <si>
    <t>Compliance forms are in original LS 19-1892080</t>
  </si>
  <si>
    <t>Wavier for APT Facial Recogniton. No DHCI required.</t>
  </si>
  <si>
    <t>Compliance forms are in 19-1898987</t>
  </si>
  <si>
    <t>Compliance docs located in companion file #19-1895283</t>
  </si>
  <si>
    <t>scheduled for CASA 11/1</t>
  </si>
  <si>
    <t>Compliance docs in 19-1887570</t>
  </si>
  <si>
    <t>Compliance docs located in companion file #19-1899074</t>
  </si>
  <si>
    <t>DHCI doesn't match LS</t>
  </si>
  <si>
    <t>Waiver obtained - No DHCI required Compliance Docs located in parent file #19-1890555</t>
  </si>
  <si>
    <t>Compliance forms are in 19-1897702</t>
  </si>
  <si>
    <t>comp docs Elvy, Ray (18-1882171)</t>
  </si>
  <si>
    <t>Compliance forms are in original LS 19-1890177</t>
  </si>
  <si>
    <t>see 18-1879063 for comp docs</t>
  </si>
  <si>
    <t>comp docs in 18-1879063</t>
  </si>
  <si>
    <t>attorney forgot to get DHCI form/tenant didn't fill out because didn't udnerstand; confirmed by phone 29k income last year</t>
  </si>
  <si>
    <t>intake/releases uploaded</t>
  </si>
  <si>
    <t>Building wide waiver obtained for DHCI form - Compliance Docs located in companion file #19-1897516</t>
  </si>
  <si>
    <t>DHCI form is in file 18-1870514</t>
  </si>
  <si>
    <t>shd have consent + DHCI uploaded</t>
  </si>
  <si>
    <t>Compliance Docs located in parent file #19-1892341 incl retainer &amp; attestation</t>
  </si>
  <si>
    <t>Compliance upload 18-1878637</t>
  </si>
  <si>
    <t>upload in 18-1879051</t>
  </si>
  <si>
    <t>pre-litigation advice</t>
  </si>
  <si>
    <t>Compliance forms are in original LS 19-1890585</t>
  </si>
  <si>
    <t>Compliance forms are in 19-1898383</t>
  </si>
  <si>
    <t>Compliance docs located in companion file #18-1876512</t>
  </si>
  <si>
    <t>4/10 - need LOS</t>
  </si>
  <si>
    <t>releases and DHCI in 18-1878370</t>
  </si>
  <si>
    <t>Compliance Forms are in original LS 19-1890637</t>
  </si>
  <si>
    <t>Attestation can be found in 18-1860281</t>
  </si>
  <si>
    <t>Compliance Docs located in parent file #18-1886536</t>
  </si>
  <si>
    <t>Compliance Docs located in parent file #19-1887097</t>
  </si>
  <si>
    <t>need DHCI uploaded or PA# entered</t>
  </si>
  <si>
    <t>Obtain consent via phone 6/4/18.  No 4 month issue, rent reduction was done in 2016, PAR was done in 2017, just obtained forms in 2018</t>
  </si>
  <si>
    <t>Compliance forms are in original LS 19-1892505</t>
  </si>
  <si>
    <t>Individual action obo client who is part of a building wide action</t>
  </si>
  <si>
    <t>Compliance docs located in companion file #19-1900103</t>
  </si>
  <si>
    <t>Waiver obtained - No DHCI required Compliance Docs located in parent file #19-1890630</t>
  </si>
  <si>
    <t>Compliance docs located in companion file #18-1882164</t>
  </si>
  <si>
    <t>No DHCI required -Waiver obtained for APT facial recognition building wide initiative</t>
  </si>
  <si>
    <t>Waiver obtained - No DHCI required Compliance Docs located in parent file #19-1890572</t>
  </si>
  <si>
    <t>Compliance forms are in 19-1898037</t>
  </si>
  <si>
    <t>Compliance forms are in original LS 19-1892667</t>
  </si>
  <si>
    <t>Attestation can be found in 18-1860276</t>
  </si>
  <si>
    <t>Compliance Docs located in parent file #18-1886734</t>
  </si>
  <si>
    <t>Compliance docs, incl Attestation, located in companion file #18-1885020</t>
  </si>
  <si>
    <t>see 18-1873823 for DHCI</t>
  </si>
  <si>
    <t>Building wide waiver obtained for DHCI form - Compliance Docs located in companion file #19-1897518</t>
  </si>
  <si>
    <t>Compliance docs located in companion file #18-1880272</t>
  </si>
  <si>
    <t>Intake release forms are found in Attestation upload</t>
  </si>
  <si>
    <t>Waiver obtained - No DHCI required Compliance Docs located in parent file #19-1890579</t>
  </si>
  <si>
    <t>Waiver obtained - No DHCI required Compliance Docs located in parent file #19-1890540</t>
  </si>
  <si>
    <t>DHCI signed</t>
  </si>
  <si>
    <t>no DHCI-PA number</t>
  </si>
  <si>
    <t>Waiver obtained re No DHCI required. Attestation &amp; Release are housed in parent file #19-1891635</t>
  </si>
  <si>
    <t>LS HH COm does not match DHCI</t>
  </si>
  <si>
    <t>copy of PA case comp in 18-1884683</t>
  </si>
  <si>
    <t>DO-Client signed income form but staff did not sign it</t>
  </si>
  <si>
    <t>Compliance docs located in parent file #18-1876504</t>
  </si>
  <si>
    <t>CASA 4/18</t>
  </si>
  <si>
    <t>Waiver obtained for Dukler building wide HP initiative</t>
  </si>
  <si>
    <t>&gt;200%, advice only</t>
  </si>
  <si>
    <t>UA/TRC funding swap</t>
  </si>
  <si>
    <t>HRA Consent uploaded</t>
  </si>
  <si>
    <t>needs waiver &gt;200%</t>
  </si>
  <si>
    <t>TRC grant (Advocacy case); over 200% - Income waiver requested on 2.7.19.</t>
  </si>
  <si>
    <t>2016 3307 case restored in 2019; coding as 3018</t>
  </si>
  <si>
    <t>Compliance form are in original LS 19-1890535</t>
  </si>
  <si>
    <t>Releases are found in the Attestation folder</t>
  </si>
  <si>
    <t>Compliance Forms are in orginial LS 19-1891925</t>
  </si>
  <si>
    <t>Compliance forms are in 19-1898376</t>
  </si>
  <si>
    <t>&gt;200% Income waiver neede?</t>
  </si>
  <si>
    <t>over 200%</t>
  </si>
  <si>
    <t>DO-noted that waiver was approved - Compliance docs in parent file 18-1875098</t>
  </si>
  <si>
    <t>Waiver obtained re No DHCI required. Attestation &amp; Release are housed in parent file #19-1891500</t>
  </si>
  <si>
    <t>Waiver for APT Facial recognition. No DHCI required.</t>
  </si>
  <si>
    <t>Compliance forms are in 19-1898022</t>
  </si>
  <si>
    <t>DHCI not signed by LSNY Staff   - Over 200%</t>
  </si>
  <si>
    <t>Income waiver for bldg</t>
  </si>
  <si>
    <t>DO-Noted that waiver was approved</t>
  </si>
  <si>
    <t>Waiver obtained - No DHCI required Compliance Docs located in parent file #19-1890561</t>
  </si>
  <si>
    <t>Compliance forms are in original LS 18-1886113</t>
  </si>
  <si>
    <t>Client needs income waiver re group rep  - Compliance docs located in companion file #18-1879248</t>
  </si>
  <si>
    <t>Releases in Attestation File</t>
  </si>
  <si>
    <t>Retainer located in parent file #18-1874883</t>
  </si>
  <si>
    <t>Needs income waiver - Compliance docs in parent file #18-1876080</t>
  </si>
  <si>
    <t>Building wide waiver obtained for DHCI form - Compliance Docs located in companion file #19-1897522</t>
  </si>
  <si>
    <t>Building wide waiver obtained for DHCI form - Compliance Docs located in Companion file #19-1897400</t>
  </si>
  <si>
    <t>Compliance forms are in 19-1898976</t>
  </si>
  <si>
    <t>veteran; hra granted income waiver</t>
  </si>
  <si>
    <t>Compliance upload 18-1876272</t>
  </si>
  <si>
    <t>&gt;200%Income waiver needed?</t>
  </si>
  <si>
    <t>Wavier for APT Facial Recogniton. No DHCI Required.</t>
  </si>
  <si>
    <t>Compliance forms are in 19-1898838</t>
  </si>
  <si>
    <t>&gt;200% FPL, non-UA advice</t>
  </si>
  <si>
    <t>Compliances forms are in original LS 19-1891891</t>
  </si>
  <si>
    <t>Building wide waiver obtained for DHCI form - Compliance docs located in companion file #19-1897609</t>
  </si>
  <si>
    <t>Wavier for APT Facial Recognition.No DHCI required.</t>
  </si>
  <si>
    <t>Compliance Forms are in 19-1897205</t>
  </si>
  <si>
    <t>Building wide waiver obtained for DHCI form - Compliance Docs located in companion file #19-1897406</t>
  </si>
  <si>
    <t>Building wide waiver obtained for DHCI form - Compliance Docs located in companion file #19-1897534</t>
  </si>
  <si>
    <t>Compliance forms are in 19-1898966</t>
  </si>
  <si>
    <t>Building wide waiver obtained for DHCI form -Compliance Doc located in companion file #19-1897349</t>
  </si>
  <si>
    <t>Waiver obtained re No DHCI required. Attestation &amp; Release are housed in parent file #19-1891580</t>
  </si>
  <si>
    <t>Compliance forms are in 19-1898243</t>
  </si>
  <si>
    <t>upload in 18-1879056</t>
  </si>
  <si>
    <t>Compliance forms are in original LS 19-1892521</t>
  </si>
  <si>
    <t>DO-Noted that waiver was approved / Compliance docs located in parent file #18-1874152</t>
  </si>
  <si>
    <t>Wavier for APT Facial recognition. No DHCI required</t>
  </si>
  <si>
    <t>Waiver obtained re No DHCI required. Attestation &amp; Release are housed in parent file #19-1891565</t>
  </si>
  <si>
    <t>Compliance forms are in original LS 19-1892069</t>
  </si>
  <si>
    <t>Compliance forms are in original LS 19-1892764</t>
  </si>
  <si>
    <t>Wavier for APT Facial recognition.No DHCI required.</t>
  </si>
  <si>
    <t>Compliance Forms are in original LS 19-1892761</t>
  </si>
  <si>
    <t>Compliance docs in (18-1863740)</t>
  </si>
  <si>
    <t>Compliance forms are in 19-1898404</t>
  </si>
  <si>
    <t>&gt;200% FPL, advice only</t>
  </si>
  <si>
    <t>&gt;200% advice, reporting under TRC</t>
  </si>
  <si>
    <t>Waiver obtained re No DHCI required. Attestation &amp; Release are housed in parent file #19-1891559</t>
  </si>
  <si>
    <t>DO-HH is over 200%</t>
  </si>
  <si>
    <t>Income waiver needed.</t>
  </si>
  <si>
    <t>Compliance forms are in 19-1898848</t>
  </si>
  <si>
    <t>Building wide waiver obtained for DHCI form -Compliance Docs located in companion file #19-1897393</t>
  </si>
  <si>
    <t>Compliance forms are in original LS 18-1886109</t>
  </si>
  <si>
    <t>Waiver obtained re No DHCI required. Attestation &amp; Release are housed in parent file #19-1891550</t>
  </si>
  <si>
    <t>Compliance forms are in original LS 19-1892641</t>
  </si>
  <si>
    <t>4/18 - needs brief service notes; if advice only, cannot report as &gt;200% FPL</t>
  </si>
  <si>
    <t>0ver income</t>
  </si>
  <si>
    <t>Income waiver needed for building wide action</t>
  </si>
  <si>
    <t>Compliance Forms are in original LS 19-1890584</t>
  </si>
  <si>
    <t>Need income waiver - Compliance docs located in companion file #18-1876511</t>
  </si>
  <si>
    <t>DHCI Not Signed by Staff - Income waiver needed</t>
  </si>
  <si>
    <t>Please see 19-1889883 for forms</t>
  </si>
  <si>
    <t>Waiver obtained - No DHCI required Compliance Docs located in parent file #19-1890567</t>
  </si>
  <si>
    <t>Compliance Docs located in parent file #18-1886163</t>
  </si>
  <si>
    <t>DHCI &amp; consent in file # 19-1893001</t>
  </si>
  <si>
    <t>Compliance forms are in original LS 19-1892850</t>
  </si>
  <si>
    <t>Compliance Forms are in original lS 19-1893317</t>
  </si>
  <si>
    <t>Compliance forms are in original LS 19-1893317</t>
  </si>
  <si>
    <t>Compliance forms are in 19-1898845</t>
  </si>
  <si>
    <t>Compliance forms are in 19-1898951</t>
  </si>
  <si>
    <t>HRA Waiver Denied on 11/16/2018</t>
  </si>
  <si>
    <t>Need income waiver - Compliance docs located in companion file #18-1876516</t>
  </si>
  <si>
    <t>Compliance forms are in 19-1898982</t>
  </si>
  <si>
    <t>Waiver obtained re No DHCI required. Attestation &amp; Release are housed in parent file #19-1891594</t>
  </si>
  <si>
    <t>Need income waiver  - compliance docs located in file #18-1876938</t>
  </si>
  <si>
    <t>Building wide waiver obtained for DHCI form. Retainer, Attestation &amp; Release located in companion file #19-1897410</t>
  </si>
  <si>
    <t>Waiver obtained re No DHCI required. Attestation &amp; Release are housed in parent file #19-1891563</t>
  </si>
  <si>
    <t>Need income waiver - Compliance docs located in parent file #18-1880271</t>
  </si>
  <si>
    <t>FY19 Compliance upload 18-1878669</t>
  </si>
  <si>
    <t>Compliance Forms are in original LS 19-1890628</t>
  </si>
  <si>
    <t>Compliance Forms are in orginial LS 19-1891940</t>
  </si>
  <si>
    <t>Building wide waiver obtained for DHCI form -Compliance Docs located in companion file #19-1897337</t>
  </si>
  <si>
    <t>Income waiver needed for building wide affirmative action</t>
  </si>
  <si>
    <t>Income waiver needed for building wide work - Compliance docs located in parent file #19-1898331</t>
  </si>
  <si>
    <t>Compliance forms are in 19-1898368</t>
  </si>
  <si>
    <t>Compliance upload 18-1878669</t>
  </si>
  <si>
    <t>Building wide waiver obtained for DHCI form - Compliance docs located in companion file #19-1897605</t>
  </si>
  <si>
    <t>Waiver obtained re No DHCI required. Attestation &amp; Release are housed in parent file #19-1891541</t>
  </si>
  <si>
    <t>Compliance forms are in original LS 19-1892863</t>
  </si>
  <si>
    <t>Waiver obtained re No DHCI required. Attestation &amp; Release are housed in parent file #19-1891586</t>
  </si>
  <si>
    <t>Waiver obtained for facial recognition building wide initiative- No DHCI required</t>
  </si>
  <si>
    <t>Complianve form are in original LS 19-1890526</t>
  </si>
  <si>
    <t>No DHCI required -Waiver obtained for APT facial recognition group wide initiative</t>
  </si>
  <si>
    <t>Complaince forms are in original LS 19-1890550</t>
  </si>
  <si>
    <t>Compliance Forms are in original LS 19-1890581</t>
  </si>
  <si>
    <t>Compliance Forms are in original LS 19-1890575</t>
  </si>
  <si>
    <t>Compliance forms ar ein original LS 19-1890587</t>
  </si>
  <si>
    <t>uploaded in 18-1876925</t>
  </si>
  <si>
    <t>Waiver for no DHCI required</t>
  </si>
  <si>
    <t>Waiver for No DHCI required - Compliance docs in parent file #19-1893258</t>
  </si>
  <si>
    <t>Waiver obtained in parent file 17-1851102 for which this is an offshoot</t>
  </si>
  <si>
    <t>Compliance docs located in companion file #19-1899643 - Income waiver as part of building wide initiative.</t>
  </si>
  <si>
    <t>Compliance Forms are in original LS 19-1891914</t>
  </si>
  <si>
    <t>DO-We have Income Waiver as per Jim's note</t>
  </si>
  <si>
    <t>upload in 18-1876913</t>
  </si>
  <si>
    <t>Compliance forms are in 19-1898394</t>
  </si>
  <si>
    <t>Waiver for APT Facial Recognition. DHCI not required.</t>
  </si>
  <si>
    <t>Waiver obtained - No DHCI required Compliance Docs located in parent file #19-1890552</t>
  </si>
  <si>
    <t>Compliance forms are in 19-1898826</t>
  </si>
  <si>
    <t>Compliance forms are in 19-1896646.</t>
  </si>
  <si>
    <t>Compliance forms are in 19-1896646</t>
  </si>
  <si>
    <t>Compliance forms can be found in 19-1896646</t>
  </si>
  <si>
    <t>Compliance forms are in original LS 19-1890634</t>
  </si>
  <si>
    <t>Wavier for APT facial regonition. No DHCI required.</t>
  </si>
  <si>
    <t>Compliance forms are in original LS 19-1891983</t>
  </si>
  <si>
    <t>Complaince forms are in original LS 18-1886541</t>
  </si>
  <si>
    <t>compliance doc in 18-1881489</t>
  </si>
  <si>
    <t>upload in compliance folder</t>
  </si>
  <si>
    <t>Compliance forms are in 19-1898268</t>
  </si>
  <si>
    <t>upload in 18-1876799</t>
  </si>
  <si>
    <t>upload in 18-1876828</t>
  </si>
  <si>
    <t>upload in 18-1876793</t>
  </si>
  <si>
    <t>Compliance forms are in original LS 19-1889442</t>
  </si>
  <si>
    <t>upload in 18-1876941</t>
  </si>
  <si>
    <t>Compliance forms are in 19-1898259</t>
  </si>
  <si>
    <t>Compliance forms are in original LS 19-1892094</t>
  </si>
  <si>
    <t>Counsel Assisted in Filing or Refiling of Answer, Filed/Argued/Supplemented Dispositive or other Substantive Motion</t>
  </si>
  <si>
    <t>Counsel Assisted in Filing or Refiling of Answer</t>
  </si>
  <si>
    <t>Filed/Argued/Supplemented Dispositive or other Substantive Motion</t>
  </si>
  <si>
    <t>Counsel Assisted in Filing or Refiling of Answer, Filed/Argued/Supplemented Dispositive or other Substantive Motion, Filed for an Emergency Order to Show Cause</t>
  </si>
  <si>
    <t>Commenced Trial, Filed/Argued/Supplemented Dispositive or other Substantive Motion, Filed for an Emergency Order to Show Cause</t>
  </si>
  <si>
    <t>Filed for an Emergency Order to Show Cause</t>
  </si>
  <si>
    <t>Counsel Assisted in Filing or Refiling of Answer, Filed for an Emergency Order to Show Cause</t>
  </si>
  <si>
    <t>Commenced Trial, Conducted Evidentiary Hearing, Filed for an Emergency Order to Show Cause</t>
  </si>
  <si>
    <t>Filed/Argued/Supplemented Dispositive or other Substantive Motion, Filed for an Emergency Order to Show Cause</t>
  </si>
  <si>
    <t>Commenced Trial, Conducted Evidentiary Hearing, Filed/Argued/Supplemented Dispositive or other Substantive Motion, Filed for an Emergency Order to Show Cause</t>
  </si>
  <si>
    <t>Conducted Evidentiary Hearing</t>
  </si>
  <si>
    <t>Commenced Trial</t>
  </si>
  <si>
    <t>Case Resolved without Judgment of Eviction Against Client, Other</t>
  </si>
  <si>
    <t>Case Discontinued/Dismissed/Landlord Fails to Prosecute</t>
  </si>
  <si>
    <t>Obtain Ongoing Rent Subsidy, Other</t>
  </si>
  <si>
    <t>Obtained Succession Rights to Residence, Other</t>
  </si>
  <si>
    <t>Restored Access to Personal Property, Secured Order or Agreement for Repairs in Apartment/Building, Secured Rent Abatement, Secured Rent Reduction</t>
  </si>
  <si>
    <t>Case Resolved without Judgment of Eviction Against Client, Secured Order or Agreement for Repairs in Apartment/Building</t>
  </si>
  <si>
    <t>Case Resolved without Judgment of Eviction Against Client</t>
  </si>
  <si>
    <t>Case Discontinued/Dismissed/Landlord Fails to Prosecute, Case Resolved without Judgment of Eviction Against Client, Obtained Negotiated Buyout, Secured 6 Months or Longer in Residence, Secured Order or Agreement for Repairs in Apartment/Building</t>
  </si>
  <si>
    <t>Case Resolved without Judgment of Eviction Against Client, Obtain Ongoing Rent Subsidy, Provided Housing-related Consumer Debt Legal Assistance</t>
  </si>
  <si>
    <t>Case Discontinued/Dismissed/Landlord Fails to Prosecute, Provided Housing-related Consumer Debt Legal Assistance</t>
  </si>
  <si>
    <t>Secured 6 Months or Longer in Residence</t>
  </si>
  <si>
    <t>Case Discontinued/Dismissed/Landlord Fails to Prosecute, Case Resolved without Judgment of Eviction Against Client</t>
  </si>
  <si>
    <t>Case Discontinued/Dismissed/Landlord Fails to Prosecute, Case Resolved without Judgment of Eviction Against Client, Obtain Ongoing Rent Subsidy, Overcame Housing Discrimination</t>
  </si>
  <si>
    <t>Obtain Ongoing Rent Subsidy</t>
  </si>
  <si>
    <t>Case Discontinued/Dismissed/Landlord Fails to Prosecute, Case Resolved without Judgment of Eviction Against Client, Other, Secured Order or Agreement for Repairs in Apartment/Building</t>
  </si>
  <si>
    <t>Case Discontinued/Dismissed/Landlord Fails to Prosecute, Secured Rent Abatement</t>
  </si>
  <si>
    <t>Secured Order or Agreement for Repairs in Apartment/Building</t>
  </si>
  <si>
    <t>Case Discontinued/Dismissed/Landlord Fails to Prosecute, Case Resolved without Judgment of Eviction Against Client, Obtain Ongoing Rent Subsidy</t>
  </si>
  <si>
    <t>Case Discontinued/Dismissed/Landlord Fails to Prosecute, Other</t>
  </si>
  <si>
    <t>Case Discontinued/Dismissed/Landlord Fails to Prosecute, Obtain Ongoing Rent Subsidy</t>
  </si>
  <si>
    <t>Case Resolved without Judgment of Eviction Against Client, Obtain Ongoing Rent Subsidy, Other</t>
  </si>
  <si>
    <t>Secured Rent Abatement</t>
  </si>
  <si>
    <t>Case Discontinued/Dismissed/Landlord Fails to Prosecute, Case Resolved without Judgment of Eviction Against Client, Secured Order or Agreement for Repairs in Apartment/Building</t>
  </si>
  <si>
    <t>Case Discontinued/Dismissed/Landlord Fails to Prosecute, Secured 6 Months or Longer in Residence</t>
  </si>
  <si>
    <t>Case Discontinued/Dismissed/Landlord Fails to Prosecute, Case Resolved without Judgment of Eviction Against Client, Obtained Succession Rights to Residence, Secured Order or Agreement for Repairs in Apartment/Building, Secured Rent Reduction</t>
  </si>
  <si>
    <t>Case Discontinued/Dismissed/Landlord Fails to Prosecute, Case Resolved without Judgment of Eviction Against Client, Other</t>
  </si>
  <si>
    <t>Obtained Renewal of Lease</t>
  </si>
  <si>
    <t>Other, Restored Access to Personal Property</t>
  </si>
  <si>
    <t>Case Resolved without Judgment of Eviction Against Client, Other, Secured Rent Reduction</t>
  </si>
  <si>
    <t>Secured Rent Reduction</t>
  </si>
  <si>
    <t>Case Resolved without Judgment of Eviction Against Client, Other, Secured 6 Months or Longer in Residence</t>
  </si>
  <si>
    <t>Case Discontinued/Dismissed/Landlord Fails to Prosecute, Case Resolved without Judgment of Eviction Against Client, Obtained Renewal of Lease, Secured 6 Months or Longer in Residence</t>
  </si>
  <si>
    <t>Case Discontinued/Dismissed/Landlord Fails to Prosecute, Case Resolved without Judgment of Eviction Against Client, Obtained Negotiated Buyout, Secured Order or Agreement for Repairs in Apartment/Building</t>
  </si>
  <si>
    <t>Case Discontinued/Dismissed/Landlord Fails to Prosecute, Obtain Ongoing Rent Subsidy, Other</t>
  </si>
  <si>
    <t>Other, Secured 6 Months or Longer in Residence</t>
  </si>
  <si>
    <t>Case Discontinued/Dismissed/Landlord Fails to Prosecute, Case Resolved without Judgment of Eviction Against Client, Obtained Negotiated Buyout, Secured 6 Months or Longer in Residence</t>
  </si>
  <si>
    <t>Restored Access to Personal Property</t>
  </si>
  <si>
    <t>Case Resolved without Judgment of Eviction Against Client, Other, Secured Order or Agreement for Repairs in Apartment/Building, Secured Rent Abatement, Secured Rent Reduction</t>
  </si>
  <si>
    <t>Case Discontinued/Dismissed/Landlord Fails to Prosecute, Case Resolved without Judgment of Eviction Against Client, Client Security Deposit Returned</t>
  </si>
  <si>
    <t>Obtained Negotiated Buyout</t>
  </si>
  <si>
    <t>Case Discontinued/Dismissed/Landlord Fails to Prosecute, Other, Secured Order or Agreement for Repairs in Apartment/Building</t>
  </si>
  <si>
    <t>Case Discontinued/Dismissed/Landlord Fails to Prosecute, Case Resolved without Judgment of Eviction Against Client, Obtained Renewal of Lease, Other, Secured Order or Agreement for Repairs in Apartment/Building</t>
  </si>
  <si>
    <t>Case Discontinued/Dismissed/Landlord Fails to Prosecute, Obtained Succession Rights to Residence</t>
  </si>
  <si>
    <t>Case Resolved without Judgment of Eviction Against Client, Obtained Negotiated Buyout</t>
  </si>
  <si>
    <t>Case Resolved without Judgment of Eviction Against Client, Other, Secured 6 Months or Longer in Residence, Secured Order or Agreement for Repairs in Apartment/Building</t>
  </si>
  <si>
    <t>Case Discontinued/Dismissed/Landlord Fails to Prosecute, Case Resolved without Judgment of Eviction Against Client, Obtained Succession Rights to Residence, Secured Order or Agreement for Repairs in Apartment/Building</t>
  </si>
  <si>
    <t>Case Discontinued/Dismissed/Landlord Fails to Prosecute, Case Resolved without Judgment of Eviction Against Client, Obtained Renewal of Lease, Obtain Ongoing Rent Subsidy</t>
  </si>
  <si>
    <t>Case Discontinued/Dismissed/Landlord Fails to Prosecute, Restored Access to Personal Property</t>
  </si>
  <si>
    <t>Case Discontinued/Dismissed/Landlord Fails to Prosecute, Secured Order or Agreement for Repairs in Apartment/Building</t>
  </si>
  <si>
    <t>Case Discontinued/Dismissed/Landlord Fails to Prosecute, Case Resolved without Judgment of Eviction Against Client, Secured Rent Abatement</t>
  </si>
  <si>
    <t>Other, Provided Housing-related Consumer Debt Legal Assistance</t>
  </si>
  <si>
    <t>Secured Order or Agreement for Repairs in Apartment/Building, Secured Rent Reduction</t>
  </si>
  <si>
    <t>Client Allowed to Remain in Residence</t>
  </si>
  <si>
    <t>Client Required to be Displaced from Residence</t>
  </si>
  <si>
    <t>Client Discharged Attorney</t>
  </si>
  <si>
    <t>Attorney Withdrew</t>
  </si>
  <si>
    <t>2019-03-19</t>
  </si>
  <si>
    <t>2018-08-14</t>
  </si>
  <si>
    <t>2019-02-04</t>
  </si>
  <si>
    <t>2018-11-13</t>
  </si>
  <si>
    <t>2019-02-15</t>
  </si>
  <si>
    <t>2019-04-23</t>
  </si>
  <si>
    <t>2019-02-13</t>
  </si>
  <si>
    <t>2019-02-01</t>
  </si>
  <si>
    <t>2019-03-13</t>
  </si>
  <si>
    <t>2018-09-26</t>
  </si>
  <si>
    <t>2019-05-07</t>
  </si>
  <si>
    <t>2018-11-27</t>
  </si>
  <si>
    <t>2018-10-09</t>
  </si>
  <si>
    <t>2019-03-12</t>
  </si>
  <si>
    <t>2018-11-20</t>
  </si>
  <si>
    <t>2019-04-05</t>
  </si>
  <si>
    <t>2019-01-31</t>
  </si>
  <si>
    <t>2019-03-05</t>
  </si>
  <si>
    <t>2018-07-30</t>
  </si>
  <si>
    <t>2018-08-23</t>
  </si>
  <si>
    <t>2019-04-10</t>
  </si>
  <si>
    <t>2019-03-29</t>
  </si>
  <si>
    <t>2019-03-15</t>
  </si>
  <si>
    <t>2018-12-30</t>
  </si>
  <si>
    <t>2018-12-01</t>
  </si>
  <si>
    <t>2018-06-29</t>
  </si>
  <si>
    <t>2018-07-12</t>
  </si>
  <si>
    <t>2018-09-18</t>
  </si>
  <si>
    <t>2019-01-10</t>
  </si>
  <si>
    <t>2019-05-16</t>
  </si>
  <si>
    <t>2019-04-17</t>
  </si>
  <si>
    <t>2019-03-21</t>
  </si>
  <si>
    <t>2019-04-29</t>
  </si>
  <si>
    <t>2018-11-30</t>
  </si>
  <si>
    <t>2018-11-10</t>
  </si>
  <si>
    <t>2018-08-13</t>
  </si>
  <si>
    <t>2019-03-11</t>
  </si>
  <si>
    <t>2018-10-01</t>
  </si>
  <si>
    <t>2019-05-24</t>
  </si>
  <si>
    <t>2018-10-10</t>
  </si>
  <si>
    <t>2018-09-25</t>
  </si>
  <si>
    <t>2019-01-23</t>
  </si>
  <si>
    <t>2018-10-30</t>
  </si>
  <si>
    <t>2018-10-16</t>
  </si>
  <si>
    <t>2018-10-29</t>
  </si>
  <si>
    <t>2018-11-14</t>
  </si>
  <si>
    <t>2018-10-28</t>
  </si>
  <si>
    <t>2018-11-15</t>
  </si>
  <si>
    <t>2018-10-15</t>
  </si>
  <si>
    <t>2018-11-08</t>
  </si>
  <si>
    <t>2019-08-14</t>
  </si>
  <si>
    <t>2019-02-07</t>
  </si>
  <si>
    <t>2019-11-15</t>
  </si>
  <si>
    <t>2018-09-28</t>
  </si>
  <si>
    <t>2019-04-09</t>
  </si>
  <si>
    <t>2019-10-20</t>
  </si>
  <si>
    <t>2018-08-22</t>
  </si>
  <si>
    <t>2019-02-05</t>
  </si>
  <si>
    <t>2018-05-04</t>
  </si>
  <si>
    <t>2019-04-15</t>
  </si>
  <si>
    <t>2019-03-27</t>
  </si>
  <si>
    <t>2018-12-10</t>
  </si>
  <si>
    <t>2018-10-25</t>
  </si>
  <si>
    <t>2019-02-28</t>
  </si>
  <si>
    <t>2018-08-29</t>
  </si>
  <si>
    <t>2019-02-11</t>
  </si>
  <si>
    <t>2018-12-07</t>
  </si>
  <si>
    <t>2018-12-06</t>
  </si>
  <si>
    <t>2018-11-28</t>
  </si>
  <si>
    <t>2018-08-08</t>
  </si>
  <si>
    <t>2019-09-13</t>
  </si>
  <si>
    <t>2018-01-03</t>
  </si>
  <si>
    <t>2019-05-14</t>
  </si>
  <si>
    <t>2019-01-15</t>
  </si>
  <si>
    <t>2019-04-25</t>
  </si>
  <si>
    <t>2019-03-08</t>
  </si>
  <si>
    <t>2018-09-07</t>
  </si>
  <si>
    <t>2019-06-04</t>
  </si>
  <si>
    <t>2018-12-28</t>
  </si>
  <si>
    <t>2019-05-11</t>
  </si>
  <si>
    <t>2019-02-06</t>
  </si>
  <si>
    <t>2018-08-07</t>
  </si>
  <si>
    <t>2018-12-05</t>
  </si>
  <si>
    <t>2019-07-27</t>
  </si>
  <si>
    <t>2019-01-03</t>
  </si>
  <si>
    <t>2019-03-07</t>
  </si>
  <si>
    <t>2019-05-02</t>
  </si>
  <si>
    <t>2018-10-18</t>
  </si>
  <si>
    <t>2018-09-05</t>
  </si>
  <si>
    <t>2018-12-11</t>
  </si>
  <si>
    <t>2019-03-18</t>
  </si>
  <si>
    <t>2019-02-27</t>
  </si>
  <si>
    <t>2018-11-21</t>
  </si>
  <si>
    <t>2019-01-24</t>
  </si>
  <si>
    <t>2019-05-21</t>
  </si>
  <si>
    <t>2018-04-01</t>
  </si>
  <si>
    <t>2018-07-19</t>
  </si>
  <si>
    <t>2019-01-30</t>
  </si>
  <si>
    <t>2018-11-09</t>
  </si>
  <si>
    <t>2019-05-29</t>
  </si>
  <si>
    <t>2018-10-26</t>
  </si>
  <si>
    <t>2019-01-11</t>
  </si>
  <si>
    <t>2019-04-11</t>
  </si>
  <si>
    <t>2018-01-24</t>
  </si>
  <si>
    <t>2018-08-27</t>
  </si>
  <si>
    <t>2018-10-02</t>
  </si>
  <si>
    <t>2019-05-09</t>
  </si>
  <si>
    <t>2019-03-14</t>
  </si>
  <si>
    <t>2018-12-04</t>
  </si>
  <si>
    <t>2019-05-08</t>
  </si>
  <si>
    <t>2019-02-25</t>
  </si>
  <si>
    <t>2019-04-02</t>
  </si>
  <si>
    <t>2019-05-15</t>
  </si>
  <si>
    <t>2019-02-24</t>
  </si>
  <si>
    <t>2019-01-25</t>
  </si>
  <si>
    <t>2019-01-02</t>
  </si>
  <si>
    <t>2019-03-04</t>
  </si>
  <si>
    <t>2018-11-19</t>
  </si>
  <si>
    <t>2019-02-22</t>
  </si>
  <si>
    <t>2018-10-20</t>
  </si>
  <si>
    <t>2018-12-31</t>
  </si>
  <si>
    <t>2018-11-05</t>
  </si>
  <si>
    <t>2018-08-15</t>
  </si>
  <si>
    <t>2018-08-30</t>
  </si>
  <si>
    <t>2019-01-09</t>
  </si>
  <si>
    <t>2018-12-18</t>
  </si>
  <si>
    <t>2019-01-08</t>
  </si>
  <si>
    <t>2019-03-01</t>
  </si>
  <si>
    <t>2018-11-29</t>
  </si>
  <si>
    <t>2018-08-28</t>
  </si>
  <si>
    <t>2018-08-17</t>
  </si>
  <si>
    <t>2018-06-08</t>
  </si>
  <si>
    <t>2018-12-12</t>
  </si>
  <si>
    <t>2019-04-30</t>
  </si>
  <si>
    <t>2018-09-21</t>
  </si>
  <si>
    <t>2018-09-13</t>
  </si>
  <si>
    <t>2018-12-14</t>
  </si>
  <si>
    <t>2018-03-23</t>
  </si>
  <si>
    <t>2018-10-12</t>
  </si>
  <si>
    <t>2018-10-17</t>
  </si>
  <si>
    <t>2019-04-24</t>
  </si>
  <si>
    <t>2018-09-14</t>
  </si>
  <si>
    <t>2019-01-04</t>
  </si>
  <si>
    <t>2018-08-01</t>
  </si>
  <si>
    <t>2019-02-21</t>
  </si>
  <si>
    <t>2018-10-11</t>
  </si>
  <si>
    <t>2019-01-29</t>
  </si>
  <si>
    <t>2019-02-23</t>
  </si>
  <si>
    <t>2019-04-03</t>
  </si>
  <si>
    <t>2018-09-04</t>
  </si>
  <si>
    <t>2019-03-28</t>
  </si>
  <si>
    <t>03/02/2019</t>
  </si>
  <si>
    <t>06/30/2019</t>
  </si>
  <si>
    <t>04/23/2018</t>
  </si>
  <si>
    <t>04/20/2019</t>
  </si>
  <si>
    <t>05/25/2018</t>
  </si>
  <si>
    <t>11/06/2018</t>
  </si>
  <si>
    <t>08/20/2017</t>
  </si>
  <si>
    <t>12/05/2017</t>
  </si>
  <si>
    <t>02/24/2019</t>
  </si>
  <si>
    <t>04/28/2019</t>
  </si>
  <si>
    <t>10/23/2017</t>
  </si>
  <si>
    <t>03/09/2018</t>
  </si>
  <si>
    <t>10/25/2017</t>
  </si>
  <si>
    <t>Amponsah, Oheneba</t>
  </si>
  <si>
    <t>Rodriguez, Ana</t>
  </si>
  <si>
    <t>Djourab, Atteib</t>
  </si>
  <si>
    <t>Yeasmin, Sarzah</t>
  </si>
  <si>
    <t>Pierre, Haenley</t>
  </si>
  <si>
    <t>Wilson-Wieland, Cherille</t>
  </si>
  <si>
    <t>Frias De Sosa, Yajaira</t>
  </si>
  <si>
    <t>Escobar, Sarah</t>
  </si>
  <si>
    <t>Lane, Diane</t>
  </si>
  <si>
    <t>St. Marie, Monique</t>
  </si>
  <si>
    <t>Hernandez, Marisol</t>
  </si>
  <si>
    <t>Ortega, Luis</t>
  </si>
  <si>
    <t>Wong, Angela</t>
  </si>
  <si>
    <t>Guzman Velazquez, Leida</t>
  </si>
  <si>
    <t>Morales-Robinson, Ana</t>
  </si>
  <si>
    <t>Prado, Steven</t>
  </si>
  <si>
    <t>Castillo, Angel</t>
  </si>
  <si>
    <t>Bateman, Steven</t>
  </si>
  <si>
    <t>Santana, Bridgette</t>
  </si>
  <si>
    <t>Pujols, Isabel</t>
  </si>
  <si>
    <t>Baez, Jeaneshia</t>
  </si>
  <si>
    <t>Figueroa, Sylvia</t>
  </si>
  <si>
    <t>Medina, Marta</t>
  </si>
  <si>
    <t>Baldova, Maria</t>
  </si>
  <si>
    <t>Martinez, Renee</t>
  </si>
  <si>
    <t>Torres, Elizabeth</t>
  </si>
  <si>
    <t>Sampert, Monica</t>
  </si>
  <si>
    <t>Dong, Sean</t>
  </si>
  <si>
    <t>Vaz, Marie</t>
  </si>
  <si>
    <t>Garcia, Keiannis</t>
  </si>
  <si>
    <t>Vergeli, Evelyn</t>
  </si>
  <si>
    <t>Benitez, Vicenta</t>
  </si>
  <si>
    <t>Santiago, Denya</t>
  </si>
  <si>
    <t>McDonald, Susan</t>
  </si>
  <si>
    <t>Velasquez, Diana</t>
  </si>
  <si>
    <t>Mendez-Acosta, Maria</t>
  </si>
  <si>
    <t>Carrasco, Yazmin</t>
  </si>
  <si>
    <t>Kassiano, Andrea</t>
  </si>
  <si>
    <t>Sanchez, Ingrid</t>
  </si>
  <si>
    <t>Then, Laura</t>
  </si>
  <si>
    <t>Villanueva, Anthony</t>
  </si>
  <si>
    <t>Neilson, Kathryn</t>
  </si>
  <si>
    <t>Garcia, Alexandra</t>
  </si>
  <si>
    <t>Vazquez, Angel</t>
  </si>
  <si>
    <t>Moss, Julieta</t>
  </si>
  <si>
    <t>Savinon, Clara</t>
  </si>
  <si>
    <t>Salcedo, Luciris</t>
  </si>
  <si>
    <t>Fernandez, Jennifer</t>
  </si>
  <si>
    <t>Acevedo, Tiffany</t>
  </si>
  <si>
    <t>Shang, Andrea</t>
  </si>
  <si>
    <t>Newton, Jack</t>
  </si>
  <si>
    <t>Morace, Jana</t>
  </si>
  <si>
    <t>MacRae, John</t>
  </si>
  <si>
    <t>Ventura, Alejandro</t>
  </si>
  <si>
    <t>Arboleda, Paula</t>
  </si>
  <si>
    <t>Bowman, Cathy</t>
  </si>
  <si>
    <t>Deolarte, Stephanie</t>
  </si>
  <si>
    <t>Agarwala, Shelly</t>
  </si>
  <si>
    <t>Guadalupe, Marilyn</t>
  </si>
  <si>
    <t>Khanam, Aysha</t>
  </si>
  <si>
    <t>Diaz, Karla</t>
  </si>
  <si>
    <t>Hernandez, Jonathan</t>
  </si>
  <si>
    <t>Stone, Gary</t>
  </si>
  <si>
    <t>Espinal, Wendy</t>
  </si>
  <si>
    <t>Smith, Jeanne</t>
  </si>
  <si>
    <t>Vujica, Visnja</t>
  </si>
  <si>
    <t>Landry-Reyes, Jane</t>
  </si>
  <si>
    <t>Tejada, Dennis</t>
  </si>
  <si>
    <t>DHCI Form</t>
  </si>
  <si>
    <t>Active CA/SNAP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</si>
</sst>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V3376"/>
  <sheetViews>
    <sheetView tabSelected="1" workbookViewId="0"/>
  </sheetViews>
  <sheetFormatPr defaultRowHeight="15"/>
  <cols>
    <col min="1" max="1" width="20.7109375" style="1" customWidth="1"/>
  </cols>
  <sheetData>
    <row r="1" spans="1: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 spans="1:48">
      <c r="A2" s="1">
        <f>HYPERLINK("https://cms.ls-nyc.org/matter/dynamic-profile/view/1873909","18-1873909")</f>
        <v>0</v>
      </c>
      <c r="B2" t="s">
        <v>48</v>
      </c>
      <c r="C2" t="s">
        <v>231</v>
      </c>
      <c r="D2" t="s">
        <v>550</v>
      </c>
      <c r="E2" t="s">
        <v>566</v>
      </c>
      <c r="F2" t="s">
        <v>2046</v>
      </c>
      <c r="G2" t="s">
        <v>3643</v>
      </c>
      <c r="H2" t="s">
        <v>5346</v>
      </c>
      <c r="I2" t="s">
        <v>6023</v>
      </c>
      <c r="J2">
        <v>11693</v>
      </c>
      <c r="K2" t="s">
        <v>6074</v>
      </c>
      <c r="L2" t="s">
        <v>6074</v>
      </c>
      <c r="M2" t="s">
        <v>6077</v>
      </c>
      <c r="N2" t="s">
        <v>7273</v>
      </c>
      <c r="O2" t="s">
        <v>7306</v>
      </c>
      <c r="P2" t="s">
        <v>7314</v>
      </c>
      <c r="Q2" t="s">
        <v>7322</v>
      </c>
      <c r="R2" t="s">
        <v>6076</v>
      </c>
      <c r="S2" t="s">
        <v>7324</v>
      </c>
      <c r="T2" t="s">
        <v>7336</v>
      </c>
      <c r="U2" t="s">
        <v>495</v>
      </c>
      <c r="V2">
        <v>1515</v>
      </c>
      <c r="W2" t="s">
        <v>7361</v>
      </c>
      <c r="X2" t="s">
        <v>7366</v>
      </c>
      <c r="Y2" t="s">
        <v>7386</v>
      </c>
      <c r="Z2" t="s">
        <v>7407</v>
      </c>
      <c r="AA2" t="s">
        <v>9848</v>
      </c>
      <c r="AB2" t="s">
        <v>10295</v>
      </c>
      <c r="AC2">
        <v>2</v>
      </c>
      <c r="AD2" t="s">
        <v>12419</v>
      </c>
      <c r="AE2" t="s">
        <v>12433</v>
      </c>
      <c r="AF2">
        <v>3</v>
      </c>
      <c r="AG2">
        <v>1</v>
      </c>
      <c r="AH2">
        <v>2</v>
      </c>
      <c r="AI2">
        <v>0</v>
      </c>
      <c r="AL2" t="s">
        <v>12460</v>
      </c>
      <c r="AM2">
        <v>0</v>
      </c>
      <c r="AS2">
        <v>1.85</v>
      </c>
      <c r="AT2" t="s">
        <v>550</v>
      </c>
      <c r="AU2" t="s">
        <v>48</v>
      </c>
    </row>
    <row r="3" spans="1:48">
      <c r="A3" s="1">
        <f>HYPERLINK("https://cms.ls-nyc.org/matter/dynamic-profile/view/1873379","18-1873379")</f>
        <v>0</v>
      </c>
      <c r="B3" t="s">
        <v>49</v>
      </c>
      <c r="C3" t="s">
        <v>232</v>
      </c>
      <c r="E3" t="s">
        <v>567</v>
      </c>
      <c r="F3" t="s">
        <v>2047</v>
      </c>
      <c r="G3" t="s">
        <v>3644</v>
      </c>
      <c r="H3" t="s">
        <v>5347</v>
      </c>
      <c r="I3" t="s">
        <v>6024</v>
      </c>
      <c r="J3">
        <v>11692</v>
      </c>
      <c r="K3" t="s">
        <v>6074</v>
      </c>
      <c r="L3" t="s">
        <v>6074</v>
      </c>
      <c r="M3" t="s">
        <v>6078</v>
      </c>
      <c r="N3" t="s">
        <v>7274</v>
      </c>
      <c r="O3" t="s">
        <v>7306</v>
      </c>
      <c r="Q3" t="s">
        <v>7322</v>
      </c>
      <c r="R3" t="s">
        <v>6076</v>
      </c>
      <c r="S3" t="s">
        <v>7324</v>
      </c>
      <c r="T3" t="s">
        <v>7337</v>
      </c>
      <c r="U3" t="s">
        <v>232</v>
      </c>
      <c r="V3">
        <v>2000</v>
      </c>
      <c r="W3" t="s">
        <v>7361</v>
      </c>
      <c r="X3" t="s">
        <v>7366</v>
      </c>
      <c r="Z3" t="s">
        <v>7408</v>
      </c>
      <c r="AA3" t="s">
        <v>6110</v>
      </c>
      <c r="AB3" t="s">
        <v>10296</v>
      </c>
      <c r="AC3">
        <v>2</v>
      </c>
      <c r="AD3" t="s">
        <v>12419</v>
      </c>
      <c r="AE3" t="s">
        <v>6110</v>
      </c>
      <c r="AF3">
        <v>3</v>
      </c>
      <c r="AG3">
        <v>3</v>
      </c>
      <c r="AH3">
        <v>1</v>
      </c>
      <c r="AI3">
        <v>0</v>
      </c>
      <c r="AL3" t="s">
        <v>12460</v>
      </c>
      <c r="AM3">
        <v>0</v>
      </c>
      <c r="AS3">
        <v>1.5</v>
      </c>
      <c r="AT3" t="s">
        <v>310</v>
      </c>
      <c r="AU3" t="s">
        <v>48</v>
      </c>
    </row>
    <row r="4" spans="1:48">
      <c r="A4" s="1">
        <f>HYPERLINK("https://cms.ls-nyc.org/matter/dynamic-profile/view/1875591","18-1875591")</f>
        <v>0</v>
      </c>
      <c r="B4" t="s">
        <v>50</v>
      </c>
      <c r="C4" t="s">
        <v>233</v>
      </c>
      <c r="D4" t="s">
        <v>281</v>
      </c>
      <c r="E4" t="s">
        <v>568</v>
      </c>
      <c r="F4" t="s">
        <v>2048</v>
      </c>
      <c r="G4" t="s">
        <v>3645</v>
      </c>
      <c r="I4" t="s">
        <v>6024</v>
      </c>
      <c r="J4">
        <v>11692</v>
      </c>
      <c r="K4" t="s">
        <v>6074</v>
      </c>
      <c r="L4" t="s">
        <v>6074</v>
      </c>
      <c r="M4" t="s">
        <v>6079</v>
      </c>
      <c r="N4" t="s">
        <v>7274</v>
      </c>
      <c r="O4" t="s">
        <v>7306</v>
      </c>
      <c r="P4" t="s">
        <v>7314</v>
      </c>
      <c r="Q4" t="s">
        <v>7322</v>
      </c>
      <c r="R4" t="s">
        <v>6076</v>
      </c>
      <c r="S4" t="s">
        <v>7324</v>
      </c>
      <c r="T4" t="s">
        <v>7338</v>
      </c>
      <c r="U4" t="s">
        <v>233</v>
      </c>
      <c r="V4">
        <v>1000</v>
      </c>
      <c r="W4" t="s">
        <v>7361</v>
      </c>
      <c r="X4" t="s">
        <v>7366</v>
      </c>
      <c r="Y4" t="s">
        <v>7386</v>
      </c>
      <c r="Z4" t="s">
        <v>7409</v>
      </c>
      <c r="AA4" t="s">
        <v>6110</v>
      </c>
      <c r="AB4" t="s">
        <v>10297</v>
      </c>
      <c r="AC4">
        <v>1</v>
      </c>
      <c r="AD4" t="s">
        <v>12419</v>
      </c>
      <c r="AE4" t="s">
        <v>6110</v>
      </c>
      <c r="AF4">
        <v>3</v>
      </c>
      <c r="AG4">
        <v>1</v>
      </c>
      <c r="AH4">
        <v>0</v>
      </c>
      <c r="AI4">
        <v>0</v>
      </c>
      <c r="AL4" t="s">
        <v>12460</v>
      </c>
      <c r="AM4">
        <v>0</v>
      </c>
      <c r="AS4">
        <v>1.6</v>
      </c>
      <c r="AT4" t="s">
        <v>281</v>
      </c>
      <c r="AU4" t="s">
        <v>48</v>
      </c>
    </row>
    <row r="5" spans="1:48">
      <c r="A5" s="1">
        <f>HYPERLINK("https://cms.ls-nyc.org/matter/dynamic-profile/view/1896146","19-1896146")</f>
        <v>0</v>
      </c>
      <c r="B5" t="s">
        <v>51</v>
      </c>
      <c r="C5" t="s">
        <v>234</v>
      </c>
      <c r="D5" t="s">
        <v>505</v>
      </c>
      <c r="E5" t="s">
        <v>569</v>
      </c>
      <c r="F5" t="s">
        <v>2049</v>
      </c>
      <c r="G5" t="s">
        <v>3646</v>
      </c>
      <c r="H5">
        <v>1</v>
      </c>
      <c r="I5" t="s">
        <v>6024</v>
      </c>
      <c r="J5">
        <v>11692</v>
      </c>
      <c r="K5" t="s">
        <v>6074</v>
      </c>
      <c r="L5" t="s">
        <v>6074</v>
      </c>
      <c r="M5" t="s">
        <v>6080</v>
      </c>
      <c r="N5" t="s">
        <v>7273</v>
      </c>
      <c r="O5" t="s">
        <v>7306</v>
      </c>
      <c r="P5" t="s">
        <v>7314</v>
      </c>
      <c r="Q5" t="s">
        <v>7322</v>
      </c>
      <c r="R5" t="s">
        <v>6076</v>
      </c>
      <c r="S5" t="s">
        <v>7324</v>
      </c>
      <c r="T5" t="s">
        <v>7336</v>
      </c>
      <c r="U5" t="s">
        <v>314</v>
      </c>
      <c r="V5">
        <v>1800</v>
      </c>
      <c r="W5" t="s">
        <v>7361</v>
      </c>
      <c r="X5" t="s">
        <v>7366</v>
      </c>
      <c r="Y5" t="s">
        <v>7386</v>
      </c>
      <c r="Z5" t="s">
        <v>7410</v>
      </c>
      <c r="AA5" t="s">
        <v>9849</v>
      </c>
      <c r="AB5" t="s">
        <v>10298</v>
      </c>
      <c r="AC5">
        <v>2</v>
      </c>
      <c r="AD5" t="s">
        <v>12419</v>
      </c>
      <c r="AE5" t="s">
        <v>12434</v>
      </c>
      <c r="AF5">
        <v>1</v>
      </c>
      <c r="AG5">
        <v>1</v>
      </c>
      <c r="AH5">
        <v>1</v>
      </c>
      <c r="AI5">
        <v>0</v>
      </c>
      <c r="AL5" t="s">
        <v>12460</v>
      </c>
      <c r="AM5">
        <v>0</v>
      </c>
      <c r="AS5">
        <v>2</v>
      </c>
      <c r="AT5" t="s">
        <v>314</v>
      </c>
      <c r="AU5" t="s">
        <v>51</v>
      </c>
    </row>
    <row r="6" spans="1:48">
      <c r="A6" s="1">
        <f>HYPERLINK("https://cms.ls-nyc.org/matter/dynamic-profile/view/1894699","19-1894699")</f>
        <v>0</v>
      </c>
      <c r="B6" t="s">
        <v>52</v>
      </c>
      <c r="C6" t="s">
        <v>235</v>
      </c>
      <c r="D6" t="s">
        <v>265</v>
      </c>
      <c r="E6" t="s">
        <v>570</v>
      </c>
      <c r="F6" t="s">
        <v>2050</v>
      </c>
      <c r="G6" t="s">
        <v>3647</v>
      </c>
      <c r="H6" t="s">
        <v>5348</v>
      </c>
      <c r="I6" t="s">
        <v>6024</v>
      </c>
      <c r="J6">
        <v>11692</v>
      </c>
      <c r="K6" t="s">
        <v>6074</v>
      </c>
      <c r="L6" t="s">
        <v>6074</v>
      </c>
      <c r="M6" t="s">
        <v>6081</v>
      </c>
      <c r="N6" t="s">
        <v>7275</v>
      </c>
      <c r="O6" t="s">
        <v>7307</v>
      </c>
      <c r="P6" t="s">
        <v>7315</v>
      </c>
      <c r="Q6" t="s">
        <v>7322</v>
      </c>
      <c r="R6" t="s">
        <v>6076</v>
      </c>
      <c r="S6" t="s">
        <v>7324</v>
      </c>
      <c r="T6" t="s">
        <v>7336</v>
      </c>
      <c r="U6" t="s">
        <v>235</v>
      </c>
      <c r="V6">
        <v>1468</v>
      </c>
      <c r="W6" t="s">
        <v>7361</v>
      </c>
      <c r="X6" t="s">
        <v>7366</v>
      </c>
      <c r="Y6" t="s">
        <v>7387</v>
      </c>
      <c r="Z6" t="s">
        <v>7411</v>
      </c>
      <c r="AA6" t="s">
        <v>9850</v>
      </c>
      <c r="AB6" t="s">
        <v>10299</v>
      </c>
      <c r="AC6">
        <v>53</v>
      </c>
      <c r="AD6" t="s">
        <v>12420</v>
      </c>
      <c r="AE6" t="s">
        <v>6110</v>
      </c>
      <c r="AF6">
        <v>32</v>
      </c>
      <c r="AG6">
        <v>1</v>
      </c>
      <c r="AH6">
        <v>0</v>
      </c>
      <c r="AI6">
        <v>0</v>
      </c>
      <c r="AL6" t="s">
        <v>12460</v>
      </c>
      <c r="AM6">
        <v>0</v>
      </c>
      <c r="AS6">
        <v>6.5</v>
      </c>
      <c r="AT6" t="s">
        <v>241</v>
      </c>
      <c r="AU6" t="s">
        <v>52</v>
      </c>
    </row>
    <row r="7" spans="1:48">
      <c r="A7" s="1">
        <f>HYPERLINK("https://cms.ls-nyc.org/matter/dynamic-profile/view/1874432","18-1874432")</f>
        <v>0</v>
      </c>
      <c r="B7" t="s">
        <v>53</v>
      </c>
      <c r="C7" t="s">
        <v>236</v>
      </c>
      <c r="E7" t="s">
        <v>571</v>
      </c>
      <c r="F7" t="s">
        <v>2051</v>
      </c>
      <c r="G7" t="s">
        <v>3648</v>
      </c>
      <c r="H7" t="s">
        <v>5347</v>
      </c>
      <c r="I7" t="s">
        <v>6025</v>
      </c>
      <c r="J7">
        <v>11692</v>
      </c>
      <c r="K7" t="s">
        <v>6074</v>
      </c>
      <c r="L7" t="s">
        <v>6074</v>
      </c>
      <c r="M7" t="s">
        <v>6082</v>
      </c>
      <c r="N7" t="s">
        <v>7276</v>
      </c>
      <c r="O7" t="s">
        <v>7306</v>
      </c>
      <c r="Q7" t="s">
        <v>7322</v>
      </c>
      <c r="R7" t="s">
        <v>6076</v>
      </c>
      <c r="S7" t="s">
        <v>7324</v>
      </c>
      <c r="T7" t="s">
        <v>7339</v>
      </c>
      <c r="U7" t="s">
        <v>236</v>
      </c>
      <c r="V7">
        <v>1930</v>
      </c>
      <c r="W7" t="s">
        <v>7361</v>
      </c>
      <c r="X7" t="s">
        <v>7366</v>
      </c>
      <c r="Z7" t="s">
        <v>7412</v>
      </c>
      <c r="AB7" t="s">
        <v>10300</v>
      </c>
      <c r="AC7">
        <v>3</v>
      </c>
      <c r="AD7" t="s">
        <v>6322</v>
      </c>
      <c r="AE7" t="s">
        <v>12434</v>
      </c>
      <c r="AF7">
        <v>5</v>
      </c>
      <c r="AG7">
        <v>3</v>
      </c>
      <c r="AH7">
        <v>4</v>
      </c>
      <c r="AI7">
        <v>0</v>
      </c>
      <c r="AL7" t="s">
        <v>12460</v>
      </c>
      <c r="AM7">
        <v>0</v>
      </c>
      <c r="AS7">
        <v>0.1</v>
      </c>
      <c r="AT7" t="s">
        <v>247</v>
      </c>
      <c r="AU7" t="s">
        <v>53</v>
      </c>
    </row>
    <row r="8" spans="1:48">
      <c r="A8" s="1">
        <f>HYPERLINK("https://cms.ls-nyc.org/matter/dynamic-profile/view/1874602","18-1874602")</f>
        <v>0</v>
      </c>
      <c r="B8" t="s">
        <v>52</v>
      </c>
      <c r="C8" t="s">
        <v>237</v>
      </c>
      <c r="D8" t="s">
        <v>317</v>
      </c>
      <c r="E8" t="s">
        <v>570</v>
      </c>
      <c r="F8" t="s">
        <v>2050</v>
      </c>
      <c r="G8" t="s">
        <v>3647</v>
      </c>
      <c r="H8" t="s">
        <v>5348</v>
      </c>
      <c r="I8" t="s">
        <v>6024</v>
      </c>
      <c r="J8">
        <v>11692</v>
      </c>
      <c r="K8" t="s">
        <v>6074</v>
      </c>
      <c r="L8" t="s">
        <v>6074</v>
      </c>
      <c r="M8" t="s">
        <v>6083</v>
      </c>
      <c r="N8" t="s">
        <v>7276</v>
      </c>
      <c r="O8" t="s">
        <v>7308</v>
      </c>
      <c r="P8" t="s">
        <v>7316</v>
      </c>
      <c r="Q8" t="s">
        <v>7322</v>
      </c>
      <c r="R8" t="s">
        <v>6076</v>
      </c>
      <c r="S8" t="s">
        <v>7324</v>
      </c>
      <c r="T8" t="s">
        <v>7336</v>
      </c>
      <c r="U8" t="s">
        <v>237</v>
      </c>
      <c r="V8">
        <v>1468</v>
      </c>
      <c r="W8" t="s">
        <v>7361</v>
      </c>
      <c r="X8" t="s">
        <v>7366</v>
      </c>
      <c r="Y8" t="s">
        <v>7388</v>
      </c>
      <c r="Z8" t="s">
        <v>7411</v>
      </c>
      <c r="AA8" t="s">
        <v>9850</v>
      </c>
      <c r="AB8" t="s">
        <v>10299</v>
      </c>
      <c r="AC8">
        <v>53</v>
      </c>
      <c r="AD8" t="s">
        <v>12420</v>
      </c>
      <c r="AE8" t="s">
        <v>12434</v>
      </c>
      <c r="AF8">
        <v>32</v>
      </c>
      <c r="AG8">
        <v>2</v>
      </c>
      <c r="AH8">
        <v>0</v>
      </c>
      <c r="AI8">
        <v>0</v>
      </c>
      <c r="AL8" t="s">
        <v>12460</v>
      </c>
      <c r="AM8">
        <v>0</v>
      </c>
      <c r="AO8" t="s">
        <v>12845</v>
      </c>
      <c r="AP8" t="s">
        <v>12857</v>
      </c>
      <c r="AQ8" t="s">
        <v>12909</v>
      </c>
      <c r="AR8" t="s">
        <v>12913</v>
      </c>
      <c r="AS8">
        <v>109</v>
      </c>
      <c r="AT8" t="s">
        <v>241</v>
      </c>
      <c r="AU8" t="s">
        <v>48</v>
      </c>
      <c r="AV8" t="s">
        <v>13145</v>
      </c>
    </row>
    <row r="9" spans="1:48">
      <c r="A9" s="1">
        <f>HYPERLINK("https://cms.ls-nyc.org/matter/dynamic-profile/view/1876892","18-1876892")</f>
        <v>0</v>
      </c>
      <c r="B9" t="s">
        <v>51</v>
      </c>
      <c r="C9" t="s">
        <v>238</v>
      </c>
      <c r="D9" t="s">
        <v>404</v>
      </c>
      <c r="E9" t="s">
        <v>572</v>
      </c>
      <c r="F9" t="s">
        <v>2052</v>
      </c>
      <c r="G9" t="s">
        <v>3649</v>
      </c>
      <c r="H9">
        <v>806</v>
      </c>
      <c r="I9" t="s">
        <v>6024</v>
      </c>
      <c r="J9">
        <v>11692</v>
      </c>
      <c r="K9" t="s">
        <v>6074</v>
      </c>
      <c r="L9" t="s">
        <v>6074</v>
      </c>
      <c r="M9" t="s">
        <v>6084</v>
      </c>
      <c r="N9" t="s">
        <v>7276</v>
      </c>
      <c r="O9" t="s">
        <v>7306</v>
      </c>
      <c r="P9" t="s">
        <v>7314</v>
      </c>
      <c r="Q9" t="s">
        <v>7322</v>
      </c>
      <c r="R9" t="s">
        <v>6076</v>
      </c>
      <c r="S9" t="s">
        <v>7324</v>
      </c>
      <c r="T9" t="s">
        <v>7340</v>
      </c>
      <c r="U9" t="s">
        <v>238</v>
      </c>
      <c r="V9">
        <v>1675</v>
      </c>
      <c r="W9" t="s">
        <v>7361</v>
      </c>
      <c r="X9" t="s">
        <v>7366</v>
      </c>
      <c r="Y9" t="s">
        <v>7386</v>
      </c>
      <c r="Z9" t="s">
        <v>7413</v>
      </c>
      <c r="AA9" t="s">
        <v>9851</v>
      </c>
      <c r="AB9" t="s">
        <v>10301</v>
      </c>
      <c r="AC9">
        <v>103</v>
      </c>
      <c r="AD9" t="s">
        <v>12421</v>
      </c>
      <c r="AE9" t="s">
        <v>12434</v>
      </c>
      <c r="AF9">
        <v>5</v>
      </c>
      <c r="AG9">
        <v>1</v>
      </c>
      <c r="AH9">
        <v>2</v>
      </c>
      <c r="AI9">
        <v>0</v>
      </c>
      <c r="AL9" t="s">
        <v>12460</v>
      </c>
      <c r="AM9">
        <v>0</v>
      </c>
      <c r="AS9">
        <v>0.6</v>
      </c>
      <c r="AT9" t="s">
        <v>404</v>
      </c>
      <c r="AU9" t="s">
        <v>48</v>
      </c>
    </row>
    <row r="10" spans="1:48">
      <c r="A10" s="1">
        <f>HYPERLINK("https://cms.ls-nyc.org/matter/dynamic-profile/view/1879490","18-1879490")</f>
        <v>0</v>
      </c>
      <c r="B10" t="s">
        <v>54</v>
      </c>
      <c r="C10" t="s">
        <v>239</v>
      </c>
      <c r="D10" t="s">
        <v>325</v>
      </c>
      <c r="E10" t="s">
        <v>573</v>
      </c>
      <c r="F10" t="s">
        <v>2053</v>
      </c>
      <c r="G10" t="s">
        <v>3650</v>
      </c>
      <c r="H10">
        <v>301</v>
      </c>
      <c r="I10" t="s">
        <v>6024</v>
      </c>
      <c r="J10">
        <v>11692</v>
      </c>
      <c r="K10" t="s">
        <v>6074</v>
      </c>
      <c r="L10" t="s">
        <v>6074</v>
      </c>
      <c r="M10" t="s">
        <v>6085</v>
      </c>
      <c r="N10" t="s">
        <v>7276</v>
      </c>
      <c r="O10" t="s">
        <v>7306</v>
      </c>
      <c r="P10" t="s">
        <v>7314</v>
      </c>
      <c r="Q10" t="s">
        <v>7322</v>
      </c>
      <c r="R10" t="s">
        <v>6076</v>
      </c>
      <c r="S10" t="s">
        <v>7324</v>
      </c>
      <c r="T10" t="s">
        <v>7336</v>
      </c>
      <c r="U10" t="s">
        <v>239</v>
      </c>
      <c r="V10">
        <v>2181</v>
      </c>
      <c r="W10" t="s">
        <v>7361</v>
      </c>
      <c r="X10" t="s">
        <v>7366</v>
      </c>
      <c r="Y10" t="s">
        <v>7386</v>
      </c>
      <c r="Z10" t="s">
        <v>7414</v>
      </c>
      <c r="AA10" t="s">
        <v>9852</v>
      </c>
      <c r="AB10" t="s">
        <v>10302</v>
      </c>
      <c r="AC10">
        <v>8</v>
      </c>
      <c r="AD10" t="s">
        <v>12422</v>
      </c>
      <c r="AE10" t="s">
        <v>12434</v>
      </c>
      <c r="AF10">
        <v>5</v>
      </c>
      <c r="AG10">
        <v>1</v>
      </c>
      <c r="AH10">
        <v>2</v>
      </c>
      <c r="AI10">
        <v>0</v>
      </c>
      <c r="AL10" t="s">
        <v>12460</v>
      </c>
      <c r="AM10">
        <v>0</v>
      </c>
      <c r="AS10">
        <v>0.6</v>
      </c>
      <c r="AT10" t="s">
        <v>325</v>
      </c>
      <c r="AU10" t="s">
        <v>51</v>
      </c>
    </row>
    <row r="11" spans="1:48">
      <c r="A11" s="1">
        <f>HYPERLINK("https://cms.ls-nyc.org/matter/dynamic-profile/view/1881279","18-1881279")</f>
        <v>0</v>
      </c>
      <c r="B11" t="s">
        <v>55</v>
      </c>
      <c r="C11" t="s">
        <v>240</v>
      </c>
      <c r="D11" t="s">
        <v>465</v>
      </c>
      <c r="E11" t="s">
        <v>574</v>
      </c>
      <c r="F11" t="s">
        <v>2054</v>
      </c>
      <c r="G11" t="s">
        <v>3649</v>
      </c>
      <c r="H11">
        <v>1106</v>
      </c>
      <c r="I11" t="s">
        <v>6024</v>
      </c>
      <c r="J11">
        <v>11692</v>
      </c>
      <c r="K11" t="s">
        <v>6074</v>
      </c>
      <c r="L11" t="s">
        <v>6074</v>
      </c>
      <c r="M11" t="s">
        <v>6086</v>
      </c>
      <c r="N11" t="s">
        <v>7276</v>
      </c>
      <c r="O11" t="s">
        <v>7306</v>
      </c>
      <c r="P11" t="s">
        <v>7314</v>
      </c>
      <c r="Q11" t="s">
        <v>7322</v>
      </c>
      <c r="R11" t="s">
        <v>6076</v>
      </c>
      <c r="S11" t="s">
        <v>7325</v>
      </c>
      <c r="T11" t="s">
        <v>7336</v>
      </c>
      <c r="U11" t="s">
        <v>240</v>
      </c>
      <c r="V11">
        <v>1616</v>
      </c>
      <c r="W11" t="s">
        <v>7361</v>
      </c>
      <c r="X11" t="s">
        <v>7366</v>
      </c>
      <c r="Y11" t="s">
        <v>7389</v>
      </c>
      <c r="Z11" t="s">
        <v>7415</v>
      </c>
      <c r="AA11" t="s">
        <v>9853</v>
      </c>
      <c r="AB11" t="s">
        <v>10303</v>
      </c>
      <c r="AC11">
        <v>231</v>
      </c>
      <c r="AD11" t="s">
        <v>12423</v>
      </c>
      <c r="AE11" t="s">
        <v>6110</v>
      </c>
      <c r="AF11">
        <v>9</v>
      </c>
      <c r="AG11">
        <v>1</v>
      </c>
      <c r="AH11">
        <v>2</v>
      </c>
      <c r="AI11">
        <v>0</v>
      </c>
      <c r="AL11" t="s">
        <v>12460</v>
      </c>
      <c r="AM11">
        <v>0</v>
      </c>
      <c r="AN11" t="s">
        <v>12485</v>
      </c>
      <c r="AS11">
        <v>2</v>
      </c>
      <c r="AT11" t="s">
        <v>240</v>
      </c>
      <c r="AU11" t="s">
        <v>51</v>
      </c>
    </row>
    <row r="12" spans="1:48">
      <c r="A12" s="1">
        <f>HYPERLINK("https://cms.ls-nyc.org/matter/dynamic-profile/view/1900415","19-1900415")</f>
        <v>0</v>
      </c>
      <c r="B12" t="s">
        <v>56</v>
      </c>
      <c r="C12" t="s">
        <v>241</v>
      </c>
      <c r="E12" t="s">
        <v>575</v>
      </c>
      <c r="F12" t="s">
        <v>2055</v>
      </c>
      <c r="G12" t="s">
        <v>3651</v>
      </c>
      <c r="H12">
        <v>206</v>
      </c>
      <c r="I12" t="s">
        <v>6024</v>
      </c>
      <c r="J12">
        <v>11692</v>
      </c>
      <c r="K12" t="s">
        <v>6074</v>
      </c>
      <c r="L12" t="s">
        <v>6075</v>
      </c>
      <c r="M12" t="s">
        <v>6087</v>
      </c>
      <c r="N12" t="s">
        <v>7276</v>
      </c>
      <c r="O12" t="s">
        <v>7306</v>
      </c>
      <c r="Q12" t="s">
        <v>7322</v>
      </c>
      <c r="R12" t="s">
        <v>6076</v>
      </c>
      <c r="S12" t="s">
        <v>7324</v>
      </c>
      <c r="T12" t="s">
        <v>7336</v>
      </c>
      <c r="U12" t="s">
        <v>241</v>
      </c>
      <c r="V12">
        <v>1673</v>
      </c>
      <c r="W12" t="s">
        <v>7361</v>
      </c>
      <c r="X12" t="s">
        <v>7367</v>
      </c>
      <c r="Z12" t="s">
        <v>7416</v>
      </c>
      <c r="AB12" t="s">
        <v>10304</v>
      </c>
      <c r="AC12">
        <v>0</v>
      </c>
      <c r="AD12" t="s">
        <v>12419</v>
      </c>
      <c r="AE12" t="s">
        <v>12434</v>
      </c>
      <c r="AF12">
        <v>6</v>
      </c>
      <c r="AG12">
        <v>1</v>
      </c>
      <c r="AH12">
        <v>0</v>
      </c>
      <c r="AI12">
        <v>0</v>
      </c>
      <c r="AL12" t="s">
        <v>12460</v>
      </c>
      <c r="AM12">
        <v>0</v>
      </c>
      <c r="AS12">
        <v>2</v>
      </c>
      <c r="AT12" t="s">
        <v>241</v>
      </c>
      <c r="AU12" t="s">
        <v>189</v>
      </c>
      <c r="AV12" t="s">
        <v>13145</v>
      </c>
    </row>
    <row r="13" spans="1:48">
      <c r="A13" s="1">
        <f>HYPERLINK("https://cms.ls-nyc.org/matter/dynamic-profile/view/1872513","18-1872513")</f>
        <v>0</v>
      </c>
      <c r="B13" t="s">
        <v>57</v>
      </c>
      <c r="C13" t="s">
        <v>242</v>
      </c>
      <c r="D13" t="s">
        <v>233</v>
      </c>
      <c r="E13" t="s">
        <v>576</v>
      </c>
      <c r="F13" t="s">
        <v>2056</v>
      </c>
      <c r="G13" t="s">
        <v>3652</v>
      </c>
      <c r="H13">
        <v>2</v>
      </c>
      <c r="I13" t="s">
        <v>6025</v>
      </c>
      <c r="J13">
        <v>11691</v>
      </c>
      <c r="K13" t="s">
        <v>6074</v>
      </c>
      <c r="L13" t="s">
        <v>6074</v>
      </c>
      <c r="M13" t="s">
        <v>6088</v>
      </c>
      <c r="N13" t="s">
        <v>7274</v>
      </c>
      <c r="O13" t="s">
        <v>7308</v>
      </c>
      <c r="P13" t="s">
        <v>7317</v>
      </c>
      <c r="Q13" t="s">
        <v>7322</v>
      </c>
      <c r="R13" t="s">
        <v>6076</v>
      </c>
      <c r="S13" t="s">
        <v>7324</v>
      </c>
      <c r="T13" t="s">
        <v>7336</v>
      </c>
      <c r="U13" t="s">
        <v>233</v>
      </c>
      <c r="V13">
        <v>1230</v>
      </c>
      <c r="W13" t="s">
        <v>7361</v>
      </c>
      <c r="X13" t="s">
        <v>7366</v>
      </c>
      <c r="Y13" t="s">
        <v>7390</v>
      </c>
      <c r="Z13" t="s">
        <v>7417</v>
      </c>
      <c r="AA13" t="s">
        <v>9854</v>
      </c>
      <c r="AB13" t="s">
        <v>10305</v>
      </c>
      <c r="AC13">
        <v>2</v>
      </c>
      <c r="AD13" t="s">
        <v>12419</v>
      </c>
      <c r="AE13" t="s">
        <v>12434</v>
      </c>
      <c r="AF13">
        <v>9</v>
      </c>
      <c r="AG13">
        <v>2</v>
      </c>
      <c r="AH13">
        <v>3</v>
      </c>
      <c r="AI13">
        <v>0</v>
      </c>
      <c r="AL13" t="s">
        <v>12460</v>
      </c>
      <c r="AM13">
        <v>0</v>
      </c>
      <c r="AO13" t="s">
        <v>12846</v>
      </c>
      <c r="AP13" t="s">
        <v>12858</v>
      </c>
      <c r="AQ13" t="s">
        <v>12910</v>
      </c>
      <c r="AR13" t="s">
        <v>12914</v>
      </c>
      <c r="AS13">
        <v>10.3</v>
      </c>
      <c r="AT13" t="s">
        <v>262</v>
      </c>
      <c r="AU13" t="s">
        <v>48</v>
      </c>
    </row>
    <row r="14" spans="1:48">
      <c r="A14" s="1">
        <f>HYPERLINK("https://cms.ls-nyc.org/matter/dynamic-profile/view/1876639","18-1876639")</f>
        <v>0</v>
      </c>
      <c r="B14" t="s">
        <v>58</v>
      </c>
      <c r="C14" t="s">
        <v>243</v>
      </c>
      <c r="D14" t="s">
        <v>346</v>
      </c>
      <c r="E14" t="s">
        <v>577</v>
      </c>
      <c r="F14" t="s">
        <v>2057</v>
      </c>
      <c r="G14" t="s">
        <v>3653</v>
      </c>
      <c r="H14" t="s">
        <v>5349</v>
      </c>
      <c r="I14" t="s">
        <v>6025</v>
      </c>
      <c r="J14">
        <v>11691</v>
      </c>
      <c r="K14" t="s">
        <v>6074</v>
      </c>
      <c r="L14" t="s">
        <v>6074</v>
      </c>
      <c r="M14" t="s">
        <v>6089</v>
      </c>
      <c r="N14" t="s">
        <v>7274</v>
      </c>
      <c r="O14" t="s">
        <v>7306</v>
      </c>
      <c r="P14" t="s">
        <v>7314</v>
      </c>
      <c r="Q14" t="s">
        <v>7322</v>
      </c>
      <c r="R14" t="s">
        <v>6076</v>
      </c>
      <c r="S14" t="s">
        <v>7324</v>
      </c>
      <c r="T14" t="s">
        <v>7338</v>
      </c>
      <c r="U14" t="s">
        <v>243</v>
      </c>
      <c r="V14">
        <v>950</v>
      </c>
      <c r="W14" t="s">
        <v>7361</v>
      </c>
      <c r="X14" t="s">
        <v>7366</v>
      </c>
      <c r="Y14" t="s">
        <v>7386</v>
      </c>
      <c r="Z14" t="s">
        <v>7418</v>
      </c>
      <c r="AA14" t="s">
        <v>9855</v>
      </c>
      <c r="AB14" t="s">
        <v>10306</v>
      </c>
      <c r="AC14">
        <v>2</v>
      </c>
      <c r="AD14" t="s">
        <v>12419</v>
      </c>
      <c r="AE14" t="s">
        <v>6110</v>
      </c>
      <c r="AF14">
        <v>20</v>
      </c>
      <c r="AG14">
        <v>2</v>
      </c>
      <c r="AH14">
        <v>0</v>
      </c>
      <c r="AI14">
        <v>0</v>
      </c>
      <c r="AL14" t="s">
        <v>12460</v>
      </c>
      <c r="AM14">
        <v>0</v>
      </c>
      <c r="AS14">
        <v>1</v>
      </c>
      <c r="AT14" t="s">
        <v>243</v>
      </c>
      <c r="AU14" t="s">
        <v>48</v>
      </c>
    </row>
    <row r="15" spans="1:48">
      <c r="A15" s="1">
        <f>HYPERLINK("https://cms.ls-nyc.org/matter/dynamic-profile/view/1877969","18-1877969")</f>
        <v>0</v>
      </c>
      <c r="B15" t="s">
        <v>59</v>
      </c>
      <c r="C15" t="s">
        <v>244</v>
      </c>
      <c r="D15" t="s">
        <v>346</v>
      </c>
      <c r="E15" t="s">
        <v>578</v>
      </c>
      <c r="F15" t="s">
        <v>2058</v>
      </c>
      <c r="G15" t="s">
        <v>3654</v>
      </c>
      <c r="H15" t="s">
        <v>5350</v>
      </c>
      <c r="I15" t="s">
        <v>6025</v>
      </c>
      <c r="J15">
        <v>11691</v>
      </c>
      <c r="K15" t="s">
        <v>6074</v>
      </c>
      <c r="L15" t="s">
        <v>6074</v>
      </c>
      <c r="M15" t="s">
        <v>6090</v>
      </c>
      <c r="N15" t="s">
        <v>7274</v>
      </c>
      <c r="O15" t="s">
        <v>7306</v>
      </c>
      <c r="P15" t="s">
        <v>7314</v>
      </c>
      <c r="Q15" t="s">
        <v>7322</v>
      </c>
      <c r="R15" t="s">
        <v>6076</v>
      </c>
      <c r="S15" t="s">
        <v>7324</v>
      </c>
      <c r="T15" t="s">
        <v>7338</v>
      </c>
      <c r="U15" t="s">
        <v>244</v>
      </c>
      <c r="V15">
        <v>1200</v>
      </c>
      <c r="W15" t="s">
        <v>7361</v>
      </c>
      <c r="X15" t="s">
        <v>7366</v>
      </c>
      <c r="Y15" t="s">
        <v>7386</v>
      </c>
      <c r="Z15" t="s">
        <v>7419</v>
      </c>
      <c r="AB15" t="s">
        <v>10307</v>
      </c>
      <c r="AC15">
        <v>1</v>
      </c>
      <c r="AD15" t="s">
        <v>12419</v>
      </c>
      <c r="AE15" t="s">
        <v>12433</v>
      </c>
      <c r="AF15">
        <v>3</v>
      </c>
      <c r="AG15">
        <v>1</v>
      </c>
      <c r="AH15">
        <v>1</v>
      </c>
      <c r="AI15">
        <v>0</v>
      </c>
      <c r="AL15" t="s">
        <v>12460</v>
      </c>
      <c r="AM15">
        <v>0</v>
      </c>
      <c r="AS15">
        <v>0.55</v>
      </c>
      <c r="AT15" t="s">
        <v>451</v>
      </c>
      <c r="AU15" t="s">
        <v>48</v>
      </c>
    </row>
    <row r="16" spans="1:48">
      <c r="A16" s="1">
        <f>HYPERLINK("https://cms.ls-nyc.org/matter/dynamic-profile/view/1880061","18-1880061")</f>
        <v>0</v>
      </c>
      <c r="B16" t="s">
        <v>60</v>
      </c>
      <c r="C16" t="s">
        <v>245</v>
      </c>
      <c r="D16" t="s">
        <v>420</v>
      </c>
      <c r="E16" t="s">
        <v>579</v>
      </c>
      <c r="F16" t="s">
        <v>2059</v>
      </c>
      <c r="G16" t="s">
        <v>3655</v>
      </c>
      <c r="H16" t="s">
        <v>5351</v>
      </c>
      <c r="I16" t="s">
        <v>6025</v>
      </c>
      <c r="J16">
        <v>11691</v>
      </c>
      <c r="K16" t="s">
        <v>6074</v>
      </c>
      <c r="L16" t="s">
        <v>6074</v>
      </c>
      <c r="M16" t="s">
        <v>6091</v>
      </c>
      <c r="N16" t="s">
        <v>7274</v>
      </c>
      <c r="O16" t="s">
        <v>7308</v>
      </c>
      <c r="P16" t="s">
        <v>7316</v>
      </c>
      <c r="Q16" t="s">
        <v>7322</v>
      </c>
      <c r="R16" t="s">
        <v>6076</v>
      </c>
      <c r="S16" t="s">
        <v>7324</v>
      </c>
      <c r="T16" t="s">
        <v>7336</v>
      </c>
      <c r="U16" t="s">
        <v>245</v>
      </c>
      <c r="V16">
        <v>1950</v>
      </c>
      <c r="W16" t="s">
        <v>7361</v>
      </c>
      <c r="X16" t="s">
        <v>7366</v>
      </c>
      <c r="Y16" t="s">
        <v>7391</v>
      </c>
      <c r="Z16" t="s">
        <v>7420</v>
      </c>
      <c r="AA16" t="s">
        <v>9856</v>
      </c>
      <c r="AB16" t="s">
        <v>10308</v>
      </c>
      <c r="AC16">
        <v>3</v>
      </c>
      <c r="AD16" t="s">
        <v>6322</v>
      </c>
      <c r="AE16" t="s">
        <v>6110</v>
      </c>
      <c r="AF16">
        <v>1</v>
      </c>
      <c r="AG16">
        <v>1</v>
      </c>
      <c r="AH16">
        <v>2</v>
      </c>
      <c r="AI16">
        <v>0</v>
      </c>
      <c r="AL16" t="s">
        <v>12460</v>
      </c>
      <c r="AM16">
        <v>0</v>
      </c>
      <c r="AO16" t="s">
        <v>12846</v>
      </c>
      <c r="AP16" t="s">
        <v>7305</v>
      </c>
      <c r="AQ16" t="s">
        <v>12910</v>
      </c>
      <c r="AR16" t="s">
        <v>12915</v>
      </c>
      <c r="AS16">
        <v>11.89</v>
      </c>
      <c r="AT16" t="s">
        <v>420</v>
      </c>
      <c r="AU16" t="s">
        <v>48</v>
      </c>
    </row>
    <row r="17" spans="1:48">
      <c r="A17" s="1">
        <f>HYPERLINK("https://cms.ls-nyc.org/matter/dynamic-profile/view/1882891","18-1882891")</f>
        <v>0</v>
      </c>
      <c r="B17" t="s">
        <v>57</v>
      </c>
      <c r="C17" t="s">
        <v>246</v>
      </c>
      <c r="D17" t="s">
        <v>269</v>
      </c>
      <c r="E17" t="s">
        <v>580</v>
      </c>
      <c r="F17" t="s">
        <v>2060</v>
      </c>
      <c r="G17" t="s">
        <v>3656</v>
      </c>
      <c r="H17" t="s">
        <v>5352</v>
      </c>
      <c r="I17" t="s">
        <v>6025</v>
      </c>
      <c r="J17">
        <v>11691</v>
      </c>
      <c r="K17" t="s">
        <v>6074</v>
      </c>
      <c r="L17" t="s">
        <v>6074</v>
      </c>
      <c r="M17" t="s">
        <v>6092</v>
      </c>
      <c r="N17" t="s">
        <v>7277</v>
      </c>
      <c r="O17" t="s">
        <v>7308</v>
      </c>
      <c r="P17" t="s">
        <v>7316</v>
      </c>
      <c r="Q17" t="s">
        <v>7322</v>
      </c>
      <c r="R17" t="s">
        <v>6076</v>
      </c>
      <c r="S17" t="s">
        <v>7324</v>
      </c>
      <c r="T17" t="s">
        <v>7336</v>
      </c>
      <c r="U17" t="s">
        <v>246</v>
      </c>
      <c r="V17">
        <v>600</v>
      </c>
      <c r="W17" t="s">
        <v>7361</v>
      </c>
      <c r="X17" t="s">
        <v>7366</v>
      </c>
      <c r="Y17" t="s">
        <v>7392</v>
      </c>
      <c r="Z17" t="s">
        <v>7421</v>
      </c>
      <c r="AB17" t="s">
        <v>10309</v>
      </c>
      <c r="AC17">
        <v>2</v>
      </c>
      <c r="AD17" t="s">
        <v>12419</v>
      </c>
      <c r="AE17" t="s">
        <v>6110</v>
      </c>
      <c r="AF17">
        <v>1</v>
      </c>
      <c r="AG17">
        <v>1</v>
      </c>
      <c r="AH17">
        <v>1</v>
      </c>
      <c r="AI17">
        <v>0</v>
      </c>
      <c r="AL17" t="s">
        <v>12460</v>
      </c>
      <c r="AM17">
        <v>0</v>
      </c>
      <c r="AO17" t="s">
        <v>12847</v>
      </c>
      <c r="AP17" t="s">
        <v>7305</v>
      </c>
      <c r="AQ17" t="s">
        <v>12909</v>
      </c>
      <c r="AR17" t="s">
        <v>12916</v>
      </c>
      <c r="AS17">
        <v>5.5</v>
      </c>
      <c r="AT17" t="s">
        <v>416</v>
      </c>
      <c r="AU17" t="s">
        <v>48</v>
      </c>
    </row>
    <row r="18" spans="1:48">
      <c r="A18" s="1">
        <f>HYPERLINK("https://cms.ls-nyc.org/matter/dynamic-profile/view/1895286","19-1895286")</f>
        <v>0</v>
      </c>
      <c r="B18" t="s">
        <v>54</v>
      </c>
      <c r="C18" t="s">
        <v>247</v>
      </c>
      <c r="E18" t="s">
        <v>581</v>
      </c>
      <c r="F18" t="s">
        <v>2061</v>
      </c>
      <c r="G18" t="s">
        <v>3657</v>
      </c>
      <c r="H18" t="s">
        <v>5353</v>
      </c>
      <c r="I18" t="s">
        <v>6025</v>
      </c>
      <c r="J18">
        <v>11691</v>
      </c>
      <c r="K18" t="s">
        <v>6074</v>
      </c>
      <c r="L18" t="s">
        <v>6074</v>
      </c>
      <c r="N18" t="s">
        <v>6104</v>
      </c>
      <c r="O18" t="s">
        <v>7307</v>
      </c>
      <c r="Q18" t="s">
        <v>7322</v>
      </c>
      <c r="R18" t="s">
        <v>6076</v>
      </c>
      <c r="S18" t="s">
        <v>7324</v>
      </c>
      <c r="U18" t="s">
        <v>322</v>
      </c>
      <c r="V18">
        <v>1233</v>
      </c>
      <c r="W18" t="s">
        <v>7361</v>
      </c>
      <c r="Z18" t="s">
        <v>7422</v>
      </c>
      <c r="AB18" t="s">
        <v>10310</v>
      </c>
      <c r="AC18">
        <v>917</v>
      </c>
      <c r="AD18" t="s">
        <v>12422</v>
      </c>
      <c r="AE18" t="s">
        <v>12434</v>
      </c>
      <c r="AF18">
        <v>10</v>
      </c>
      <c r="AG18">
        <v>1</v>
      </c>
      <c r="AH18">
        <v>0</v>
      </c>
      <c r="AI18">
        <v>0</v>
      </c>
      <c r="AL18" t="s">
        <v>12460</v>
      </c>
      <c r="AM18">
        <v>0</v>
      </c>
      <c r="AS18">
        <v>1.2</v>
      </c>
      <c r="AT18" t="s">
        <v>280</v>
      </c>
      <c r="AU18" t="s">
        <v>54</v>
      </c>
    </row>
    <row r="19" spans="1:48">
      <c r="A19" s="1">
        <f>HYPERLINK("https://cms.ls-nyc.org/matter/dynamic-profile/view/1878223","18-1878223")</f>
        <v>0</v>
      </c>
      <c r="B19" t="s">
        <v>54</v>
      </c>
      <c r="C19" t="s">
        <v>248</v>
      </c>
      <c r="D19" t="s">
        <v>425</v>
      </c>
      <c r="E19" t="s">
        <v>582</v>
      </c>
      <c r="F19" t="s">
        <v>2062</v>
      </c>
      <c r="G19" t="s">
        <v>3658</v>
      </c>
      <c r="H19" t="s">
        <v>5354</v>
      </c>
      <c r="I19" t="s">
        <v>6025</v>
      </c>
      <c r="J19">
        <v>11691</v>
      </c>
      <c r="K19" t="s">
        <v>6074</v>
      </c>
      <c r="L19" t="s">
        <v>6074</v>
      </c>
      <c r="M19" t="s">
        <v>6093</v>
      </c>
      <c r="N19" t="s">
        <v>7276</v>
      </c>
      <c r="O19" t="s">
        <v>7306</v>
      </c>
      <c r="P19" t="s">
        <v>7314</v>
      </c>
      <c r="Q19" t="s">
        <v>7322</v>
      </c>
      <c r="R19" t="s">
        <v>6076</v>
      </c>
      <c r="S19" t="s">
        <v>7324</v>
      </c>
      <c r="T19" t="s">
        <v>7336</v>
      </c>
      <c r="U19" t="s">
        <v>255</v>
      </c>
      <c r="V19">
        <v>1515</v>
      </c>
      <c r="W19" t="s">
        <v>7361</v>
      </c>
      <c r="X19" t="s">
        <v>7366</v>
      </c>
      <c r="Y19" t="s">
        <v>7386</v>
      </c>
      <c r="Z19" t="s">
        <v>7423</v>
      </c>
      <c r="AA19" t="s">
        <v>9857</v>
      </c>
      <c r="AB19" t="s">
        <v>10311</v>
      </c>
      <c r="AC19">
        <v>27</v>
      </c>
      <c r="AD19" t="s">
        <v>12422</v>
      </c>
      <c r="AE19" t="s">
        <v>12435</v>
      </c>
      <c r="AF19">
        <v>2</v>
      </c>
      <c r="AG19">
        <v>1</v>
      </c>
      <c r="AH19">
        <v>3</v>
      </c>
      <c r="AI19">
        <v>0</v>
      </c>
      <c r="AL19" t="s">
        <v>12460</v>
      </c>
      <c r="AM19">
        <v>0</v>
      </c>
      <c r="AS19">
        <v>1.1</v>
      </c>
      <c r="AT19" t="s">
        <v>425</v>
      </c>
      <c r="AU19" t="s">
        <v>54</v>
      </c>
    </row>
    <row r="20" spans="1:48">
      <c r="A20" s="1">
        <f>HYPERLINK("https://cms.ls-nyc.org/matter/dynamic-profile/view/1879295","18-1879295")</f>
        <v>0</v>
      </c>
      <c r="B20" t="s">
        <v>60</v>
      </c>
      <c r="C20" t="s">
        <v>249</v>
      </c>
      <c r="D20" t="s">
        <v>468</v>
      </c>
      <c r="E20" t="s">
        <v>583</v>
      </c>
      <c r="F20" t="s">
        <v>2063</v>
      </c>
      <c r="G20" t="s">
        <v>3659</v>
      </c>
      <c r="H20" t="s">
        <v>5355</v>
      </c>
      <c r="I20" t="s">
        <v>6025</v>
      </c>
      <c r="J20">
        <v>11691</v>
      </c>
      <c r="K20" t="s">
        <v>6074</v>
      </c>
      <c r="L20" t="s">
        <v>6074</v>
      </c>
      <c r="M20" t="s">
        <v>6094</v>
      </c>
      <c r="N20" t="s">
        <v>7276</v>
      </c>
      <c r="O20" t="s">
        <v>7306</v>
      </c>
      <c r="P20" t="s">
        <v>7314</v>
      </c>
      <c r="Q20" t="s">
        <v>7322</v>
      </c>
      <c r="R20" t="s">
        <v>6076</v>
      </c>
      <c r="S20" t="s">
        <v>7324</v>
      </c>
      <c r="T20" t="s">
        <v>7339</v>
      </c>
      <c r="U20" t="s">
        <v>249</v>
      </c>
      <c r="V20">
        <v>1515</v>
      </c>
      <c r="W20" t="s">
        <v>7361</v>
      </c>
      <c r="X20" t="s">
        <v>7366</v>
      </c>
      <c r="Y20" t="s">
        <v>7386</v>
      </c>
      <c r="Z20" t="s">
        <v>7424</v>
      </c>
      <c r="AA20" t="s">
        <v>9858</v>
      </c>
      <c r="AC20">
        <v>30</v>
      </c>
      <c r="AD20" t="s">
        <v>12422</v>
      </c>
      <c r="AE20" t="s">
        <v>12435</v>
      </c>
      <c r="AF20">
        <v>1</v>
      </c>
      <c r="AG20">
        <v>1</v>
      </c>
      <c r="AH20">
        <v>3</v>
      </c>
      <c r="AI20">
        <v>0</v>
      </c>
      <c r="AL20" t="s">
        <v>12460</v>
      </c>
      <c r="AM20">
        <v>0</v>
      </c>
      <c r="AS20">
        <v>3.3</v>
      </c>
      <c r="AT20" t="s">
        <v>468</v>
      </c>
      <c r="AU20" t="s">
        <v>48</v>
      </c>
    </row>
    <row r="21" spans="1:48">
      <c r="A21" s="1">
        <f>HYPERLINK("https://cms.ls-nyc.org/matter/dynamic-profile/view/1881240","18-1881240")</f>
        <v>0</v>
      </c>
      <c r="B21" t="s">
        <v>50</v>
      </c>
      <c r="C21" t="s">
        <v>240</v>
      </c>
      <c r="D21" t="s">
        <v>451</v>
      </c>
      <c r="E21" t="s">
        <v>584</v>
      </c>
      <c r="F21" t="s">
        <v>2064</v>
      </c>
      <c r="G21" t="s">
        <v>3660</v>
      </c>
      <c r="H21" t="s">
        <v>5351</v>
      </c>
      <c r="I21" t="s">
        <v>6025</v>
      </c>
      <c r="J21">
        <v>11691</v>
      </c>
      <c r="K21" t="s">
        <v>6074</v>
      </c>
      <c r="L21" t="s">
        <v>6074</v>
      </c>
      <c r="M21" t="s">
        <v>6095</v>
      </c>
      <c r="N21" t="s">
        <v>7276</v>
      </c>
      <c r="O21" t="s">
        <v>7306</v>
      </c>
      <c r="P21" t="s">
        <v>7314</v>
      </c>
      <c r="Q21" t="s">
        <v>7322</v>
      </c>
      <c r="R21" t="s">
        <v>6076</v>
      </c>
      <c r="S21" t="s">
        <v>7324</v>
      </c>
      <c r="T21" t="s">
        <v>7336</v>
      </c>
      <c r="U21" t="s">
        <v>240</v>
      </c>
      <c r="V21">
        <v>1534</v>
      </c>
      <c r="W21" t="s">
        <v>7361</v>
      </c>
      <c r="X21" t="s">
        <v>7366</v>
      </c>
      <c r="Y21" t="s">
        <v>7386</v>
      </c>
      <c r="Z21" t="s">
        <v>7425</v>
      </c>
      <c r="AA21" t="s">
        <v>9859</v>
      </c>
      <c r="AB21" t="s">
        <v>10312</v>
      </c>
      <c r="AC21">
        <v>3</v>
      </c>
      <c r="AD21" t="s">
        <v>12419</v>
      </c>
      <c r="AE21" t="s">
        <v>12435</v>
      </c>
      <c r="AF21">
        <v>3</v>
      </c>
      <c r="AG21">
        <v>1</v>
      </c>
      <c r="AH21">
        <v>3</v>
      </c>
      <c r="AI21">
        <v>0</v>
      </c>
      <c r="AL21" t="s">
        <v>12460</v>
      </c>
      <c r="AM21">
        <v>0</v>
      </c>
      <c r="AS21">
        <v>1.2</v>
      </c>
      <c r="AT21" t="s">
        <v>451</v>
      </c>
      <c r="AU21" t="s">
        <v>48</v>
      </c>
    </row>
    <row r="22" spans="1:48">
      <c r="A22" s="1">
        <f>HYPERLINK("https://cms.ls-nyc.org/matter/dynamic-profile/view/1885385","18-1885385")</f>
        <v>0</v>
      </c>
      <c r="B22" t="s">
        <v>52</v>
      </c>
      <c r="C22" t="s">
        <v>250</v>
      </c>
      <c r="D22" t="s">
        <v>317</v>
      </c>
      <c r="E22" t="s">
        <v>585</v>
      </c>
      <c r="F22" t="s">
        <v>2065</v>
      </c>
      <c r="G22" t="s">
        <v>3661</v>
      </c>
      <c r="H22" t="s">
        <v>5356</v>
      </c>
      <c r="I22" t="s">
        <v>6025</v>
      </c>
      <c r="J22">
        <v>11691</v>
      </c>
      <c r="K22" t="s">
        <v>6074</v>
      </c>
      <c r="L22" t="s">
        <v>6074</v>
      </c>
      <c r="M22" t="s">
        <v>6096</v>
      </c>
      <c r="N22" t="s">
        <v>7276</v>
      </c>
      <c r="O22" t="s">
        <v>7308</v>
      </c>
      <c r="P22" t="s">
        <v>7316</v>
      </c>
      <c r="Q22" t="s">
        <v>7322</v>
      </c>
      <c r="R22" t="s">
        <v>6076</v>
      </c>
      <c r="S22" t="s">
        <v>7324</v>
      </c>
      <c r="T22" t="s">
        <v>7336</v>
      </c>
      <c r="U22" t="s">
        <v>250</v>
      </c>
      <c r="V22">
        <v>1497</v>
      </c>
      <c r="W22" t="s">
        <v>7361</v>
      </c>
      <c r="X22" t="s">
        <v>7368</v>
      </c>
      <c r="Y22" t="s">
        <v>7388</v>
      </c>
      <c r="Z22" t="s">
        <v>7426</v>
      </c>
      <c r="AA22" t="s">
        <v>9860</v>
      </c>
      <c r="AB22" t="s">
        <v>10313</v>
      </c>
      <c r="AC22">
        <v>231</v>
      </c>
      <c r="AD22" t="s">
        <v>12423</v>
      </c>
      <c r="AE22" t="s">
        <v>12434</v>
      </c>
      <c r="AF22">
        <v>35</v>
      </c>
      <c r="AG22">
        <v>1</v>
      </c>
      <c r="AH22">
        <v>3</v>
      </c>
      <c r="AI22">
        <v>0</v>
      </c>
      <c r="AL22" t="s">
        <v>12460</v>
      </c>
      <c r="AM22">
        <v>0</v>
      </c>
      <c r="AO22" t="s">
        <v>12846</v>
      </c>
      <c r="AP22" t="s">
        <v>12859</v>
      </c>
      <c r="AQ22" t="s">
        <v>12909</v>
      </c>
      <c r="AR22" t="s">
        <v>12917</v>
      </c>
      <c r="AS22">
        <v>8.6</v>
      </c>
      <c r="AT22" t="s">
        <v>329</v>
      </c>
      <c r="AU22" t="s">
        <v>189</v>
      </c>
      <c r="AV22" t="s">
        <v>13145</v>
      </c>
    </row>
    <row r="23" spans="1:48">
      <c r="A23" s="1">
        <f>HYPERLINK("https://cms.ls-nyc.org/matter/dynamic-profile/view/1890870","19-1890870")</f>
        <v>0</v>
      </c>
      <c r="B23" t="s">
        <v>49</v>
      </c>
      <c r="C23" t="s">
        <v>251</v>
      </c>
      <c r="E23" t="s">
        <v>586</v>
      </c>
      <c r="F23" t="s">
        <v>2066</v>
      </c>
      <c r="G23" t="s">
        <v>3662</v>
      </c>
      <c r="H23" t="s">
        <v>5357</v>
      </c>
      <c r="I23" t="s">
        <v>6025</v>
      </c>
      <c r="J23">
        <v>11691</v>
      </c>
      <c r="K23" t="s">
        <v>6074</v>
      </c>
      <c r="L23" t="s">
        <v>6074</v>
      </c>
      <c r="M23" t="s">
        <v>6097</v>
      </c>
      <c r="N23" t="s">
        <v>7276</v>
      </c>
      <c r="O23" t="s">
        <v>7306</v>
      </c>
      <c r="Q23" t="s">
        <v>7322</v>
      </c>
      <c r="R23" t="s">
        <v>6076</v>
      </c>
      <c r="S23" t="s">
        <v>7324</v>
      </c>
      <c r="T23" t="s">
        <v>7338</v>
      </c>
      <c r="U23" t="s">
        <v>251</v>
      </c>
      <c r="V23">
        <v>1085</v>
      </c>
      <c r="W23" t="s">
        <v>7361</v>
      </c>
      <c r="X23" t="s">
        <v>7366</v>
      </c>
      <c r="Z23" t="s">
        <v>7427</v>
      </c>
      <c r="AA23" t="s">
        <v>9861</v>
      </c>
      <c r="AB23" t="s">
        <v>9856</v>
      </c>
      <c r="AC23">
        <v>84</v>
      </c>
      <c r="AD23" t="s">
        <v>12422</v>
      </c>
      <c r="AE23" t="s">
        <v>6110</v>
      </c>
      <c r="AF23">
        <v>25</v>
      </c>
      <c r="AG23">
        <v>3</v>
      </c>
      <c r="AH23">
        <v>0</v>
      </c>
      <c r="AI23">
        <v>0</v>
      </c>
      <c r="AL23" t="s">
        <v>12461</v>
      </c>
      <c r="AM23">
        <v>0</v>
      </c>
      <c r="AS23">
        <v>0.5</v>
      </c>
      <c r="AT23" t="s">
        <v>251</v>
      </c>
      <c r="AU23" t="s">
        <v>48</v>
      </c>
    </row>
    <row r="24" spans="1:48">
      <c r="A24" s="1">
        <f>HYPERLINK("https://cms.ls-nyc.org/matter/dynamic-profile/view/1895111","19-1895111")</f>
        <v>0</v>
      </c>
      <c r="B24" t="s">
        <v>61</v>
      </c>
      <c r="C24" t="s">
        <v>252</v>
      </c>
      <c r="E24" t="s">
        <v>585</v>
      </c>
      <c r="F24" t="s">
        <v>2065</v>
      </c>
      <c r="G24" t="s">
        <v>3661</v>
      </c>
      <c r="H24" t="s">
        <v>5356</v>
      </c>
      <c r="I24" t="s">
        <v>6025</v>
      </c>
      <c r="J24">
        <v>11691</v>
      </c>
      <c r="K24" t="s">
        <v>6074</v>
      </c>
      <c r="L24" t="s">
        <v>6074</v>
      </c>
      <c r="M24" t="s">
        <v>6098</v>
      </c>
      <c r="N24" t="s">
        <v>7276</v>
      </c>
      <c r="O24" t="s">
        <v>7309</v>
      </c>
      <c r="Q24" t="s">
        <v>7322</v>
      </c>
      <c r="R24" t="s">
        <v>6076</v>
      </c>
      <c r="S24" t="s">
        <v>7324</v>
      </c>
      <c r="T24" t="s">
        <v>7336</v>
      </c>
      <c r="U24" t="s">
        <v>250</v>
      </c>
      <c r="V24">
        <v>0</v>
      </c>
      <c r="W24" t="s">
        <v>7361</v>
      </c>
      <c r="X24" t="s">
        <v>7368</v>
      </c>
      <c r="Z24" t="s">
        <v>7426</v>
      </c>
      <c r="AA24" t="s">
        <v>9860</v>
      </c>
      <c r="AB24" t="s">
        <v>10313</v>
      </c>
      <c r="AC24">
        <v>231</v>
      </c>
      <c r="AD24" t="s">
        <v>12423</v>
      </c>
      <c r="AE24" t="s">
        <v>12434</v>
      </c>
      <c r="AF24">
        <v>35</v>
      </c>
      <c r="AG24">
        <v>1</v>
      </c>
      <c r="AH24">
        <v>3</v>
      </c>
      <c r="AI24">
        <v>0</v>
      </c>
      <c r="AL24" t="s">
        <v>12460</v>
      </c>
      <c r="AM24">
        <v>0</v>
      </c>
      <c r="AO24" t="s">
        <v>12846</v>
      </c>
      <c r="AP24" t="s">
        <v>12859</v>
      </c>
      <c r="AQ24" t="s">
        <v>12909</v>
      </c>
      <c r="AR24" t="s">
        <v>12917</v>
      </c>
      <c r="AS24">
        <v>0.4</v>
      </c>
      <c r="AT24" t="s">
        <v>314</v>
      </c>
      <c r="AU24" t="s">
        <v>52</v>
      </c>
    </row>
    <row r="25" spans="1:48">
      <c r="A25" s="1">
        <f>HYPERLINK("https://cms.ls-nyc.org/matter/dynamic-profile/view/1876299","18-1876299")</f>
        <v>0</v>
      </c>
      <c r="B25" t="s">
        <v>62</v>
      </c>
      <c r="C25" t="s">
        <v>253</v>
      </c>
      <c r="D25" t="s">
        <v>346</v>
      </c>
      <c r="E25" t="s">
        <v>587</v>
      </c>
      <c r="F25" t="s">
        <v>2067</v>
      </c>
      <c r="G25" t="s">
        <v>3663</v>
      </c>
      <c r="I25" t="s">
        <v>6025</v>
      </c>
      <c r="J25">
        <v>11691</v>
      </c>
      <c r="K25" t="s">
        <v>6074</v>
      </c>
      <c r="L25" t="s">
        <v>6074</v>
      </c>
      <c r="M25" t="s">
        <v>6099</v>
      </c>
      <c r="N25" t="s">
        <v>7278</v>
      </c>
      <c r="O25" t="s">
        <v>7306</v>
      </c>
      <c r="P25" t="s">
        <v>7314</v>
      </c>
      <c r="Q25" t="s">
        <v>7322</v>
      </c>
      <c r="R25" t="s">
        <v>6076</v>
      </c>
      <c r="S25" t="s">
        <v>7326</v>
      </c>
      <c r="T25" t="s">
        <v>7336</v>
      </c>
      <c r="U25" t="s">
        <v>243</v>
      </c>
      <c r="V25">
        <v>1895</v>
      </c>
      <c r="W25" t="s">
        <v>7361</v>
      </c>
      <c r="X25" t="s">
        <v>7367</v>
      </c>
      <c r="Y25" t="s">
        <v>7386</v>
      </c>
      <c r="Z25" t="s">
        <v>7428</v>
      </c>
      <c r="AA25" t="s">
        <v>6101</v>
      </c>
      <c r="AB25" t="s">
        <v>10314</v>
      </c>
      <c r="AC25">
        <v>3</v>
      </c>
      <c r="AD25" t="s">
        <v>12421</v>
      </c>
      <c r="AE25" t="s">
        <v>12434</v>
      </c>
      <c r="AF25">
        <v>5</v>
      </c>
      <c r="AG25">
        <v>3</v>
      </c>
      <c r="AH25">
        <v>0</v>
      </c>
      <c r="AI25">
        <v>0</v>
      </c>
      <c r="AL25" t="s">
        <v>12460</v>
      </c>
      <c r="AM25">
        <v>0</v>
      </c>
      <c r="AS25">
        <v>1.7</v>
      </c>
      <c r="AT25" t="s">
        <v>243</v>
      </c>
      <c r="AU25" t="s">
        <v>13077</v>
      </c>
    </row>
    <row r="26" spans="1:48">
      <c r="A26" s="1">
        <f>HYPERLINK("https://cms.ls-nyc.org/matter/dynamic-profile/view/1880080","18-1880080")</f>
        <v>0</v>
      </c>
      <c r="B26" t="s">
        <v>54</v>
      </c>
      <c r="C26" t="s">
        <v>245</v>
      </c>
      <c r="D26" t="s">
        <v>391</v>
      </c>
      <c r="E26" t="s">
        <v>588</v>
      </c>
      <c r="F26" t="s">
        <v>2068</v>
      </c>
      <c r="G26" t="s">
        <v>3664</v>
      </c>
      <c r="H26" t="s">
        <v>5358</v>
      </c>
      <c r="I26" t="s">
        <v>6026</v>
      </c>
      <c r="J26">
        <v>11432</v>
      </c>
      <c r="K26" t="s">
        <v>6074</v>
      </c>
      <c r="L26" t="s">
        <v>6074</v>
      </c>
      <c r="M26" t="s">
        <v>6100</v>
      </c>
      <c r="N26" t="s">
        <v>7276</v>
      </c>
      <c r="O26" t="s">
        <v>7306</v>
      </c>
      <c r="P26" t="s">
        <v>7314</v>
      </c>
      <c r="Q26" t="s">
        <v>7322</v>
      </c>
      <c r="R26" t="s">
        <v>6076</v>
      </c>
      <c r="S26" t="s">
        <v>7324</v>
      </c>
      <c r="T26" t="s">
        <v>7336</v>
      </c>
      <c r="U26" t="s">
        <v>245</v>
      </c>
      <c r="V26">
        <v>1543</v>
      </c>
      <c r="W26" t="s">
        <v>7361</v>
      </c>
      <c r="X26" t="s">
        <v>7366</v>
      </c>
      <c r="Y26" t="s">
        <v>7386</v>
      </c>
      <c r="Z26" t="s">
        <v>7429</v>
      </c>
      <c r="AA26" t="s">
        <v>9862</v>
      </c>
      <c r="AB26" t="s">
        <v>10315</v>
      </c>
      <c r="AC26">
        <v>6</v>
      </c>
      <c r="AD26" t="s">
        <v>6322</v>
      </c>
      <c r="AE26" t="s">
        <v>6110</v>
      </c>
      <c r="AF26">
        <v>6</v>
      </c>
      <c r="AG26">
        <v>2</v>
      </c>
      <c r="AH26">
        <v>2</v>
      </c>
      <c r="AI26">
        <v>0</v>
      </c>
      <c r="AL26" t="s">
        <v>12460</v>
      </c>
      <c r="AM26">
        <v>0</v>
      </c>
      <c r="AS26">
        <v>0.9</v>
      </c>
      <c r="AT26" t="s">
        <v>391</v>
      </c>
      <c r="AU26" t="s">
        <v>48</v>
      </c>
    </row>
    <row r="27" spans="1:48">
      <c r="A27" s="1">
        <f>HYPERLINK("https://cms.ls-nyc.org/matter/dynamic-profile/view/1899083","19-1899083")</f>
        <v>0</v>
      </c>
      <c r="B27" t="s">
        <v>51</v>
      </c>
      <c r="C27" t="s">
        <v>254</v>
      </c>
      <c r="D27" t="s">
        <v>254</v>
      </c>
      <c r="E27" t="s">
        <v>589</v>
      </c>
      <c r="F27" t="s">
        <v>2069</v>
      </c>
      <c r="G27" t="s">
        <v>3665</v>
      </c>
      <c r="H27" t="s">
        <v>5359</v>
      </c>
      <c r="I27" t="s">
        <v>6027</v>
      </c>
      <c r="J27">
        <v>11428</v>
      </c>
      <c r="K27" t="s">
        <v>6074</v>
      </c>
      <c r="L27" t="s">
        <v>6075</v>
      </c>
      <c r="M27" t="s">
        <v>6101</v>
      </c>
      <c r="N27" t="s">
        <v>6104</v>
      </c>
      <c r="O27" t="s">
        <v>7306</v>
      </c>
      <c r="P27" t="s">
        <v>7314</v>
      </c>
      <c r="Q27" t="s">
        <v>7322</v>
      </c>
      <c r="R27" t="s">
        <v>6076</v>
      </c>
      <c r="S27" t="s">
        <v>7324</v>
      </c>
      <c r="T27" t="s">
        <v>7336</v>
      </c>
      <c r="U27" t="s">
        <v>254</v>
      </c>
      <c r="V27">
        <v>1250</v>
      </c>
      <c r="W27" t="s">
        <v>7361</v>
      </c>
      <c r="X27" t="s">
        <v>7369</v>
      </c>
      <c r="Y27" t="s">
        <v>7386</v>
      </c>
      <c r="Z27" t="s">
        <v>7430</v>
      </c>
      <c r="AB27" t="s">
        <v>9856</v>
      </c>
      <c r="AC27">
        <v>3</v>
      </c>
      <c r="AD27" t="s">
        <v>12419</v>
      </c>
      <c r="AE27" t="s">
        <v>6110</v>
      </c>
      <c r="AF27">
        <v>2</v>
      </c>
      <c r="AG27">
        <v>3</v>
      </c>
      <c r="AH27">
        <v>2</v>
      </c>
      <c r="AI27">
        <v>0</v>
      </c>
      <c r="AL27" t="s">
        <v>12460</v>
      </c>
      <c r="AM27">
        <v>0</v>
      </c>
      <c r="AS27">
        <v>1.6</v>
      </c>
      <c r="AT27" t="s">
        <v>445</v>
      </c>
      <c r="AU27" t="s">
        <v>51</v>
      </c>
      <c r="AV27" t="s">
        <v>6110</v>
      </c>
    </row>
    <row r="28" spans="1:48">
      <c r="A28" s="1">
        <f>HYPERLINK("https://cms.ls-nyc.org/matter/dynamic-profile/view/1878169","18-1878169")</f>
        <v>0</v>
      </c>
      <c r="B28" t="s">
        <v>54</v>
      </c>
      <c r="C28" t="s">
        <v>255</v>
      </c>
      <c r="D28" t="s">
        <v>373</v>
      </c>
      <c r="E28" t="s">
        <v>590</v>
      </c>
      <c r="F28" t="s">
        <v>2070</v>
      </c>
      <c r="G28" t="s">
        <v>3666</v>
      </c>
      <c r="I28" t="s">
        <v>6028</v>
      </c>
      <c r="J28">
        <v>11427</v>
      </c>
      <c r="K28" t="s">
        <v>6074</v>
      </c>
      <c r="L28" t="s">
        <v>6074</v>
      </c>
      <c r="M28" t="s">
        <v>6102</v>
      </c>
      <c r="N28" t="s">
        <v>7274</v>
      </c>
      <c r="O28" t="s">
        <v>7306</v>
      </c>
      <c r="P28" t="s">
        <v>7314</v>
      </c>
      <c r="Q28" t="s">
        <v>7322</v>
      </c>
      <c r="R28" t="s">
        <v>6076</v>
      </c>
      <c r="S28" t="s">
        <v>7324</v>
      </c>
      <c r="T28" t="s">
        <v>7336</v>
      </c>
      <c r="U28" t="s">
        <v>255</v>
      </c>
      <c r="V28">
        <v>0</v>
      </c>
      <c r="W28" t="s">
        <v>7361</v>
      </c>
      <c r="X28" t="s">
        <v>7366</v>
      </c>
      <c r="Y28" t="s">
        <v>7386</v>
      </c>
      <c r="Z28" t="s">
        <v>7431</v>
      </c>
      <c r="AB28" t="s">
        <v>10316</v>
      </c>
      <c r="AC28">
        <v>2</v>
      </c>
      <c r="AD28" t="s">
        <v>12419</v>
      </c>
      <c r="AE28" t="s">
        <v>6110</v>
      </c>
      <c r="AF28">
        <v>22</v>
      </c>
      <c r="AG28">
        <v>2</v>
      </c>
      <c r="AH28">
        <v>2</v>
      </c>
      <c r="AI28">
        <v>0</v>
      </c>
      <c r="AL28" t="s">
        <v>12460</v>
      </c>
      <c r="AM28">
        <v>0</v>
      </c>
      <c r="AS28">
        <v>1</v>
      </c>
      <c r="AT28" t="s">
        <v>373</v>
      </c>
      <c r="AU28" t="s">
        <v>189</v>
      </c>
    </row>
    <row r="29" spans="1:48">
      <c r="A29" s="1">
        <f>HYPERLINK("https://cms.ls-nyc.org/matter/dynamic-profile/view/1880726","18-1880726")</f>
        <v>0</v>
      </c>
      <c r="B29" t="s">
        <v>60</v>
      </c>
      <c r="C29" t="s">
        <v>256</v>
      </c>
      <c r="D29" t="s">
        <v>256</v>
      </c>
      <c r="E29" t="s">
        <v>591</v>
      </c>
      <c r="F29" t="s">
        <v>646</v>
      </c>
      <c r="G29" t="s">
        <v>3667</v>
      </c>
      <c r="H29" t="s">
        <v>5360</v>
      </c>
      <c r="I29" t="s">
        <v>6029</v>
      </c>
      <c r="J29">
        <v>11423</v>
      </c>
      <c r="K29" t="s">
        <v>6074</v>
      </c>
      <c r="L29" t="s">
        <v>6074</v>
      </c>
      <c r="M29" t="s">
        <v>6101</v>
      </c>
      <c r="N29" t="s">
        <v>6104</v>
      </c>
      <c r="O29" t="s">
        <v>7306</v>
      </c>
      <c r="P29" t="s">
        <v>7314</v>
      </c>
      <c r="Q29" t="s">
        <v>7323</v>
      </c>
      <c r="R29" t="s">
        <v>6076</v>
      </c>
      <c r="S29" t="s">
        <v>7324</v>
      </c>
      <c r="T29" t="s">
        <v>7336</v>
      </c>
      <c r="U29" t="s">
        <v>256</v>
      </c>
      <c r="V29">
        <v>1000</v>
      </c>
      <c r="W29" t="s">
        <v>7361</v>
      </c>
      <c r="X29" t="s">
        <v>7369</v>
      </c>
      <c r="Y29" t="s">
        <v>7386</v>
      </c>
      <c r="Z29" t="s">
        <v>7432</v>
      </c>
      <c r="AA29" t="s">
        <v>9863</v>
      </c>
      <c r="AB29" t="s">
        <v>9856</v>
      </c>
      <c r="AC29">
        <v>2</v>
      </c>
      <c r="AD29" t="s">
        <v>12419</v>
      </c>
      <c r="AE29" t="s">
        <v>6110</v>
      </c>
      <c r="AF29">
        <v>1</v>
      </c>
      <c r="AG29">
        <v>1</v>
      </c>
      <c r="AH29">
        <v>2</v>
      </c>
      <c r="AI29">
        <v>0</v>
      </c>
      <c r="AJ29" t="s">
        <v>12443</v>
      </c>
      <c r="AK29" t="s">
        <v>12455</v>
      </c>
      <c r="AL29" t="s">
        <v>12460</v>
      </c>
      <c r="AM29">
        <v>0</v>
      </c>
      <c r="AS29">
        <v>1.23</v>
      </c>
      <c r="AT29" t="s">
        <v>256</v>
      </c>
      <c r="AU29" t="s">
        <v>60</v>
      </c>
    </row>
    <row r="30" spans="1:48">
      <c r="A30" s="1">
        <f>HYPERLINK("https://cms.ls-nyc.org/matter/dynamic-profile/view/1898480","19-1898480")</f>
        <v>0</v>
      </c>
      <c r="B30" t="s">
        <v>52</v>
      </c>
      <c r="C30" t="s">
        <v>257</v>
      </c>
      <c r="D30" t="s">
        <v>317</v>
      </c>
      <c r="E30" t="s">
        <v>592</v>
      </c>
      <c r="F30" t="s">
        <v>2071</v>
      </c>
      <c r="G30" t="s">
        <v>3668</v>
      </c>
      <c r="H30" t="s">
        <v>5361</v>
      </c>
      <c r="I30" t="s">
        <v>6029</v>
      </c>
      <c r="J30">
        <v>11423</v>
      </c>
      <c r="K30" t="s">
        <v>6074</v>
      </c>
      <c r="L30" t="s">
        <v>6074</v>
      </c>
      <c r="M30" t="s">
        <v>6081</v>
      </c>
      <c r="N30" t="s">
        <v>6104</v>
      </c>
      <c r="O30" t="s">
        <v>7306</v>
      </c>
      <c r="P30" t="s">
        <v>7314</v>
      </c>
      <c r="Q30" t="s">
        <v>7323</v>
      </c>
      <c r="R30" t="s">
        <v>6076</v>
      </c>
      <c r="S30" t="s">
        <v>7324</v>
      </c>
      <c r="T30" t="s">
        <v>7336</v>
      </c>
      <c r="U30" t="s">
        <v>257</v>
      </c>
      <c r="V30">
        <v>1900</v>
      </c>
      <c r="W30" t="s">
        <v>7361</v>
      </c>
      <c r="X30" t="s">
        <v>7369</v>
      </c>
      <c r="Y30" t="s">
        <v>7386</v>
      </c>
      <c r="Z30" t="s">
        <v>7433</v>
      </c>
      <c r="AA30" t="s">
        <v>9856</v>
      </c>
      <c r="AB30" t="s">
        <v>9856</v>
      </c>
      <c r="AC30">
        <v>2</v>
      </c>
      <c r="AD30" t="s">
        <v>12419</v>
      </c>
      <c r="AE30" t="s">
        <v>6110</v>
      </c>
      <c r="AF30">
        <v>1</v>
      </c>
      <c r="AG30">
        <v>1</v>
      </c>
      <c r="AH30">
        <v>1</v>
      </c>
      <c r="AI30">
        <v>0</v>
      </c>
      <c r="AL30" t="s">
        <v>12462</v>
      </c>
      <c r="AM30">
        <v>0</v>
      </c>
      <c r="AS30">
        <v>1.3</v>
      </c>
      <c r="AT30" t="s">
        <v>446</v>
      </c>
      <c r="AU30" t="s">
        <v>52</v>
      </c>
      <c r="AV30" t="s">
        <v>13145</v>
      </c>
    </row>
    <row r="31" spans="1:48">
      <c r="A31" s="1">
        <f>HYPERLINK("https://cms.ls-nyc.org/matter/dynamic-profile/view/1881948","18-1881948")</f>
        <v>0</v>
      </c>
      <c r="B31" t="s">
        <v>52</v>
      </c>
      <c r="C31" t="s">
        <v>258</v>
      </c>
      <c r="D31" t="s">
        <v>468</v>
      </c>
      <c r="E31" t="s">
        <v>593</v>
      </c>
      <c r="F31" t="s">
        <v>2072</v>
      </c>
      <c r="G31" t="s">
        <v>3669</v>
      </c>
      <c r="H31" t="s">
        <v>5360</v>
      </c>
      <c r="I31" t="s">
        <v>6030</v>
      </c>
      <c r="J31">
        <v>11421</v>
      </c>
      <c r="K31" t="s">
        <v>6074</v>
      </c>
      <c r="L31" t="s">
        <v>6074</v>
      </c>
      <c r="M31" t="s">
        <v>6103</v>
      </c>
      <c r="N31" t="s">
        <v>7274</v>
      </c>
      <c r="O31" t="s">
        <v>7306</v>
      </c>
      <c r="P31" t="s">
        <v>7314</v>
      </c>
      <c r="Q31" t="s">
        <v>7322</v>
      </c>
      <c r="R31" t="s">
        <v>6076</v>
      </c>
      <c r="S31" t="s">
        <v>7324</v>
      </c>
      <c r="T31" t="s">
        <v>7336</v>
      </c>
      <c r="U31" t="s">
        <v>258</v>
      </c>
      <c r="V31">
        <v>950</v>
      </c>
      <c r="W31" t="s">
        <v>7361</v>
      </c>
      <c r="X31" t="s">
        <v>7366</v>
      </c>
      <c r="Y31" t="s">
        <v>7386</v>
      </c>
      <c r="Z31" t="s">
        <v>7434</v>
      </c>
      <c r="AB31" t="s">
        <v>10317</v>
      </c>
      <c r="AC31">
        <v>2</v>
      </c>
      <c r="AD31" t="s">
        <v>12419</v>
      </c>
      <c r="AE31" t="s">
        <v>6110</v>
      </c>
      <c r="AF31">
        <v>1</v>
      </c>
      <c r="AG31">
        <v>1</v>
      </c>
      <c r="AH31">
        <v>0</v>
      </c>
      <c r="AI31">
        <v>0</v>
      </c>
      <c r="AL31" t="s">
        <v>12460</v>
      </c>
      <c r="AM31">
        <v>0</v>
      </c>
      <c r="AS31">
        <v>1.7</v>
      </c>
      <c r="AT31" t="s">
        <v>468</v>
      </c>
      <c r="AU31" t="s">
        <v>48</v>
      </c>
    </row>
    <row r="32" spans="1:48">
      <c r="A32" s="1">
        <f>HYPERLINK("https://cms.ls-nyc.org/matter/dynamic-profile/view/1889192","19-1889192")</f>
        <v>0</v>
      </c>
      <c r="B32" t="s">
        <v>54</v>
      </c>
      <c r="C32" t="s">
        <v>259</v>
      </c>
      <c r="D32" t="s">
        <v>367</v>
      </c>
      <c r="E32" t="s">
        <v>586</v>
      </c>
      <c r="F32" t="s">
        <v>2073</v>
      </c>
      <c r="G32" t="s">
        <v>3670</v>
      </c>
      <c r="H32" t="s">
        <v>5361</v>
      </c>
      <c r="I32" t="s">
        <v>6030</v>
      </c>
      <c r="J32">
        <v>11421</v>
      </c>
      <c r="K32" t="s">
        <v>6074</v>
      </c>
      <c r="L32" t="s">
        <v>6074</v>
      </c>
      <c r="M32" t="s">
        <v>6104</v>
      </c>
      <c r="N32" t="s">
        <v>6104</v>
      </c>
      <c r="O32" t="s">
        <v>7307</v>
      </c>
      <c r="P32" t="s">
        <v>7314</v>
      </c>
      <c r="Q32" t="s">
        <v>7323</v>
      </c>
      <c r="R32" t="s">
        <v>6076</v>
      </c>
      <c r="S32" t="s">
        <v>7324</v>
      </c>
      <c r="T32" t="s">
        <v>7336</v>
      </c>
      <c r="U32" t="s">
        <v>306</v>
      </c>
      <c r="V32">
        <v>0</v>
      </c>
      <c r="W32" t="s">
        <v>7361</v>
      </c>
      <c r="X32" t="s">
        <v>7369</v>
      </c>
      <c r="Y32" t="s">
        <v>7386</v>
      </c>
      <c r="Z32" t="s">
        <v>7435</v>
      </c>
      <c r="AA32" t="s">
        <v>9856</v>
      </c>
      <c r="AB32" t="s">
        <v>9856</v>
      </c>
      <c r="AC32">
        <v>1</v>
      </c>
      <c r="AD32" t="s">
        <v>12419</v>
      </c>
      <c r="AE32" t="s">
        <v>6110</v>
      </c>
      <c r="AF32">
        <v>0</v>
      </c>
      <c r="AG32">
        <v>1</v>
      </c>
      <c r="AH32">
        <v>2</v>
      </c>
      <c r="AI32">
        <v>0</v>
      </c>
      <c r="AJ32" t="s">
        <v>12443</v>
      </c>
      <c r="AK32" t="s">
        <v>12455</v>
      </c>
      <c r="AL32" t="s">
        <v>12461</v>
      </c>
      <c r="AM32">
        <v>0</v>
      </c>
      <c r="AS32">
        <v>0.25</v>
      </c>
      <c r="AT32" t="s">
        <v>367</v>
      </c>
      <c r="AU32" t="s">
        <v>48</v>
      </c>
    </row>
    <row r="33" spans="1:48">
      <c r="A33" s="1">
        <f>HYPERLINK("https://cms.ls-nyc.org/matter/dynamic-profile/view/1900668","19-1900668")</f>
        <v>0</v>
      </c>
      <c r="B33" t="s">
        <v>63</v>
      </c>
      <c r="C33" t="s">
        <v>260</v>
      </c>
      <c r="E33" t="s">
        <v>594</v>
      </c>
      <c r="F33" t="s">
        <v>2074</v>
      </c>
      <c r="G33" t="s">
        <v>3671</v>
      </c>
      <c r="I33" t="s">
        <v>6031</v>
      </c>
      <c r="J33">
        <v>11419</v>
      </c>
      <c r="K33" t="s">
        <v>6074</v>
      </c>
      <c r="L33" t="s">
        <v>6075</v>
      </c>
      <c r="M33" t="s">
        <v>6105</v>
      </c>
      <c r="N33" t="s">
        <v>7274</v>
      </c>
      <c r="O33" t="s">
        <v>7310</v>
      </c>
      <c r="Q33" t="s">
        <v>7322</v>
      </c>
      <c r="R33" t="s">
        <v>6076</v>
      </c>
      <c r="S33" t="s">
        <v>7324</v>
      </c>
      <c r="U33" t="s">
        <v>260</v>
      </c>
      <c r="V33">
        <v>750</v>
      </c>
      <c r="W33" t="s">
        <v>7361</v>
      </c>
      <c r="Z33" t="s">
        <v>7436</v>
      </c>
      <c r="AB33" t="s">
        <v>10318</v>
      </c>
      <c r="AC33">
        <v>0</v>
      </c>
      <c r="AF33">
        <v>5</v>
      </c>
      <c r="AG33">
        <v>1</v>
      </c>
      <c r="AH33">
        <v>0</v>
      </c>
      <c r="AI33">
        <v>0</v>
      </c>
      <c r="AL33" t="s">
        <v>12460</v>
      </c>
      <c r="AM33">
        <v>0</v>
      </c>
      <c r="AS33">
        <v>1</v>
      </c>
      <c r="AT33" t="s">
        <v>260</v>
      </c>
      <c r="AU33" t="s">
        <v>13078</v>
      </c>
    </row>
    <row r="34" spans="1:48">
      <c r="A34" s="1">
        <f>HYPERLINK("https://cms.ls-nyc.org/matter/dynamic-profile/view/1889305","19-1889305")</f>
        <v>0</v>
      </c>
      <c r="B34" t="s">
        <v>52</v>
      </c>
      <c r="C34" t="s">
        <v>261</v>
      </c>
      <c r="D34" t="s">
        <v>330</v>
      </c>
      <c r="E34" t="s">
        <v>595</v>
      </c>
      <c r="F34" t="s">
        <v>2075</v>
      </c>
      <c r="G34" t="s">
        <v>3672</v>
      </c>
      <c r="H34" t="s">
        <v>5362</v>
      </c>
      <c r="I34" t="s">
        <v>6032</v>
      </c>
      <c r="J34">
        <v>11419</v>
      </c>
      <c r="K34" t="s">
        <v>6074</v>
      </c>
      <c r="L34" t="s">
        <v>6074</v>
      </c>
      <c r="M34" t="s">
        <v>6106</v>
      </c>
      <c r="N34" t="s">
        <v>7276</v>
      </c>
      <c r="O34" t="s">
        <v>7306</v>
      </c>
      <c r="P34" t="s">
        <v>7314</v>
      </c>
      <c r="Q34" t="s">
        <v>7322</v>
      </c>
      <c r="R34" t="s">
        <v>6076</v>
      </c>
      <c r="S34" t="s">
        <v>7324</v>
      </c>
      <c r="T34" t="s">
        <v>7336</v>
      </c>
      <c r="U34" t="s">
        <v>261</v>
      </c>
      <c r="V34">
        <v>2300</v>
      </c>
      <c r="W34" t="s">
        <v>7361</v>
      </c>
      <c r="X34" t="s">
        <v>7366</v>
      </c>
      <c r="Y34" t="s">
        <v>7386</v>
      </c>
      <c r="Z34" t="s">
        <v>7437</v>
      </c>
      <c r="AB34" t="s">
        <v>10319</v>
      </c>
      <c r="AC34">
        <v>3</v>
      </c>
      <c r="AD34" t="s">
        <v>12419</v>
      </c>
      <c r="AE34" t="s">
        <v>6110</v>
      </c>
      <c r="AF34">
        <v>-1</v>
      </c>
      <c r="AG34">
        <v>1</v>
      </c>
      <c r="AH34">
        <v>0</v>
      </c>
      <c r="AI34">
        <v>0</v>
      </c>
      <c r="AL34" t="s">
        <v>12460</v>
      </c>
      <c r="AM34">
        <v>0</v>
      </c>
      <c r="AS34">
        <v>1.5</v>
      </c>
      <c r="AT34" t="s">
        <v>358</v>
      </c>
      <c r="AU34" t="s">
        <v>189</v>
      </c>
    </row>
    <row r="35" spans="1:48">
      <c r="A35" s="1">
        <f>HYPERLINK("https://cms.ls-nyc.org/matter/dynamic-profile/view/1885383","18-1885383")</f>
        <v>0</v>
      </c>
      <c r="B35" t="s">
        <v>60</v>
      </c>
      <c r="C35" t="s">
        <v>250</v>
      </c>
      <c r="D35" t="s">
        <v>429</v>
      </c>
      <c r="E35" t="s">
        <v>596</v>
      </c>
      <c r="F35" t="s">
        <v>2076</v>
      </c>
      <c r="G35" t="s">
        <v>3673</v>
      </c>
      <c r="H35" t="s">
        <v>5347</v>
      </c>
      <c r="I35" t="s">
        <v>6033</v>
      </c>
      <c r="J35">
        <v>11417</v>
      </c>
      <c r="K35" t="s">
        <v>6074</v>
      </c>
      <c r="L35" t="s">
        <v>6074</v>
      </c>
      <c r="M35" t="s">
        <v>6107</v>
      </c>
      <c r="N35" t="s">
        <v>7274</v>
      </c>
      <c r="O35" t="s">
        <v>7306</v>
      </c>
      <c r="P35" t="s">
        <v>7314</v>
      </c>
      <c r="Q35" t="s">
        <v>7322</v>
      </c>
      <c r="R35" t="s">
        <v>6076</v>
      </c>
      <c r="S35" t="s">
        <v>7324</v>
      </c>
      <c r="T35" t="s">
        <v>7336</v>
      </c>
      <c r="U35" t="s">
        <v>250</v>
      </c>
      <c r="V35">
        <v>1750</v>
      </c>
      <c r="W35" t="s">
        <v>7361</v>
      </c>
      <c r="X35" t="s">
        <v>7366</v>
      </c>
      <c r="Y35" t="s">
        <v>7386</v>
      </c>
      <c r="Z35" t="s">
        <v>7438</v>
      </c>
      <c r="AA35" t="s">
        <v>9864</v>
      </c>
      <c r="AB35" t="s">
        <v>10320</v>
      </c>
      <c r="AC35">
        <v>2</v>
      </c>
      <c r="AD35" t="s">
        <v>12419</v>
      </c>
      <c r="AE35" t="s">
        <v>6110</v>
      </c>
      <c r="AF35">
        <v>1</v>
      </c>
      <c r="AG35">
        <v>1</v>
      </c>
      <c r="AH35">
        <v>1</v>
      </c>
      <c r="AI35">
        <v>0</v>
      </c>
      <c r="AL35" t="s">
        <v>12460</v>
      </c>
      <c r="AM35">
        <v>0</v>
      </c>
      <c r="AS35">
        <v>0.88</v>
      </c>
      <c r="AT35" t="s">
        <v>429</v>
      </c>
      <c r="AU35" t="s">
        <v>48</v>
      </c>
    </row>
    <row r="36" spans="1:48">
      <c r="A36" s="1">
        <f>HYPERLINK("https://cms.ls-nyc.org/matter/dynamic-profile/view/1880749","18-1880749")</f>
        <v>0</v>
      </c>
      <c r="B36" t="s">
        <v>60</v>
      </c>
      <c r="C36" t="s">
        <v>256</v>
      </c>
      <c r="E36" t="s">
        <v>597</v>
      </c>
      <c r="F36" t="s">
        <v>2077</v>
      </c>
      <c r="G36" t="s">
        <v>3674</v>
      </c>
      <c r="H36">
        <v>1</v>
      </c>
      <c r="I36" t="s">
        <v>6033</v>
      </c>
      <c r="J36">
        <v>11416</v>
      </c>
      <c r="K36" t="s">
        <v>6074</v>
      </c>
      <c r="L36" t="s">
        <v>6074</v>
      </c>
      <c r="M36" t="s">
        <v>6108</v>
      </c>
      <c r="N36" t="s">
        <v>7276</v>
      </c>
      <c r="O36" t="s">
        <v>7308</v>
      </c>
      <c r="Q36" t="s">
        <v>7323</v>
      </c>
      <c r="R36" t="s">
        <v>6076</v>
      </c>
      <c r="S36" t="s">
        <v>7324</v>
      </c>
      <c r="T36" t="s">
        <v>7336</v>
      </c>
      <c r="U36" t="s">
        <v>256</v>
      </c>
      <c r="V36">
        <v>2300</v>
      </c>
      <c r="W36" t="s">
        <v>7361</v>
      </c>
      <c r="X36" t="s">
        <v>7369</v>
      </c>
      <c r="Y36" t="s">
        <v>7386</v>
      </c>
      <c r="Z36" t="s">
        <v>7439</v>
      </c>
      <c r="AA36" t="s">
        <v>9863</v>
      </c>
      <c r="AB36" t="s">
        <v>9856</v>
      </c>
      <c r="AC36">
        <v>5</v>
      </c>
      <c r="AD36" t="s">
        <v>12419</v>
      </c>
      <c r="AE36" t="s">
        <v>6110</v>
      </c>
      <c r="AF36">
        <v>1</v>
      </c>
      <c r="AG36">
        <v>2</v>
      </c>
      <c r="AH36">
        <v>0</v>
      </c>
      <c r="AI36">
        <v>0</v>
      </c>
      <c r="AJ36" t="s">
        <v>12443</v>
      </c>
      <c r="AK36" t="s">
        <v>12455</v>
      </c>
      <c r="AL36" t="s">
        <v>12461</v>
      </c>
      <c r="AM36">
        <v>0</v>
      </c>
      <c r="AS36">
        <v>16.25</v>
      </c>
      <c r="AT36" t="s">
        <v>260</v>
      </c>
      <c r="AU36" t="s">
        <v>60</v>
      </c>
    </row>
    <row r="37" spans="1:48">
      <c r="A37" s="1">
        <f>HYPERLINK("https://cms.ls-nyc.org/matter/dynamic-profile/view/1875022","18-1875022")</f>
        <v>0</v>
      </c>
      <c r="B37" t="s">
        <v>48</v>
      </c>
      <c r="C37" t="s">
        <v>262</v>
      </c>
      <c r="D37" t="s">
        <v>262</v>
      </c>
      <c r="E37" t="s">
        <v>598</v>
      </c>
      <c r="F37" t="s">
        <v>2078</v>
      </c>
      <c r="G37" t="s">
        <v>3675</v>
      </c>
      <c r="H37" t="s">
        <v>5346</v>
      </c>
      <c r="I37" t="s">
        <v>6034</v>
      </c>
      <c r="J37">
        <v>11378</v>
      </c>
      <c r="K37" t="s">
        <v>6074</v>
      </c>
      <c r="L37" t="s">
        <v>6074</v>
      </c>
      <c r="M37" t="s">
        <v>6109</v>
      </c>
      <c r="N37" t="s">
        <v>7273</v>
      </c>
      <c r="O37" t="s">
        <v>7306</v>
      </c>
      <c r="P37" t="s">
        <v>7314</v>
      </c>
      <c r="Q37" t="s">
        <v>7322</v>
      </c>
      <c r="R37" t="s">
        <v>6076</v>
      </c>
      <c r="S37" t="s">
        <v>7324</v>
      </c>
      <c r="T37" t="s">
        <v>7336</v>
      </c>
      <c r="U37" t="s">
        <v>262</v>
      </c>
      <c r="V37">
        <v>1850</v>
      </c>
      <c r="W37" t="s">
        <v>7361</v>
      </c>
      <c r="X37" t="s">
        <v>7366</v>
      </c>
      <c r="Y37" t="s">
        <v>7386</v>
      </c>
      <c r="Z37" t="s">
        <v>7440</v>
      </c>
      <c r="AA37" t="s">
        <v>9865</v>
      </c>
      <c r="AB37" t="s">
        <v>9856</v>
      </c>
      <c r="AC37">
        <v>3</v>
      </c>
      <c r="AD37" t="s">
        <v>12419</v>
      </c>
      <c r="AE37" t="s">
        <v>6110</v>
      </c>
      <c r="AF37">
        <v>7</v>
      </c>
      <c r="AG37">
        <v>1</v>
      </c>
      <c r="AH37">
        <v>1</v>
      </c>
      <c r="AI37">
        <v>0</v>
      </c>
      <c r="AL37" t="s">
        <v>12460</v>
      </c>
      <c r="AM37">
        <v>0</v>
      </c>
      <c r="AS37">
        <v>1.45</v>
      </c>
      <c r="AT37" t="s">
        <v>301</v>
      </c>
      <c r="AU37" t="s">
        <v>48</v>
      </c>
    </row>
    <row r="38" spans="1:48">
      <c r="A38" s="1">
        <f>HYPERLINK("https://cms.ls-nyc.org/matter/dynamic-profile/view/1897809","19-1897809")</f>
        <v>0</v>
      </c>
      <c r="B38" t="s">
        <v>64</v>
      </c>
      <c r="C38" t="s">
        <v>263</v>
      </c>
      <c r="D38" t="s">
        <v>317</v>
      </c>
      <c r="E38" t="s">
        <v>599</v>
      </c>
      <c r="F38" t="s">
        <v>2079</v>
      </c>
      <c r="G38" t="s">
        <v>3676</v>
      </c>
      <c r="H38" t="s">
        <v>5363</v>
      </c>
      <c r="I38" t="s">
        <v>6035</v>
      </c>
      <c r="J38">
        <v>11377</v>
      </c>
      <c r="K38" t="s">
        <v>6074</v>
      </c>
      <c r="L38" t="s">
        <v>6074</v>
      </c>
      <c r="N38" t="s">
        <v>7279</v>
      </c>
      <c r="O38" t="s">
        <v>7307</v>
      </c>
      <c r="P38" t="s">
        <v>7315</v>
      </c>
      <c r="Q38" t="s">
        <v>7322</v>
      </c>
      <c r="R38" t="s">
        <v>6076</v>
      </c>
      <c r="S38" t="s">
        <v>7324</v>
      </c>
      <c r="U38" t="s">
        <v>263</v>
      </c>
      <c r="V38">
        <v>1024.65</v>
      </c>
      <c r="W38" t="s">
        <v>7361</v>
      </c>
      <c r="X38" t="s">
        <v>7370</v>
      </c>
      <c r="Y38" t="s">
        <v>7387</v>
      </c>
      <c r="Z38" t="s">
        <v>7441</v>
      </c>
      <c r="AB38" t="s">
        <v>10321</v>
      </c>
      <c r="AC38">
        <v>39</v>
      </c>
      <c r="AD38" t="s">
        <v>12422</v>
      </c>
      <c r="AE38" t="s">
        <v>6110</v>
      </c>
      <c r="AF38">
        <v>26</v>
      </c>
      <c r="AG38">
        <v>1</v>
      </c>
      <c r="AH38">
        <v>0</v>
      </c>
      <c r="AI38">
        <v>0</v>
      </c>
      <c r="AL38" t="s">
        <v>12461</v>
      </c>
      <c r="AM38">
        <v>0</v>
      </c>
      <c r="AQ38" t="s">
        <v>12909</v>
      </c>
      <c r="AR38" t="s">
        <v>12918</v>
      </c>
      <c r="AS38">
        <v>0.5</v>
      </c>
      <c r="AT38" t="s">
        <v>263</v>
      </c>
      <c r="AU38" t="s">
        <v>64</v>
      </c>
      <c r="AV38" t="s">
        <v>13145</v>
      </c>
    </row>
    <row r="39" spans="1:48">
      <c r="A39" s="1">
        <f>HYPERLINK("https://cms.ls-nyc.org/matter/dynamic-profile/view/1895654","19-1895654")</f>
        <v>0</v>
      </c>
      <c r="B39" t="s">
        <v>52</v>
      </c>
      <c r="C39" t="s">
        <v>264</v>
      </c>
      <c r="D39" t="s">
        <v>317</v>
      </c>
      <c r="E39" t="s">
        <v>600</v>
      </c>
      <c r="F39" t="s">
        <v>2080</v>
      </c>
      <c r="G39" t="s">
        <v>3677</v>
      </c>
      <c r="H39" t="s">
        <v>5364</v>
      </c>
      <c r="I39" t="s">
        <v>6035</v>
      </c>
      <c r="J39">
        <v>11377</v>
      </c>
      <c r="K39" t="s">
        <v>6074</v>
      </c>
      <c r="L39" t="s">
        <v>6074</v>
      </c>
      <c r="M39" t="s">
        <v>6110</v>
      </c>
      <c r="N39" t="s">
        <v>6104</v>
      </c>
      <c r="O39" t="s">
        <v>7306</v>
      </c>
      <c r="P39" t="s">
        <v>7314</v>
      </c>
      <c r="Q39" t="s">
        <v>7323</v>
      </c>
      <c r="R39" t="s">
        <v>6076</v>
      </c>
      <c r="S39" t="s">
        <v>7324</v>
      </c>
      <c r="T39" t="s">
        <v>7336</v>
      </c>
      <c r="U39" t="s">
        <v>264</v>
      </c>
      <c r="V39">
        <v>1470</v>
      </c>
      <c r="W39" t="s">
        <v>7361</v>
      </c>
      <c r="X39" t="s">
        <v>7369</v>
      </c>
      <c r="Y39" t="s">
        <v>7386</v>
      </c>
      <c r="Z39" t="s">
        <v>7442</v>
      </c>
      <c r="AA39" t="s">
        <v>6110</v>
      </c>
      <c r="AB39" t="s">
        <v>9856</v>
      </c>
      <c r="AC39">
        <v>6</v>
      </c>
      <c r="AD39" t="s">
        <v>12422</v>
      </c>
      <c r="AE39" t="s">
        <v>6110</v>
      </c>
      <c r="AF39">
        <v>10</v>
      </c>
      <c r="AG39">
        <v>1</v>
      </c>
      <c r="AH39">
        <v>3</v>
      </c>
      <c r="AI39">
        <v>0</v>
      </c>
      <c r="AJ39" t="s">
        <v>12443</v>
      </c>
      <c r="AK39" t="s">
        <v>12455</v>
      </c>
      <c r="AL39" t="s">
        <v>12461</v>
      </c>
      <c r="AM39">
        <v>0</v>
      </c>
      <c r="AS39">
        <v>1.05</v>
      </c>
      <c r="AT39" t="s">
        <v>317</v>
      </c>
      <c r="AU39" t="s">
        <v>52</v>
      </c>
    </row>
    <row r="40" spans="1:48">
      <c r="A40" s="1">
        <f>HYPERLINK("https://cms.ls-nyc.org/matter/dynamic-profile/view/1897717","19-1897717")</f>
        <v>0</v>
      </c>
      <c r="B40" t="s">
        <v>54</v>
      </c>
      <c r="C40" t="s">
        <v>263</v>
      </c>
      <c r="E40" t="s">
        <v>601</v>
      </c>
      <c r="F40" t="s">
        <v>2081</v>
      </c>
      <c r="G40" t="s">
        <v>3678</v>
      </c>
      <c r="H40">
        <v>3</v>
      </c>
      <c r="I40" t="s">
        <v>6035</v>
      </c>
      <c r="J40">
        <v>11377</v>
      </c>
      <c r="K40" t="s">
        <v>6074</v>
      </c>
      <c r="L40" t="s">
        <v>6074</v>
      </c>
      <c r="N40" t="s">
        <v>6104</v>
      </c>
      <c r="O40" t="s">
        <v>7307</v>
      </c>
      <c r="Q40" t="s">
        <v>7323</v>
      </c>
      <c r="R40" t="s">
        <v>6076</v>
      </c>
      <c r="S40" t="s">
        <v>7324</v>
      </c>
      <c r="U40" t="s">
        <v>375</v>
      </c>
      <c r="V40">
        <v>1700</v>
      </c>
      <c r="W40" t="s">
        <v>7361</v>
      </c>
      <c r="X40" t="s">
        <v>7369</v>
      </c>
      <c r="Z40" t="s">
        <v>7443</v>
      </c>
      <c r="AC40">
        <v>0</v>
      </c>
      <c r="AD40" t="s">
        <v>12419</v>
      </c>
      <c r="AF40">
        <v>0</v>
      </c>
      <c r="AG40">
        <v>1</v>
      </c>
      <c r="AH40">
        <v>1</v>
      </c>
      <c r="AI40">
        <v>0</v>
      </c>
      <c r="AM40">
        <v>0</v>
      </c>
      <c r="AS40">
        <v>0.4</v>
      </c>
      <c r="AT40" t="s">
        <v>263</v>
      </c>
      <c r="AU40" t="s">
        <v>54</v>
      </c>
    </row>
    <row r="41" spans="1:48">
      <c r="A41" s="1">
        <f>HYPERLINK("https://cms.ls-nyc.org/matter/dynamic-profile/view/1897710","19-1897710")</f>
        <v>0</v>
      </c>
      <c r="B41" t="s">
        <v>54</v>
      </c>
      <c r="C41" t="s">
        <v>263</v>
      </c>
      <c r="E41" t="s">
        <v>602</v>
      </c>
      <c r="F41" t="s">
        <v>2082</v>
      </c>
      <c r="G41" t="s">
        <v>3679</v>
      </c>
      <c r="H41" t="s">
        <v>5365</v>
      </c>
      <c r="I41" t="s">
        <v>6036</v>
      </c>
      <c r="J41">
        <v>11374</v>
      </c>
      <c r="K41" t="s">
        <v>6074</v>
      </c>
      <c r="L41" t="s">
        <v>6074</v>
      </c>
      <c r="N41" t="s">
        <v>6104</v>
      </c>
      <c r="O41" t="s">
        <v>7307</v>
      </c>
      <c r="Q41" t="s">
        <v>7323</v>
      </c>
      <c r="R41" t="s">
        <v>6076</v>
      </c>
      <c r="S41" t="s">
        <v>7324</v>
      </c>
      <c r="U41" t="s">
        <v>375</v>
      </c>
      <c r="V41">
        <v>0</v>
      </c>
      <c r="W41" t="s">
        <v>7361</v>
      </c>
      <c r="X41" t="s">
        <v>7369</v>
      </c>
      <c r="Z41" t="s">
        <v>7444</v>
      </c>
      <c r="AA41" t="s">
        <v>9866</v>
      </c>
      <c r="AC41">
        <v>1</v>
      </c>
      <c r="AD41" t="s">
        <v>12419</v>
      </c>
      <c r="AF41">
        <v>6</v>
      </c>
      <c r="AG41">
        <v>5</v>
      </c>
      <c r="AH41">
        <v>0</v>
      </c>
      <c r="AI41">
        <v>0</v>
      </c>
      <c r="AL41" t="s">
        <v>12461</v>
      </c>
      <c r="AM41">
        <v>0</v>
      </c>
      <c r="AS41">
        <v>1</v>
      </c>
      <c r="AT41" t="s">
        <v>263</v>
      </c>
      <c r="AU41" t="s">
        <v>54</v>
      </c>
    </row>
    <row r="42" spans="1:48">
      <c r="A42" s="1">
        <f>HYPERLINK("https://cms.ls-nyc.org/matter/dynamic-profile/view/1900065","19-1900065")</f>
        <v>0</v>
      </c>
      <c r="B42" t="s">
        <v>65</v>
      </c>
      <c r="C42" t="s">
        <v>265</v>
      </c>
      <c r="E42" t="s">
        <v>603</v>
      </c>
      <c r="F42" t="s">
        <v>2083</v>
      </c>
      <c r="G42" t="s">
        <v>3680</v>
      </c>
      <c r="H42" t="s">
        <v>5366</v>
      </c>
      <c r="I42" t="s">
        <v>6037</v>
      </c>
      <c r="J42">
        <v>11372</v>
      </c>
      <c r="K42" t="s">
        <v>6074</v>
      </c>
      <c r="L42" t="s">
        <v>6075</v>
      </c>
      <c r="M42" t="s">
        <v>6111</v>
      </c>
      <c r="N42" t="s">
        <v>7276</v>
      </c>
      <c r="O42" t="s">
        <v>7308</v>
      </c>
      <c r="Q42" t="s">
        <v>7322</v>
      </c>
      <c r="R42" t="s">
        <v>6076</v>
      </c>
      <c r="S42" t="s">
        <v>7324</v>
      </c>
      <c r="U42" t="s">
        <v>265</v>
      </c>
      <c r="V42">
        <v>750</v>
      </c>
      <c r="W42" t="s">
        <v>7361</v>
      </c>
      <c r="X42" t="s">
        <v>7368</v>
      </c>
      <c r="Z42" t="s">
        <v>7445</v>
      </c>
      <c r="AB42" t="s">
        <v>10322</v>
      </c>
      <c r="AC42">
        <v>0</v>
      </c>
      <c r="AF42">
        <v>46</v>
      </c>
      <c r="AG42">
        <v>1</v>
      </c>
      <c r="AH42">
        <v>0</v>
      </c>
      <c r="AI42">
        <v>0</v>
      </c>
      <c r="AM42">
        <v>0</v>
      </c>
      <c r="AS42">
        <v>11</v>
      </c>
      <c r="AT42" t="s">
        <v>496</v>
      </c>
      <c r="AU42" t="s">
        <v>65</v>
      </c>
    </row>
    <row r="43" spans="1:48">
      <c r="A43" s="1">
        <f>HYPERLINK("https://cms.ls-nyc.org/matter/dynamic-profile/view/1885643","18-1885643")</f>
        <v>0</v>
      </c>
      <c r="B43" t="s">
        <v>51</v>
      </c>
      <c r="C43" t="s">
        <v>266</v>
      </c>
      <c r="D43" t="s">
        <v>344</v>
      </c>
      <c r="E43" t="s">
        <v>604</v>
      </c>
      <c r="F43" t="s">
        <v>2084</v>
      </c>
      <c r="G43" t="s">
        <v>3681</v>
      </c>
      <c r="H43" t="s">
        <v>5360</v>
      </c>
      <c r="I43" t="s">
        <v>6038</v>
      </c>
      <c r="J43">
        <v>11370</v>
      </c>
      <c r="K43" t="s">
        <v>6074</v>
      </c>
      <c r="L43" t="s">
        <v>6074</v>
      </c>
      <c r="M43" t="s">
        <v>6112</v>
      </c>
      <c r="N43" t="s">
        <v>7277</v>
      </c>
      <c r="O43" t="s">
        <v>7306</v>
      </c>
      <c r="P43" t="s">
        <v>7314</v>
      </c>
      <c r="Q43" t="s">
        <v>7322</v>
      </c>
      <c r="R43" t="s">
        <v>6076</v>
      </c>
      <c r="S43" t="s">
        <v>7324</v>
      </c>
      <c r="T43" t="s">
        <v>7336</v>
      </c>
      <c r="U43" t="s">
        <v>266</v>
      </c>
      <c r="V43">
        <v>500</v>
      </c>
      <c r="W43" t="s">
        <v>7361</v>
      </c>
      <c r="X43" t="s">
        <v>7366</v>
      </c>
      <c r="Y43" t="s">
        <v>7386</v>
      </c>
      <c r="Z43" t="s">
        <v>7446</v>
      </c>
      <c r="AB43" t="s">
        <v>10323</v>
      </c>
      <c r="AC43">
        <v>3</v>
      </c>
      <c r="AD43" t="s">
        <v>12419</v>
      </c>
      <c r="AE43" t="s">
        <v>6110</v>
      </c>
      <c r="AF43">
        <v>1</v>
      </c>
      <c r="AG43">
        <v>1</v>
      </c>
      <c r="AH43">
        <v>0</v>
      </c>
      <c r="AI43">
        <v>0</v>
      </c>
      <c r="AL43" t="s">
        <v>12461</v>
      </c>
      <c r="AM43">
        <v>0</v>
      </c>
      <c r="AS43">
        <v>1.04</v>
      </c>
      <c r="AT43" t="s">
        <v>344</v>
      </c>
      <c r="AU43" t="s">
        <v>51</v>
      </c>
    </row>
    <row r="44" spans="1:48">
      <c r="A44" s="1">
        <f>HYPERLINK("https://cms.ls-nyc.org/matter/dynamic-profile/view/1887322","19-1887322")</f>
        <v>0</v>
      </c>
      <c r="B44" t="s">
        <v>52</v>
      </c>
      <c r="C44" t="s">
        <v>267</v>
      </c>
      <c r="D44" t="s">
        <v>310</v>
      </c>
      <c r="E44" t="s">
        <v>605</v>
      </c>
      <c r="F44" t="s">
        <v>2085</v>
      </c>
      <c r="G44" t="s">
        <v>3682</v>
      </c>
      <c r="H44" t="s">
        <v>5367</v>
      </c>
      <c r="I44" t="s">
        <v>6039</v>
      </c>
      <c r="J44">
        <v>11368</v>
      </c>
      <c r="K44" t="s">
        <v>6074</v>
      </c>
      <c r="L44" t="s">
        <v>6074</v>
      </c>
      <c r="M44" t="s">
        <v>6104</v>
      </c>
      <c r="N44" t="s">
        <v>6104</v>
      </c>
      <c r="O44" t="s">
        <v>7306</v>
      </c>
      <c r="P44" t="s">
        <v>7314</v>
      </c>
      <c r="Q44" t="s">
        <v>7323</v>
      </c>
      <c r="R44" t="s">
        <v>6076</v>
      </c>
      <c r="S44" t="s">
        <v>7324</v>
      </c>
      <c r="T44" t="s">
        <v>7336</v>
      </c>
      <c r="U44" t="s">
        <v>267</v>
      </c>
      <c r="V44">
        <v>2300</v>
      </c>
      <c r="W44" t="s">
        <v>7361</v>
      </c>
      <c r="X44" t="s">
        <v>7369</v>
      </c>
      <c r="Y44" t="s">
        <v>7386</v>
      </c>
      <c r="Z44" t="s">
        <v>7447</v>
      </c>
      <c r="AA44" t="s">
        <v>6110</v>
      </c>
      <c r="AB44" t="s">
        <v>9856</v>
      </c>
      <c r="AC44">
        <v>4</v>
      </c>
      <c r="AD44" t="s">
        <v>12422</v>
      </c>
      <c r="AE44" t="s">
        <v>6110</v>
      </c>
      <c r="AF44">
        <v>1</v>
      </c>
      <c r="AG44">
        <v>2</v>
      </c>
      <c r="AH44">
        <v>3</v>
      </c>
      <c r="AI44">
        <v>0</v>
      </c>
      <c r="AJ44" t="s">
        <v>12443</v>
      </c>
      <c r="AK44" t="s">
        <v>12455</v>
      </c>
      <c r="AL44" t="s">
        <v>12461</v>
      </c>
      <c r="AM44">
        <v>0</v>
      </c>
      <c r="AS44">
        <v>1.8</v>
      </c>
      <c r="AT44" t="s">
        <v>340</v>
      </c>
      <c r="AU44" t="s">
        <v>52</v>
      </c>
    </row>
    <row r="45" spans="1:48">
      <c r="A45" s="1">
        <f>HYPERLINK("https://cms.ls-nyc.org/matter/dynamic-profile/view/1897042","19-1897042")</f>
        <v>0</v>
      </c>
      <c r="B45" t="s">
        <v>54</v>
      </c>
      <c r="C45" t="s">
        <v>268</v>
      </c>
      <c r="E45" t="s">
        <v>606</v>
      </c>
      <c r="F45" t="s">
        <v>2086</v>
      </c>
      <c r="G45" t="s">
        <v>3683</v>
      </c>
      <c r="H45">
        <v>50</v>
      </c>
      <c r="I45" t="s">
        <v>6039</v>
      </c>
      <c r="J45">
        <v>11368</v>
      </c>
      <c r="K45" t="s">
        <v>6074</v>
      </c>
      <c r="L45" t="s">
        <v>6074</v>
      </c>
      <c r="M45" t="s">
        <v>6113</v>
      </c>
      <c r="N45" t="s">
        <v>7276</v>
      </c>
      <c r="O45" t="s">
        <v>7310</v>
      </c>
      <c r="Q45" t="s">
        <v>7322</v>
      </c>
      <c r="R45" t="s">
        <v>6076</v>
      </c>
      <c r="S45" t="s">
        <v>7324</v>
      </c>
      <c r="T45" t="s">
        <v>7338</v>
      </c>
      <c r="U45" t="s">
        <v>268</v>
      </c>
      <c r="V45">
        <v>1715</v>
      </c>
      <c r="W45" t="s">
        <v>7361</v>
      </c>
      <c r="X45" t="s">
        <v>7366</v>
      </c>
      <c r="Z45" t="s">
        <v>7448</v>
      </c>
      <c r="AC45">
        <v>0</v>
      </c>
      <c r="AD45" t="s">
        <v>12422</v>
      </c>
      <c r="AF45">
        <v>2</v>
      </c>
      <c r="AG45">
        <v>2</v>
      </c>
      <c r="AH45">
        <v>4</v>
      </c>
      <c r="AI45">
        <v>0</v>
      </c>
      <c r="AL45" t="s">
        <v>12461</v>
      </c>
      <c r="AM45">
        <v>0</v>
      </c>
      <c r="AS45">
        <v>1.15</v>
      </c>
      <c r="AT45" t="s">
        <v>375</v>
      </c>
      <c r="AU45" t="s">
        <v>54</v>
      </c>
    </row>
    <row r="46" spans="1:48">
      <c r="A46" s="1">
        <f>HYPERLINK("https://cms.ls-nyc.org/matter/dynamic-profile/view/1900061","19-1900061")</f>
        <v>0</v>
      </c>
      <c r="B46" t="s">
        <v>66</v>
      </c>
      <c r="C46" t="s">
        <v>265</v>
      </c>
      <c r="E46" t="s">
        <v>607</v>
      </c>
      <c r="F46" t="s">
        <v>2087</v>
      </c>
      <c r="G46" t="s">
        <v>3684</v>
      </c>
      <c r="H46" t="s">
        <v>5368</v>
      </c>
      <c r="I46" t="s">
        <v>6040</v>
      </c>
      <c r="J46">
        <v>11367</v>
      </c>
      <c r="K46" t="s">
        <v>6074</v>
      </c>
      <c r="L46" t="s">
        <v>6075</v>
      </c>
      <c r="M46" t="s">
        <v>6114</v>
      </c>
      <c r="N46" t="s">
        <v>7276</v>
      </c>
      <c r="O46" t="s">
        <v>7310</v>
      </c>
      <c r="Q46" t="s">
        <v>7322</v>
      </c>
      <c r="R46" t="s">
        <v>6074</v>
      </c>
      <c r="S46" t="s">
        <v>7324</v>
      </c>
      <c r="U46" t="s">
        <v>265</v>
      </c>
      <c r="V46">
        <v>1358</v>
      </c>
      <c r="W46" t="s">
        <v>7361</v>
      </c>
      <c r="X46" t="s">
        <v>7366</v>
      </c>
      <c r="Z46" t="s">
        <v>7449</v>
      </c>
      <c r="AB46" t="s">
        <v>10324</v>
      </c>
      <c r="AC46">
        <v>12</v>
      </c>
      <c r="AF46">
        <v>8</v>
      </c>
      <c r="AG46">
        <v>1</v>
      </c>
      <c r="AH46">
        <v>0</v>
      </c>
      <c r="AI46">
        <v>0</v>
      </c>
      <c r="AL46" t="s">
        <v>12460</v>
      </c>
      <c r="AM46">
        <v>0</v>
      </c>
      <c r="AS46">
        <v>0.95</v>
      </c>
      <c r="AT46" t="s">
        <v>260</v>
      </c>
      <c r="AU46" t="s">
        <v>13078</v>
      </c>
    </row>
    <row r="47" spans="1:48">
      <c r="A47" s="1">
        <f>HYPERLINK("https://cms.ls-nyc.org/matter/dynamic-profile/view/1898361","19-1898361")</f>
        <v>0</v>
      </c>
      <c r="B47" t="s">
        <v>54</v>
      </c>
      <c r="C47" t="s">
        <v>257</v>
      </c>
      <c r="E47" t="s">
        <v>608</v>
      </c>
      <c r="F47" t="s">
        <v>2076</v>
      </c>
      <c r="G47" t="s">
        <v>3685</v>
      </c>
      <c r="I47" t="s">
        <v>6041</v>
      </c>
      <c r="J47">
        <v>11366</v>
      </c>
      <c r="K47" t="s">
        <v>6074</v>
      </c>
      <c r="L47" t="s">
        <v>6074</v>
      </c>
      <c r="M47" t="s">
        <v>6115</v>
      </c>
      <c r="N47" t="s">
        <v>6104</v>
      </c>
      <c r="O47" t="s">
        <v>7306</v>
      </c>
      <c r="Q47" t="s">
        <v>7323</v>
      </c>
      <c r="S47" t="s">
        <v>7324</v>
      </c>
      <c r="U47" t="s">
        <v>375</v>
      </c>
      <c r="V47">
        <v>0</v>
      </c>
      <c r="W47" t="s">
        <v>7361</v>
      </c>
      <c r="Z47" t="s">
        <v>7450</v>
      </c>
      <c r="AC47">
        <v>0</v>
      </c>
      <c r="AF47">
        <v>0</v>
      </c>
      <c r="AG47">
        <v>1</v>
      </c>
      <c r="AH47">
        <v>0</v>
      </c>
      <c r="AI47">
        <v>0</v>
      </c>
      <c r="AJ47" t="s">
        <v>12443</v>
      </c>
      <c r="AK47" t="s">
        <v>12455</v>
      </c>
      <c r="AM47">
        <v>0</v>
      </c>
      <c r="AS47">
        <v>0</v>
      </c>
      <c r="AU47" t="s">
        <v>54</v>
      </c>
    </row>
    <row r="48" spans="1:48">
      <c r="A48" s="1">
        <f>HYPERLINK("https://cms.ls-nyc.org/matter/dynamic-profile/view/1875677","18-1875677")</f>
        <v>0</v>
      </c>
      <c r="B48" t="s">
        <v>52</v>
      </c>
      <c r="C48" t="s">
        <v>233</v>
      </c>
      <c r="D48" t="s">
        <v>290</v>
      </c>
      <c r="E48" t="s">
        <v>609</v>
      </c>
      <c r="F48" t="s">
        <v>2088</v>
      </c>
      <c r="G48" t="s">
        <v>3686</v>
      </c>
      <c r="H48" t="s">
        <v>5362</v>
      </c>
      <c r="I48" t="s">
        <v>6042</v>
      </c>
      <c r="J48">
        <v>11361</v>
      </c>
      <c r="K48" t="s">
        <v>6074</v>
      </c>
      <c r="L48" t="s">
        <v>6074</v>
      </c>
      <c r="M48" t="s">
        <v>6116</v>
      </c>
      <c r="N48" t="s">
        <v>7276</v>
      </c>
      <c r="O48" t="s">
        <v>7306</v>
      </c>
      <c r="P48" t="s">
        <v>7314</v>
      </c>
      <c r="Q48" t="s">
        <v>7322</v>
      </c>
      <c r="R48" t="s">
        <v>6076</v>
      </c>
      <c r="S48" t="s">
        <v>7324</v>
      </c>
      <c r="T48" t="s">
        <v>7338</v>
      </c>
      <c r="U48" t="s">
        <v>233</v>
      </c>
      <c r="V48">
        <v>2200</v>
      </c>
      <c r="W48" t="s">
        <v>7361</v>
      </c>
      <c r="X48" t="s">
        <v>7366</v>
      </c>
      <c r="Y48" t="s">
        <v>7386</v>
      </c>
      <c r="Z48" t="s">
        <v>7451</v>
      </c>
      <c r="AA48" t="s">
        <v>6110</v>
      </c>
      <c r="AB48" t="s">
        <v>10325</v>
      </c>
      <c r="AC48">
        <v>2</v>
      </c>
      <c r="AD48" t="s">
        <v>12419</v>
      </c>
      <c r="AE48" t="s">
        <v>6110</v>
      </c>
      <c r="AF48">
        <v>2</v>
      </c>
      <c r="AG48">
        <v>3</v>
      </c>
      <c r="AH48">
        <v>2</v>
      </c>
      <c r="AI48">
        <v>0</v>
      </c>
      <c r="AL48" t="s">
        <v>12460</v>
      </c>
      <c r="AM48">
        <v>0</v>
      </c>
      <c r="AS48">
        <v>0.9</v>
      </c>
      <c r="AT48" t="s">
        <v>290</v>
      </c>
      <c r="AU48" t="s">
        <v>189</v>
      </c>
    </row>
    <row r="49" spans="1:47">
      <c r="A49" s="1">
        <f>HYPERLINK("https://cms.ls-nyc.org/matter/dynamic-profile/view/1898356","19-1898356")</f>
        <v>0</v>
      </c>
      <c r="B49" t="s">
        <v>54</v>
      </c>
      <c r="C49" t="s">
        <v>257</v>
      </c>
      <c r="E49" t="s">
        <v>610</v>
      </c>
      <c r="F49" t="s">
        <v>2089</v>
      </c>
      <c r="G49" t="s">
        <v>3687</v>
      </c>
      <c r="H49" t="s">
        <v>5369</v>
      </c>
      <c r="I49" t="s">
        <v>6042</v>
      </c>
      <c r="J49">
        <v>11360</v>
      </c>
      <c r="K49" t="s">
        <v>6074</v>
      </c>
      <c r="L49" t="s">
        <v>6074</v>
      </c>
      <c r="M49" t="s">
        <v>6115</v>
      </c>
      <c r="N49" t="s">
        <v>6104</v>
      </c>
      <c r="O49" t="s">
        <v>7306</v>
      </c>
      <c r="Q49" t="s">
        <v>7323</v>
      </c>
      <c r="R49" t="s">
        <v>6076</v>
      </c>
      <c r="S49" t="s">
        <v>7324</v>
      </c>
      <c r="U49" t="s">
        <v>375</v>
      </c>
      <c r="V49">
        <v>0</v>
      </c>
      <c r="W49" t="s">
        <v>7361</v>
      </c>
      <c r="X49" t="s">
        <v>7369</v>
      </c>
      <c r="Z49" t="s">
        <v>7452</v>
      </c>
      <c r="AC49">
        <v>0</v>
      </c>
      <c r="AD49" t="s">
        <v>12419</v>
      </c>
      <c r="AF49">
        <v>10</v>
      </c>
      <c r="AG49">
        <v>2</v>
      </c>
      <c r="AH49">
        <v>0</v>
      </c>
      <c r="AI49">
        <v>0</v>
      </c>
      <c r="AJ49" t="s">
        <v>12443</v>
      </c>
      <c r="AK49" t="s">
        <v>12455</v>
      </c>
      <c r="AL49" t="s">
        <v>12460</v>
      </c>
      <c r="AM49">
        <v>0</v>
      </c>
      <c r="AS49">
        <v>0</v>
      </c>
      <c r="AU49" t="s">
        <v>54</v>
      </c>
    </row>
    <row r="50" spans="1:47">
      <c r="A50" s="1">
        <f>HYPERLINK("https://cms.ls-nyc.org/matter/dynamic-profile/view/1885022","18-1885022")</f>
        <v>0</v>
      </c>
      <c r="B50" t="s">
        <v>60</v>
      </c>
      <c r="C50" t="s">
        <v>269</v>
      </c>
      <c r="D50" t="s">
        <v>277</v>
      </c>
      <c r="E50" t="s">
        <v>611</v>
      </c>
      <c r="F50" t="s">
        <v>2090</v>
      </c>
      <c r="G50" t="s">
        <v>3688</v>
      </c>
      <c r="H50" t="s">
        <v>5360</v>
      </c>
      <c r="I50" t="s">
        <v>6040</v>
      </c>
      <c r="J50">
        <v>11358</v>
      </c>
      <c r="K50" t="s">
        <v>6074</v>
      </c>
      <c r="L50" t="s">
        <v>6074</v>
      </c>
      <c r="M50" t="s">
        <v>6117</v>
      </c>
      <c r="N50" t="s">
        <v>7274</v>
      </c>
      <c r="O50" t="s">
        <v>7308</v>
      </c>
      <c r="P50" t="s">
        <v>7316</v>
      </c>
      <c r="Q50" t="s">
        <v>7322</v>
      </c>
      <c r="R50" t="s">
        <v>6076</v>
      </c>
      <c r="S50" t="s">
        <v>7324</v>
      </c>
      <c r="T50" t="s">
        <v>7338</v>
      </c>
      <c r="U50" t="s">
        <v>269</v>
      </c>
      <c r="V50">
        <v>1050</v>
      </c>
      <c r="W50" t="s">
        <v>7361</v>
      </c>
      <c r="X50" t="s">
        <v>7366</v>
      </c>
      <c r="Y50" t="s">
        <v>7391</v>
      </c>
      <c r="Z50" t="s">
        <v>7453</v>
      </c>
      <c r="AB50" t="s">
        <v>10326</v>
      </c>
      <c r="AC50">
        <v>3</v>
      </c>
      <c r="AD50" t="s">
        <v>12419</v>
      </c>
      <c r="AE50" t="s">
        <v>6110</v>
      </c>
      <c r="AF50">
        <v>1</v>
      </c>
      <c r="AG50">
        <v>2</v>
      </c>
      <c r="AH50">
        <v>0</v>
      </c>
      <c r="AI50">
        <v>0</v>
      </c>
      <c r="AL50" t="s">
        <v>12463</v>
      </c>
      <c r="AM50">
        <v>0</v>
      </c>
      <c r="AO50" t="s">
        <v>12848</v>
      </c>
      <c r="AP50" t="s">
        <v>7305</v>
      </c>
      <c r="AQ50" t="s">
        <v>12910</v>
      </c>
      <c r="AR50" t="s">
        <v>12919</v>
      </c>
      <c r="AS50">
        <v>24.68</v>
      </c>
      <c r="AT50" t="s">
        <v>337</v>
      </c>
      <c r="AU50" t="s">
        <v>48</v>
      </c>
    </row>
    <row r="51" spans="1:47">
      <c r="A51" s="1">
        <f>HYPERLINK("https://cms.ls-nyc.org/matter/dynamic-profile/view/1895982","19-1895982")</f>
        <v>0</v>
      </c>
      <c r="B51" t="s">
        <v>56</v>
      </c>
      <c r="C51" t="s">
        <v>270</v>
      </c>
      <c r="E51" t="s">
        <v>612</v>
      </c>
      <c r="F51" t="s">
        <v>2091</v>
      </c>
      <c r="G51" t="s">
        <v>3689</v>
      </c>
      <c r="H51">
        <v>41</v>
      </c>
      <c r="I51" t="s">
        <v>6040</v>
      </c>
      <c r="J51">
        <v>11358</v>
      </c>
      <c r="K51" t="s">
        <v>6074</v>
      </c>
      <c r="L51" t="s">
        <v>6074</v>
      </c>
      <c r="M51" t="s">
        <v>6118</v>
      </c>
      <c r="N51" t="s">
        <v>7274</v>
      </c>
      <c r="O51" t="s">
        <v>7308</v>
      </c>
      <c r="Q51" t="s">
        <v>7322</v>
      </c>
      <c r="R51" t="s">
        <v>6074</v>
      </c>
      <c r="S51" t="s">
        <v>7324</v>
      </c>
      <c r="T51" t="s">
        <v>7336</v>
      </c>
      <c r="U51" t="s">
        <v>270</v>
      </c>
      <c r="V51">
        <v>1150</v>
      </c>
      <c r="W51" t="s">
        <v>7361</v>
      </c>
      <c r="X51" t="s">
        <v>7366</v>
      </c>
      <c r="Z51" t="s">
        <v>7454</v>
      </c>
      <c r="AB51" t="s">
        <v>10327</v>
      </c>
      <c r="AC51">
        <v>45</v>
      </c>
      <c r="AD51" t="s">
        <v>12422</v>
      </c>
      <c r="AF51">
        <v>6</v>
      </c>
      <c r="AG51">
        <v>1</v>
      </c>
      <c r="AH51">
        <v>0</v>
      </c>
      <c r="AI51">
        <v>0</v>
      </c>
      <c r="AL51" t="s">
        <v>12460</v>
      </c>
      <c r="AM51">
        <v>0</v>
      </c>
      <c r="AS51">
        <v>17</v>
      </c>
      <c r="AT51" t="s">
        <v>460</v>
      </c>
      <c r="AU51" t="s">
        <v>13078</v>
      </c>
    </row>
    <row r="52" spans="1:47">
      <c r="A52" s="1">
        <f>HYPERLINK("https://cms.ls-nyc.org/matter/dynamic-profile/view/1873866","18-1873866")</f>
        <v>0</v>
      </c>
      <c r="B52" t="s">
        <v>67</v>
      </c>
      <c r="C52" t="s">
        <v>231</v>
      </c>
      <c r="D52" t="s">
        <v>231</v>
      </c>
      <c r="E52" t="s">
        <v>613</v>
      </c>
      <c r="F52" t="s">
        <v>2092</v>
      </c>
      <c r="G52" t="s">
        <v>3690</v>
      </c>
      <c r="H52" t="s">
        <v>5370</v>
      </c>
      <c r="I52" t="s">
        <v>6040</v>
      </c>
      <c r="J52">
        <v>11358</v>
      </c>
      <c r="K52" t="s">
        <v>6074</v>
      </c>
      <c r="L52" t="s">
        <v>6074</v>
      </c>
      <c r="M52" t="s">
        <v>6101</v>
      </c>
      <c r="N52" t="s">
        <v>6104</v>
      </c>
      <c r="O52" t="s">
        <v>7306</v>
      </c>
      <c r="P52" t="s">
        <v>7314</v>
      </c>
      <c r="Q52" t="s">
        <v>7322</v>
      </c>
      <c r="R52" t="s">
        <v>6076</v>
      </c>
      <c r="S52" t="s">
        <v>7324</v>
      </c>
      <c r="T52" t="s">
        <v>7336</v>
      </c>
      <c r="U52" t="s">
        <v>231</v>
      </c>
      <c r="V52">
        <v>2300</v>
      </c>
      <c r="W52" t="s">
        <v>7361</v>
      </c>
      <c r="X52" t="s">
        <v>7305</v>
      </c>
      <c r="Y52" t="s">
        <v>7386</v>
      </c>
      <c r="Z52" t="s">
        <v>7455</v>
      </c>
      <c r="AA52" t="s">
        <v>6101</v>
      </c>
      <c r="AB52" t="s">
        <v>10328</v>
      </c>
      <c r="AC52">
        <v>2</v>
      </c>
      <c r="AD52" t="s">
        <v>12419</v>
      </c>
      <c r="AE52" t="s">
        <v>6110</v>
      </c>
      <c r="AF52">
        <v>4</v>
      </c>
      <c r="AG52">
        <v>1</v>
      </c>
      <c r="AH52">
        <v>0</v>
      </c>
      <c r="AI52">
        <v>0</v>
      </c>
      <c r="AL52" t="s">
        <v>12460</v>
      </c>
      <c r="AM52">
        <v>0</v>
      </c>
      <c r="AS52">
        <v>0.9</v>
      </c>
      <c r="AT52" t="s">
        <v>231</v>
      </c>
      <c r="AU52" t="s">
        <v>13079</v>
      </c>
    </row>
    <row r="53" spans="1:47">
      <c r="A53" s="1">
        <f>HYPERLINK("https://cms.ls-nyc.org/matter/dynamic-profile/view/1879889","18-1879889")</f>
        <v>0</v>
      </c>
      <c r="B53" t="s">
        <v>63</v>
      </c>
      <c r="C53" t="s">
        <v>271</v>
      </c>
      <c r="D53" t="s">
        <v>309</v>
      </c>
      <c r="E53" t="s">
        <v>612</v>
      </c>
      <c r="F53" t="s">
        <v>2091</v>
      </c>
      <c r="G53" t="s">
        <v>3689</v>
      </c>
      <c r="H53">
        <v>41</v>
      </c>
      <c r="I53" t="s">
        <v>6040</v>
      </c>
      <c r="J53">
        <v>11358</v>
      </c>
      <c r="K53" t="s">
        <v>6074</v>
      </c>
      <c r="L53" t="s">
        <v>6074</v>
      </c>
      <c r="M53" t="s">
        <v>6119</v>
      </c>
      <c r="N53" t="s">
        <v>7276</v>
      </c>
      <c r="O53" t="s">
        <v>7308</v>
      </c>
      <c r="P53" t="s">
        <v>7318</v>
      </c>
      <c r="Q53" t="s">
        <v>7322</v>
      </c>
      <c r="R53" t="s">
        <v>6076</v>
      </c>
      <c r="S53" t="s">
        <v>7324</v>
      </c>
      <c r="T53" t="s">
        <v>7336</v>
      </c>
      <c r="U53" t="s">
        <v>271</v>
      </c>
      <c r="V53">
        <v>1150</v>
      </c>
      <c r="W53" t="s">
        <v>7361</v>
      </c>
      <c r="X53" t="s">
        <v>7366</v>
      </c>
      <c r="Y53" t="s">
        <v>7388</v>
      </c>
      <c r="Z53" t="s">
        <v>7454</v>
      </c>
      <c r="AB53" t="s">
        <v>10327</v>
      </c>
      <c r="AC53">
        <v>28</v>
      </c>
      <c r="AD53" t="s">
        <v>6322</v>
      </c>
      <c r="AE53" t="s">
        <v>6110</v>
      </c>
      <c r="AF53">
        <v>6</v>
      </c>
      <c r="AG53">
        <v>1</v>
      </c>
      <c r="AH53">
        <v>0</v>
      </c>
      <c r="AI53">
        <v>0</v>
      </c>
      <c r="AL53" t="s">
        <v>12460</v>
      </c>
      <c r="AM53">
        <v>0</v>
      </c>
      <c r="AO53" t="s">
        <v>12845</v>
      </c>
      <c r="AP53" t="s">
        <v>12860</v>
      </c>
      <c r="AQ53" t="s">
        <v>12909</v>
      </c>
      <c r="AR53" t="s">
        <v>12920</v>
      </c>
      <c r="AS53">
        <v>23.2</v>
      </c>
      <c r="AT53" t="s">
        <v>420</v>
      </c>
      <c r="AU53" t="s">
        <v>189</v>
      </c>
    </row>
    <row r="54" spans="1:47">
      <c r="A54" s="1">
        <f>HYPERLINK("https://cms.ls-nyc.org/matter/dynamic-profile/view/1887079","19-1887079")</f>
        <v>0</v>
      </c>
      <c r="B54" t="s">
        <v>52</v>
      </c>
      <c r="C54" t="s">
        <v>272</v>
      </c>
      <c r="D54" t="s">
        <v>310</v>
      </c>
      <c r="E54" t="s">
        <v>614</v>
      </c>
      <c r="F54" t="s">
        <v>2093</v>
      </c>
      <c r="G54" t="s">
        <v>3691</v>
      </c>
      <c r="H54" t="s">
        <v>5371</v>
      </c>
      <c r="I54" t="s">
        <v>6040</v>
      </c>
      <c r="J54">
        <v>11355</v>
      </c>
      <c r="K54" t="s">
        <v>6074</v>
      </c>
      <c r="L54" t="s">
        <v>6074</v>
      </c>
      <c r="M54" t="s">
        <v>6120</v>
      </c>
      <c r="N54" t="s">
        <v>7274</v>
      </c>
      <c r="O54" t="s">
        <v>7306</v>
      </c>
      <c r="P54" t="s">
        <v>7314</v>
      </c>
      <c r="Q54" t="s">
        <v>7322</v>
      </c>
      <c r="R54" t="s">
        <v>6076</v>
      </c>
      <c r="S54" t="s">
        <v>7324</v>
      </c>
      <c r="T54" t="s">
        <v>7336</v>
      </c>
      <c r="U54" t="s">
        <v>272</v>
      </c>
      <c r="V54">
        <v>1350</v>
      </c>
      <c r="W54" t="s">
        <v>7361</v>
      </c>
      <c r="X54" t="s">
        <v>7371</v>
      </c>
      <c r="Y54" t="s">
        <v>7386</v>
      </c>
      <c r="Z54" t="s">
        <v>7456</v>
      </c>
      <c r="AB54" t="s">
        <v>10329</v>
      </c>
      <c r="AC54">
        <v>97</v>
      </c>
      <c r="AD54" t="s">
        <v>12424</v>
      </c>
      <c r="AE54" t="s">
        <v>6110</v>
      </c>
      <c r="AF54">
        <v>1</v>
      </c>
      <c r="AG54">
        <v>3</v>
      </c>
      <c r="AH54">
        <v>0</v>
      </c>
      <c r="AI54">
        <v>0</v>
      </c>
      <c r="AL54" t="s">
        <v>12464</v>
      </c>
      <c r="AM54">
        <v>0</v>
      </c>
      <c r="AS54">
        <v>3.85</v>
      </c>
      <c r="AT54" t="s">
        <v>294</v>
      </c>
      <c r="AU54" t="s">
        <v>52</v>
      </c>
    </row>
    <row r="55" spans="1:47">
      <c r="A55" s="1">
        <f>HYPERLINK("https://cms.ls-nyc.org/matter/dynamic-profile/view/1877054","18-1877054")</f>
        <v>0</v>
      </c>
      <c r="B55" t="s">
        <v>52</v>
      </c>
      <c r="C55" t="s">
        <v>273</v>
      </c>
      <c r="D55" t="s">
        <v>432</v>
      </c>
      <c r="E55" t="s">
        <v>615</v>
      </c>
      <c r="F55" t="s">
        <v>2094</v>
      </c>
      <c r="G55" t="s">
        <v>3692</v>
      </c>
      <c r="H55" t="s">
        <v>5364</v>
      </c>
      <c r="I55" t="s">
        <v>6040</v>
      </c>
      <c r="J55">
        <v>11355</v>
      </c>
      <c r="K55" t="s">
        <v>6074</v>
      </c>
      <c r="L55" t="s">
        <v>6074</v>
      </c>
      <c r="M55" t="s">
        <v>6121</v>
      </c>
      <c r="N55" t="s">
        <v>7273</v>
      </c>
      <c r="O55" t="s">
        <v>7306</v>
      </c>
      <c r="P55" t="s">
        <v>7314</v>
      </c>
      <c r="Q55" t="s">
        <v>7322</v>
      </c>
      <c r="R55" t="s">
        <v>6076</v>
      </c>
      <c r="S55" t="s">
        <v>7324</v>
      </c>
      <c r="T55" t="s">
        <v>7336</v>
      </c>
      <c r="U55" t="s">
        <v>404</v>
      </c>
      <c r="V55">
        <v>450</v>
      </c>
      <c r="W55" t="s">
        <v>7361</v>
      </c>
      <c r="X55" t="s">
        <v>7371</v>
      </c>
      <c r="Y55" t="s">
        <v>7386</v>
      </c>
      <c r="Z55" t="s">
        <v>7457</v>
      </c>
      <c r="AB55" t="s">
        <v>10330</v>
      </c>
      <c r="AC55">
        <v>7</v>
      </c>
      <c r="AD55" t="s">
        <v>12419</v>
      </c>
      <c r="AE55" t="s">
        <v>6110</v>
      </c>
      <c r="AF55">
        <v>4</v>
      </c>
      <c r="AG55">
        <v>1</v>
      </c>
      <c r="AH55">
        <v>0</v>
      </c>
      <c r="AI55">
        <v>0</v>
      </c>
      <c r="AL55" t="s">
        <v>12464</v>
      </c>
      <c r="AM55">
        <v>0</v>
      </c>
      <c r="AS55">
        <v>1.6</v>
      </c>
      <c r="AT55" t="s">
        <v>432</v>
      </c>
      <c r="AU55" t="s">
        <v>52</v>
      </c>
    </row>
    <row r="56" spans="1:47">
      <c r="A56" s="1">
        <f>HYPERLINK("https://cms.ls-nyc.org/matter/dynamic-profile/view/1877165","18-1877165")</f>
        <v>0</v>
      </c>
      <c r="B56" t="s">
        <v>54</v>
      </c>
      <c r="C56" t="s">
        <v>273</v>
      </c>
      <c r="E56" t="s">
        <v>616</v>
      </c>
      <c r="F56" t="s">
        <v>2095</v>
      </c>
      <c r="G56" t="s">
        <v>3693</v>
      </c>
      <c r="H56" t="s">
        <v>5372</v>
      </c>
      <c r="I56" t="s">
        <v>6040</v>
      </c>
      <c r="J56">
        <v>11354</v>
      </c>
      <c r="K56" t="s">
        <v>6074</v>
      </c>
      <c r="L56" t="s">
        <v>6074</v>
      </c>
      <c r="M56" t="s">
        <v>6122</v>
      </c>
      <c r="N56" t="s">
        <v>7274</v>
      </c>
      <c r="O56" t="s">
        <v>7308</v>
      </c>
      <c r="Q56" t="s">
        <v>7322</v>
      </c>
      <c r="R56" t="s">
        <v>6074</v>
      </c>
      <c r="S56" t="s">
        <v>7324</v>
      </c>
      <c r="T56" t="s">
        <v>7336</v>
      </c>
      <c r="U56" t="s">
        <v>291</v>
      </c>
      <c r="V56">
        <v>1100</v>
      </c>
      <c r="W56" t="s">
        <v>7361</v>
      </c>
      <c r="X56" t="s">
        <v>7372</v>
      </c>
      <c r="Z56" t="s">
        <v>7458</v>
      </c>
      <c r="AB56" t="s">
        <v>10331</v>
      </c>
      <c r="AC56">
        <v>15</v>
      </c>
      <c r="AD56" t="s">
        <v>12419</v>
      </c>
      <c r="AE56" t="s">
        <v>6110</v>
      </c>
      <c r="AF56">
        <v>4</v>
      </c>
      <c r="AG56">
        <v>1</v>
      </c>
      <c r="AH56">
        <v>0</v>
      </c>
      <c r="AI56">
        <v>0</v>
      </c>
      <c r="AL56" t="s">
        <v>12460</v>
      </c>
      <c r="AM56">
        <v>0</v>
      </c>
      <c r="AO56" t="s">
        <v>12848</v>
      </c>
      <c r="AP56" t="s">
        <v>7305</v>
      </c>
      <c r="AQ56" t="s">
        <v>12910</v>
      </c>
      <c r="AR56" t="s">
        <v>12921</v>
      </c>
      <c r="AS56">
        <v>22.5</v>
      </c>
      <c r="AT56" t="s">
        <v>436</v>
      </c>
      <c r="AU56" t="s">
        <v>13080</v>
      </c>
    </row>
    <row r="57" spans="1:47">
      <c r="A57" s="1">
        <f>HYPERLINK("https://cms.ls-nyc.org/matter/dynamic-profile/view/1874841","18-1874841")</f>
        <v>0</v>
      </c>
      <c r="B57" t="s">
        <v>52</v>
      </c>
      <c r="C57" t="s">
        <v>274</v>
      </c>
      <c r="D57" t="s">
        <v>391</v>
      </c>
      <c r="E57" t="s">
        <v>617</v>
      </c>
      <c r="F57" t="s">
        <v>2096</v>
      </c>
      <c r="G57" t="s">
        <v>3694</v>
      </c>
      <c r="H57" t="s">
        <v>5373</v>
      </c>
      <c r="I57" t="s">
        <v>6040</v>
      </c>
      <c r="J57">
        <v>11354</v>
      </c>
      <c r="K57" t="s">
        <v>6074</v>
      </c>
      <c r="L57" t="s">
        <v>6074</v>
      </c>
      <c r="M57" t="s">
        <v>6123</v>
      </c>
      <c r="N57" t="s">
        <v>7276</v>
      </c>
      <c r="O57" t="s">
        <v>7308</v>
      </c>
      <c r="P57" t="s">
        <v>7316</v>
      </c>
      <c r="Q57" t="s">
        <v>7322</v>
      </c>
      <c r="R57" t="s">
        <v>6076</v>
      </c>
      <c r="S57" t="s">
        <v>7324</v>
      </c>
      <c r="T57" t="s">
        <v>7336</v>
      </c>
      <c r="U57" t="s">
        <v>262</v>
      </c>
      <c r="V57">
        <v>2278.13</v>
      </c>
      <c r="W57" t="s">
        <v>7361</v>
      </c>
      <c r="X57" t="s">
        <v>7367</v>
      </c>
      <c r="Y57" t="s">
        <v>7388</v>
      </c>
      <c r="Z57" t="s">
        <v>7459</v>
      </c>
      <c r="AB57" t="s">
        <v>10332</v>
      </c>
      <c r="AC57">
        <v>60</v>
      </c>
      <c r="AD57" t="s">
        <v>12422</v>
      </c>
      <c r="AE57" t="s">
        <v>6110</v>
      </c>
      <c r="AF57">
        <v>2</v>
      </c>
      <c r="AG57">
        <v>1</v>
      </c>
      <c r="AH57">
        <v>0</v>
      </c>
      <c r="AI57">
        <v>0</v>
      </c>
      <c r="AL57" t="s">
        <v>12460</v>
      </c>
      <c r="AM57">
        <v>0</v>
      </c>
      <c r="AO57" t="s">
        <v>12846</v>
      </c>
      <c r="AP57" t="s">
        <v>12858</v>
      </c>
      <c r="AQ57" t="s">
        <v>12909</v>
      </c>
      <c r="AR57" t="s">
        <v>12922</v>
      </c>
      <c r="AS57">
        <v>7.45</v>
      </c>
      <c r="AT57" t="s">
        <v>249</v>
      </c>
      <c r="AU57" t="s">
        <v>13081</v>
      </c>
    </row>
    <row r="58" spans="1:47">
      <c r="A58" s="1">
        <f>HYPERLINK("https://cms.ls-nyc.org/matter/dynamic-profile/view/1879361","18-1879361")</f>
        <v>0</v>
      </c>
      <c r="B58" t="s">
        <v>68</v>
      </c>
      <c r="C58" t="s">
        <v>249</v>
      </c>
      <c r="E58" t="s">
        <v>618</v>
      </c>
      <c r="F58" t="s">
        <v>2097</v>
      </c>
      <c r="G58" t="s">
        <v>3695</v>
      </c>
      <c r="H58" t="s">
        <v>5373</v>
      </c>
      <c r="I58" t="s">
        <v>6043</v>
      </c>
      <c r="J58">
        <v>11239</v>
      </c>
      <c r="K58" t="s">
        <v>6074</v>
      </c>
      <c r="L58" t="s">
        <v>6074</v>
      </c>
      <c r="M58" t="s">
        <v>6124</v>
      </c>
      <c r="N58" t="s">
        <v>7276</v>
      </c>
      <c r="O58" t="s">
        <v>7308</v>
      </c>
      <c r="Q58" t="s">
        <v>7322</v>
      </c>
      <c r="S58" t="s">
        <v>7324</v>
      </c>
      <c r="U58" t="s">
        <v>337</v>
      </c>
      <c r="V58">
        <v>3260</v>
      </c>
      <c r="W58" t="s">
        <v>7362</v>
      </c>
      <c r="X58" t="s">
        <v>7366</v>
      </c>
      <c r="Z58" t="s">
        <v>7460</v>
      </c>
      <c r="AA58" t="s">
        <v>9867</v>
      </c>
      <c r="AB58" t="s">
        <v>10333</v>
      </c>
      <c r="AC58">
        <v>84</v>
      </c>
      <c r="AE58" t="s">
        <v>7305</v>
      </c>
      <c r="AF58">
        <v>43</v>
      </c>
      <c r="AG58">
        <v>1</v>
      </c>
      <c r="AH58">
        <v>1</v>
      </c>
      <c r="AI58">
        <v>0</v>
      </c>
      <c r="AL58" t="s">
        <v>12460</v>
      </c>
      <c r="AM58">
        <v>0</v>
      </c>
      <c r="AS58">
        <v>9.5</v>
      </c>
      <c r="AT58" t="s">
        <v>247</v>
      </c>
      <c r="AU58" t="s">
        <v>13082</v>
      </c>
    </row>
    <row r="59" spans="1:47">
      <c r="A59" s="1">
        <f>HYPERLINK("https://cms.ls-nyc.org/matter/dynamic-profile/view/1893845","19-1893845")</f>
        <v>0</v>
      </c>
      <c r="B59" t="s">
        <v>69</v>
      </c>
      <c r="C59" t="s">
        <v>275</v>
      </c>
      <c r="E59" t="s">
        <v>619</v>
      </c>
      <c r="F59" t="s">
        <v>2098</v>
      </c>
      <c r="G59" t="s">
        <v>3696</v>
      </c>
      <c r="H59" t="s">
        <v>5374</v>
      </c>
      <c r="I59" t="s">
        <v>6043</v>
      </c>
      <c r="J59">
        <v>11238</v>
      </c>
      <c r="K59" t="s">
        <v>6074</v>
      </c>
      <c r="L59" t="s">
        <v>6074</v>
      </c>
      <c r="N59" t="s">
        <v>6104</v>
      </c>
      <c r="O59" t="s">
        <v>7307</v>
      </c>
      <c r="Q59" t="s">
        <v>7322</v>
      </c>
      <c r="R59" t="s">
        <v>6076</v>
      </c>
      <c r="S59" t="s">
        <v>7324</v>
      </c>
      <c r="U59" t="s">
        <v>275</v>
      </c>
      <c r="V59">
        <v>0</v>
      </c>
      <c r="W59" t="s">
        <v>7362</v>
      </c>
      <c r="Z59" t="s">
        <v>7461</v>
      </c>
      <c r="AC59">
        <v>0</v>
      </c>
      <c r="AF59">
        <v>0</v>
      </c>
      <c r="AG59">
        <v>2</v>
      </c>
      <c r="AH59">
        <v>0</v>
      </c>
      <c r="AI59">
        <v>0</v>
      </c>
      <c r="AL59" t="s">
        <v>12460</v>
      </c>
      <c r="AM59">
        <v>0</v>
      </c>
      <c r="AS59">
        <v>0.5</v>
      </c>
      <c r="AT59" t="s">
        <v>315</v>
      </c>
      <c r="AU59" t="s">
        <v>69</v>
      </c>
    </row>
    <row r="60" spans="1:47">
      <c r="A60" s="1">
        <f>HYPERLINK("https://cms.ls-nyc.org/matter/dynamic-profile/view/1899041","19-1899041")</f>
        <v>0</v>
      </c>
      <c r="B60" t="s">
        <v>70</v>
      </c>
      <c r="C60" t="s">
        <v>276</v>
      </c>
      <c r="E60" t="s">
        <v>620</v>
      </c>
      <c r="F60" t="s">
        <v>2099</v>
      </c>
      <c r="G60" t="s">
        <v>3697</v>
      </c>
      <c r="H60" t="s">
        <v>5375</v>
      </c>
      <c r="I60" t="s">
        <v>6043</v>
      </c>
      <c r="J60">
        <v>11238</v>
      </c>
      <c r="K60" t="s">
        <v>6074</v>
      </c>
      <c r="L60" t="s">
        <v>6075</v>
      </c>
      <c r="N60" t="s">
        <v>7278</v>
      </c>
      <c r="O60" t="s">
        <v>7309</v>
      </c>
      <c r="Q60" t="s">
        <v>7322</v>
      </c>
      <c r="R60" t="s">
        <v>6076</v>
      </c>
      <c r="S60" t="s">
        <v>7324</v>
      </c>
      <c r="T60" t="s">
        <v>7336</v>
      </c>
      <c r="U60" t="s">
        <v>276</v>
      </c>
      <c r="V60">
        <v>608.28</v>
      </c>
      <c r="W60" t="s">
        <v>7362</v>
      </c>
      <c r="X60" t="s">
        <v>7368</v>
      </c>
      <c r="Z60" t="s">
        <v>7462</v>
      </c>
      <c r="AB60" t="s">
        <v>10334</v>
      </c>
      <c r="AC60">
        <v>38</v>
      </c>
      <c r="AD60" t="s">
        <v>12422</v>
      </c>
      <c r="AE60" t="s">
        <v>7305</v>
      </c>
      <c r="AF60">
        <v>30</v>
      </c>
      <c r="AG60">
        <v>3</v>
      </c>
      <c r="AH60">
        <v>0</v>
      </c>
      <c r="AI60">
        <v>0</v>
      </c>
      <c r="AL60" t="s">
        <v>12460</v>
      </c>
      <c r="AM60">
        <v>0</v>
      </c>
      <c r="AS60">
        <v>6.3</v>
      </c>
      <c r="AT60" t="s">
        <v>254</v>
      </c>
      <c r="AU60" t="s">
        <v>70</v>
      </c>
    </row>
    <row r="61" spans="1:47">
      <c r="A61" s="1">
        <f>HYPERLINK("https://cms.ls-nyc.org/matter/dynamic-profile/view/1892533","19-1892533")</f>
        <v>0</v>
      </c>
      <c r="B61" t="s">
        <v>69</v>
      </c>
      <c r="C61" t="s">
        <v>277</v>
      </c>
      <c r="E61" t="s">
        <v>621</v>
      </c>
      <c r="F61" t="s">
        <v>2100</v>
      </c>
      <c r="G61" t="s">
        <v>3698</v>
      </c>
      <c r="H61">
        <v>32</v>
      </c>
      <c r="I61" t="s">
        <v>6043</v>
      </c>
      <c r="J61">
        <v>11238</v>
      </c>
      <c r="K61" t="s">
        <v>6075</v>
      </c>
      <c r="L61" t="s">
        <v>6075</v>
      </c>
      <c r="Q61" t="s">
        <v>7322</v>
      </c>
      <c r="S61" t="s">
        <v>7327</v>
      </c>
      <c r="U61" t="s">
        <v>277</v>
      </c>
      <c r="V61">
        <v>0</v>
      </c>
      <c r="W61" t="s">
        <v>7362</v>
      </c>
      <c r="Z61" t="s">
        <v>7463</v>
      </c>
      <c r="AB61" t="s">
        <v>10335</v>
      </c>
      <c r="AC61">
        <v>0</v>
      </c>
      <c r="AF61">
        <v>0</v>
      </c>
      <c r="AG61">
        <v>1</v>
      </c>
      <c r="AH61">
        <v>2</v>
      </c>
      <c r="AI61">
        <v>0</v>
      </c>
      <c r="AL61" t="s">
        <v>12460</v>
      </c>
      <c r="AM61">
        <v>0</v>
      </c>
      <c r="AS61">
        <v>13.7</v>
      </c>
      <c r="AT61" t="s">
        <v>260</v>
      </c>
      <c r="AU61" t="s">
        <v>69</v>
      </c>
    </row>
    <row r="62" spans="1:47">
      <c r="A62" s="1">
        <f>HYPERLINK("https://cms.ls-nyc.org/matter/dynamic-profile/view/1879962","18-1879962")</f>
        <v>0</v>
      </c>
      <c r="B62" t="s">
        <v>71</v>
      </c>
      <c r="C62" t="s">
        <v>271</v>
      </c>
      <c r="E62" t="s">
        <v>622</v>
      </c>
      <c r="F62" t="s">
        <v>2101</v>
      </c>
      <c r="G62" t="s">
        <v>3699</v>
      </c>
      <c r="H62" t="s">
        <v>5376</v>
      </c>
      <c r="I62" t="s">
        <v>6043</v>
      </c>
      <c r="J62">
        <v>11237</v>
      </c>
      <c r="K62" t="s">
        <v>6074</v>
      </c>
      <c r="L62" t="s">
        <v>6076</v>
      </c>
      <c r="M62" t="s">
        <v>6125</v>
      </c>
      <c r="N62" t="s">
        <v>7274</v>
      </c>
      <c r="O62" t="s">
        <v>7308</v>
      </c>
      <c r="Q62" t="s">
        <v>7322</v>
      </c>
      <c r="S62" t="s">
        <v>7324</v>
      </c>
      <c r="U62" t="s">
        <v>337</v>
      </c>
      <c r="V62">
        <v>973</v>
      </c>
      <c r="W62" t="s">
        <v>7362</v>
      </c>
      <c r="X62" t="s">
        <v>7366</v>
      </c>
      <c r="Z62" t="s">
        <v>7464</v>
      </c>
      <c r="AA62" t="s">
        <v>9868</v>
      </c>
      <c r="AB62" t="s">
        <v>10336</v>
      </c>
      <c r="AC62">
        <v>0</v>
      </c>
      <c r="AE62" t="s">
        <v>12434</v>
      </c>
      <c r="AF62">
        <v>12</v>
      </c>
      <c r="AG62">
        <v>1</v>
      </c>
      <c r="AH62">
        <v>0</v>
      </c>
      <c r="AI62">
        <v>0</v>
      </c>
      <c r="AL62" t="s">
        <v>12460</v>
      </c>
      <c r="AM62">
        <v>0</v>
      </c>
      <c r="AS62">
        <v>63.2</v>
      </c>
      <c r="AT62" t="s">
        <v>564</v>
      </c>
      <c r="AU62" t="s">
        <v>13082</v>
      </c>
    </row>
    <row r="63" spans="1:47">
      <c r="A63" s="1">
        <f>HYPERLINK("https://cms.ls-nyc.org/matter/dynamic-profile/view/1891491","19-1891491")</f>
        <v>0</v>
      </c>
      <c r="B63" t="s">
        <v>72</v>
      </c>
      <c r="C63" t="s">
        <v>278</v>
      </c>
      <c r="E63" t="s">
        <v>623</v>
      </c>
      <c r="F63" t="s">
        <v>2102</v>
      </c>
      <c r="G63" t="s">
        <v>3700</v>
      </c>
      <c r="H63" t="s">
        <v>5377</v>
      </c>
      <c r="I63" t="s">
        <v>6043</v>
      </c>
      <c r="J63">
        <v>11233</v>
      </c>
      <c r="K63" t="s">
        <v>6074</v>
      </c>
      <c r="L63" t="s">
        <v>6076</v>
      </c>
      <c r="N63" t="s">
        <v>7279</v>
      </c>
      <c r="O63" t="s">
        <v>7311</v>
      </c>
      <c r="Q63" t="s">
        <v>7322</v>
      </c>
      <c r="R63" t="s">
        <v>6074</v>
      </c>
      <c r="S63" t="s">
        <v>7324</v>
      </c>
      <c r="T63" t="s">
        <v>7336</v>
      </c>
      <c r="U63" t="s">
        <v>330</v>
      </c>
      <c r="V63">
        <v>505</v>
      </c>
      <c r="W63" t="s">
        <v>7362</v>
      </c>
      <c r="Z63" t="s">
        <v>7465</v>
      </c>
      <c r="AC63">
        <v>359</v>
      </c>
      <c r="AD63" t="s">
        <v>12422</v>
      </c>
      <c r="AF63">
        <v>40</v>
      </c>
      <c r="AG63">
        <v>1</v>
      </c>
      <c r="AH63">
        <v>0</v>
      </c>
      <c r="AI63">
        <v>0</v>
      </c>
      <c r="AL63" t="s">
        <v>12460</v>
      </c>
      <c r="AM63">
        <v>0</v>
      </c>
      <c r="AN63" t="s">
        <v>12486</v>
      </c>
      <c r="AS63">
        <v>0</v>
      </c>
      <c r="AU63" t="s">
        <v>218</v>
      </c>
    </row>
    <row r="64" spans="1:47">
      <c r="A64" s="1">
        <f>HYPERLINK("https://cms.ls-nyc.org/matter/dynamic-profile/view/1891507","19-1891507")</f>
        <v>0</v>
      </c>
      <c r="B64" t="s">
        <v>72</v>
      </c>
      <c r="C64" t="s">
        <v>278</v>
      </c>
      <c r="E64" t="s">
        <v>624</v>
      </c>
      <c r="F64" t="s">
        <v>1490</v>
      </c>
      <c r="G64" t="s">
        <v>3700</v>
      </c>
      <c r="H64" t="s">
        <v>5378</v>
      </c>
      <c r="I64" t="s">
        <v>6043</v>
      </c>
      <c r="J64">
        <v>11233</v>
      </c>
      <c r="K64" t="s">
        <v>6074</v>
      </c>
      <c r="L64" t="s">
        <v>6076</v>
      </c>
      <c r="M64" t="s">
        <v>6101</v>
      </c>
      <c r="N64" t="s">
        <v>7279</v>
      </c>
      <c r="O64" t="s">
        <v>7311</v>
      </c>
      <c r="Q64" t="s">
        <v>7322</v>
      </c>
      <c r="R64" t="s">
        <v>6074</v>
      </c>
      <c r="S64" t="s">
        <v>7324</v>
      </c>
      <c r="T64" t="s">
        <v>7336</v>
      </c>
      <c r="U64" t="s">
        <v>330</v>
      </c>
      <c r="V64">
        <v>0</v>
      </c>
      <c r="W64" t="s">
        <v>7362</v>
      </c>
      <c r="Z64" t="s">
        <v>7466</v>
      </c>
      <c r="AC64">
        <v>359</v>
      </c>
      <c r="AD64" t="s">
        <v>12422</v>
      </c>
      <c r="AF64">
        <v>14</v>
      </c>
      <c r="AG64">
        <v>1</v>
      </c>
      <c r="AH64">
        <v>0</v>
      </c>
      <c r="AI64">
        <v>0</v>
      </c>
      <c r="AL64" t="s">
        <v>12460</v>
      </c>
      <c r="AM64">
        <v>0</v>
      </c>
      <c r="AN64" t="s">
        <v>12486</v>
      </c>
      <c r="AS64">
        <v>0</v>
      </c>
      <c r="AU64" t="s">
        <v>218</v>
      </c>
    </row>
    <row r="65" spans="1:47">
      <c r="A65" s="1">
        <f>HYPERLINK("https://cms.ls-nyc.org/matter/dynamic-profile/view/1891531","19-1891531")</f>
        <v>0</v>
      </c>
      <c r="B65" t="s">
        <v>72</v>
      </c>
      <c r="C65" t="s">
        <v>278</v>
      </c>
      <c r="E65" t="s">
        <v>625</v>
      </c>
      <c r="F65" t="s">
        <v>2103</v>
      </c>
      <c r="G65" t="s">
        <v>3700</v>
      </c>
      <c r="H65" t="s">
        <v>5379</v>
      </c>
      <c r="I65" t="s">
        <v>6043</v>
      </c>
      <c r="J65">
        <v>11233</v>
      </c>
      <c r="K65" t="s">
        <v>6074</v>
      </c>
      <c r="L65" t="s">
        <v>6076</v>
      </c>
      <c r="M65" t="s">
        <v>6101</v>
      </c>
      <c r="N65" t="s">
        <v>7279</v>
      </c>
      <c r="O65" t="s">
        <v>7311</v>
      </c>
      <c r="Q65" t="s">
        <v>7322</v>
      </c>
      <c r="R65" t="s">
        <v>6074</v>
      </c>
      <c r="S65" t="s">
        <v>7324</v>
      </c>
      <c r="T65" t="s">
        <v>7336</v>
      </c>
      <c r="U65" t="s">
        <v>330</v>
      </c>
      <c r="V65">
        <v>1195</v>
      </c>
      <c r="W65" t="s">
        <v>7362</v>
      </c>
      <c r="Z65" t="s">
        <v>7467</v>
      </c>
      <c r="AC65">
        <v>359</v>
      </c>
      <c r="AD65" t="s">
        <v>12422</v>
      </c>
      <c r="AF65">
        <v>30</v>
      </c>
      <c r="AG65">
        <v>2</v>
      </c>
      <c r="AH65">
        <v>0</v>
      </c>
      <c r="AI65">
        <v>0</v>
      </c>
      <c r="AL65" t="s">
        <v>12460</v>
      </c>
      <c r="AM65">
        <v>0</v>
      </c>
      <c r="AN65" t="s">
        <v>12486</v>
      </c>
      <c r="AS65">
        <v>0</v>
      </c>
      <c r="AU65" t="s">
        <v>218</v>
      </c>
    </row>
    <row r="66" spans="1:47">
      <c r="A66" s="1">
        <f>HYPERLINK("https://cms.ls-nyc.org/matter/dynamic-profile/view/1892512","19-1892512")</f>
        <v>0</v>
      </c>
      <c r="B66" t="s">
        <v>72</v>
      </c>
      <c r="C66" t="s">
        <v>277</v>
      </c>
      <c r="E66" t="s">
        <v>626</v>
      </c>
      <c r="F66" t="s">
        <v>2104</v>
      </c>
      <c r="G66" t="s">
        <v>3701</v>
      </c>
      <c r="H66" t="s">
        <v>5380</v>
      </c>
      <c r="I66" t="s">
        <v>6043</v>
      </c>
      <c r="J66">
        <v>11233</v>
      </c>
      <c r="K66" t="s">
        <v>6074</v>
      </c>
      <c r="L66" t="s">
        <v>6076</v>
      </c>
      <c r="N66" t="s">
        <v>7279</v>
      </c>
      <c r="O66" t="s">
        <v>7311</v>
      </c>
      <c r="Q66" t="s">
        <v>7322</v>
      </c>
      <c r="R66" t="s">
        <v>6074</v>
      </c>
      <c r="S66" t="s">
        <v>7324</v>
      </c>
      <c r="T66" t="s">
        <v>7336</v>
      </c>
      <c r="U66" t="s">
        <v>330</v>
      </c>
      <c r="V66">
        <v>0</v>
      </c>
      <c r="W66" t="s">
        <v>7362</v>
      </c>
      <c r="X66" t="s">
        <v>7305</v>
      </c>
      <c r="Z66" t="s">
        <v>7467</v>
      </c>
      <c r="AC66">
        <v>359</v>
      </c>
      <c r="AD66" t="s">
        <v>12422</v>
      </c>
      <c r="AF66">
        <v>43</v>
      </c>
      <c r="AG66">
        <v>2</v>
      </c>
      <c r="AH66">
        <v>0</v>
      </c>
      <c r="AI66">
        <v>0</v>
      </c>
      <c r="AL66" t="s">
        <v>12460</v>
      </c>
      <c r="AM66">
        <v>0</v>
      </c>
      <c r="AN66" t="s">
        <v>12487</v>
      </c>
      <c r="AS66">
        <v>0</v>
      </c>
      <c r="AU66" t="s">
        <v>180</v>
      </c>
    </row>
    <row r="67" spans="1:47">
      <c r="A67" s="1">
        <f>HYPERLINK("https://cms.ls-nyc.org/matter/dynamic-profile/view/1897167","19-1897167")</f>
        <v>0</v>
      </c>
      <c r="B67" t="s">
        <v>72</v>
      </c>
      <c r="C67" t="s">
        <v>279</v>
      </c>
      <c r="E67" t="s">
        <v>627</v>
      </c>
      <c r="F67" t="s">
        <v>2105</v>
      </c>
      <c r="G67" t="s">
        <v>3701</v>
      </c>
      <c r="H67" t="s">
        <v>5381</v>
      </c>
      <c r="I67" t="s">
        <v>6043</v>
      </c>
      <c r="J67">
        <v>11233</v>
      </c>
      <c r="K67" t="s">
        <v>6074</v>
      </c>
      <c r="L67" t="s">
        <v>6076</v>
      </c>
      <c r="N67" t="s">
        <v>7279</v>
      </c>
      <c r="O67" t="s">
        <v>7311</v>
      </c>
      <c r="Q67" t="s">
        <v>7322</v>
      </c>
      <c r="R67" t="s">
        <v>6074</v>
      </c>
      <c r="S67" t="s">
        <v>7324</v>
      </c>
      <c r="T67" t="s">
        <v>7336</v>
      </c>
      <c r="U67" t="s">
        <v>330</v>
      </c>
      <c r="V67">
        <v>1294.06</v>
      </c>
      <c r="W67" t="s">
        <v>7362</v>
      </c>
      <c r="X67" t="s">
        <v>7305</v>
      </c>
      <c r="AC67">
        <v>359</v>
      </c>
      <c r="AD67" t="s">
        <v>12422</v>
      </c>
      <c r="AE67" t="s">
        <v>6110</v>
      </c>
      <c r="AF67">
        <v>27</v>
      </c>
      <c r="AG67">
        <v>1</v>
      </c>
      <c r="AH67">
        <v>0</v>
      </c>
      <c r="AI67">
        <v>0</v>
      </c>
      <c r="AL67" t="s">
        <v>12460</v>
      </c>
      <c r="AM67">
        <v>0</v>
      </c>
      <c r="AN67" t="s">
        <v>12488</v>
      </c>
      <c r="AS67">
        <v>0</v>
      </c>
      <c r="AU67" t="s">
        <v>180</v>
      </c>
    </row>
    <row r="68" spans="1:47">
      <c r="A68" s="1">
        <f>HYPERLINK("https://cms.ls-nyc.org/matter/dynamic-profile/view/1897185","19-1897185")</f>
        <v>0</v>
      </c>
      <c r="B68" t="s">
        <v>72</v>
      </c>
      <c r="C68" t="s">
        <v>279</v>
      </c>
      <c r="E68" t="s">
        <v>628</v>
      </c>
      <c r="F68" t="s">
        <v>646</v>
      </c>
      <c r="G68" t="s">
        <v>3701</v>
      </c>
      <c r="H68" t="s">
        <v>5382</v>
      </c>
      <c r="I68" t="s">
        <v>6043</v>
      </c>
      <c r="J68">
        <v>11233</v>
      </c>
      <c r="K68" t="s">
        <v>6074</v>
      </c>
      <c r="L68" t="s">
        <v>6076</v>
      </c>
      <c r="N68" t="s">
        <v>7279</v>
      </c>
      <c r="O68" t="s">
        <v>7311</v>
      </c>
      <c r="Q68" t="s">
        <v>7322</v>
      </c>
      <c r="R68" t="s">
        <v>6074</v>
      </c>
      <c r="S68" t="s">
        <v>7324</v>
      </c>
      <c r="T68" t="s">
        <v>7336</v>
      </c>
      <c r="U68" t="s">
        <v>330</v>
      </c>
      <c r="V68">
        <v>1014</v>
      </c>
      <c r="W68" t="s">
        <v>7362</v>
      </c>
      <c r="X68" t="s">
        <v>7305</v>
      </c>
      <c r="Z68" t="s">
        <v>7468</v>
      </c>
      <c r="AC68">
        <v>359</v>
      </c>
      <c r="AD68" t="s">
        <v>12422</v>
      </c>
      <c r="AF68">
        <v>30</v>
      </c>
      <c r="AG68">
        <v>1</v>
      </c>
      <c r="AH68">
        <v>0</v>
      </c>
      <c r="AI68">
        <v>0</v>
      </c>
      <c r="AL68" t="s">
        <v>12460</v>
      </c>
      <c r="AM68">
        <v>0</v>
      </c>
      <c r="AN68" t="s">
        <v>12489</v>
      </c>
      <c r="AS68">
        <v>0</v>
      </c>
      <c r="AU68" t="s">
        <v>180</v>
      </c>
    </row>
    <row r="69" spans="1:47">
      <c r="A69" s="1">
        <f>HYPERLINK("https://cms.ls-nyc.org/matter/dynamic-profile/view/1897195","19-1897195")</f>
        <v>0</v>
      </c>
      <c r="B69" t="s">
        <v>72</v>
      </c>
      <c r="C69" t="s">
        <v>279</v>
      </c>
      <c r="E69" t="s">
        <v>629</v>
      </c>
      <c r="F69" t="s">
        <v>2106</v>
      </c>
      <c r="G69" t="s">
        <v>3702</v>
      </c>
      <c r="H69" t="s">
        <v>5383</v>
      </c>
      <c r="I69" t="s">
        <v>6043</v>
      </c>
      <c r="J69">
        <v>11233</v>
      </c>
      <c r="K69" t="s">
        <v>6074</v>
      </c>
      <c r="L69" t="s">
        <v>6076</v>
      </c>
      <c r="N69" t="s">
        <v>7279</v>
      </c>
      <c r="O69" t="s">
        <v>7311</v>
      </c>
      <c r="Q69" t="s">
        <v>7322</v>
      </c>
      <c r="R69" t="s">
        <v>6074</v>
      </c>
      <c r="S69" t="s">
        <v>7324</v>
      </c>
      <c r="T69" t="s">
        <v>7336</v>
      </c>
      <c r="U69" t="s">
        <v>330</v>
      </c>
      <c r="V69">
        <v>0</v>
      </c>
      <c r="W69" t="s">
        <v>7362</v>
      </c>
      <c r="X69" t="s">
        <v>7305</v>
      </c>
      <c r="Z69" t="s">
        <v>7469</v>
      </c>
      <c r="AC69">
        <v>359</v>
      </c>
      <c r="AD69" t="s">
        <v>12422</v>
      </c>
      <c r="AF69">
        <v>20</v>
      </c>
      <c r="AG69">
        <v>1</v>
      </c>
      <c r="AH69">
        <v>0</v>
      </c>
      <c r="AI69">
        <v>0</v>
      </c>
      <c r="AL69" t="s">
        <v>12460</v>
      </c>
      <c r="AM69">
        <v>0</v>
      </c>
      <c r="AN69" t="s">
        <v>12488</v>
      </c>
      <c r="AS69">
        <v>0</v>
      </c>
      <c r="AU69" t="s">
        <v>180</v>
      </c>
    </row>
    <row r="70" spans="1:47">
      <c r="A70" s="1">
        <f>HYPERLINK("https://cms.ls-nyc.org/matter/dynamic-profile/view/1897528","19-1897528")</f>
        <v>0</v>
      </c>
      <c r="B70" t="s">
        <v>72</v>
      </c>
      <c r="C70" t="s">
        <v>280</v>
      </c>
      <c r="E70" t="s">
        <v>630</v>
      </c>
      <c r="F70" t="s">
        <v>2107</v>
      </c>
      <c r="G70" t="s">
        <v>3701</v>
      </c>
      <c r="H70" t="s">
        <v>5384</v>
      </c>
      <c r="I70" t="s">
        <v>6043</v>
      </c>
      <c r="J70">
        <v>11233</v>
      </c>
      <c r="K70" t="s">
        <v>6074</v>
      </c>
      <c r="L70" t="s">
        <v>6076</v>
      </c>
      <c r="N70" t="s">
        <v>7279</v>
      </c>
      <c r="O70" t="s">
        <v>7311</v>
      </c>
      <c r="Q70" t="s">
        <v>7322</v>
      </c>
      <c r="R70" t="s">
        <v>6074</v>
      </c>
      <c r="S70" t="s">
        <v>7324</v>
      </c>
      <c r="T70" t="s">
        <v>7336</v>
      </c>
      <c r="U70" t="s">
        <v>330</v>
      </c>
      <c r="V70">
        <v>976.08</v>
      </c>
      <c r="W70" t="s">
        <v>7362</v>
      </c>
      <c r="X70" t="s">
        <v>7372</v>
      </c>
      <c r="Z70" t="s">
        <v>7470</v>
      </c>
      <c r="AC70">
        <v>359</v>
      </c>
      <c r="AD70" t="s">
        <v>12422</v>
      </c>
      <c r="AF70">
        <v>0</v>
      </c>
      <c r="AG70">
        <v>1</v>
      </c>
      <c r="AH70">
        <v>0</v>
      </c>
      <c r="AI70">
        <v>0</v>
      </c>
      <c r="AL70" t="s">
        <v>12460</v>
      </c>
      <c r="AM70">
        <v>0</v>
      </c>
      <c r="AN70" t="s">
        <v>12490</v>
      </c>
      <c r="AS70">
        <v>0</v>
      </c>
      <c r="AU70" t="s">
        <v>218</v>
      </c>
    </row>
    <row r="71" spans="1:47">
      <c r="A71" s="1">
        <f>HYPERLINK("https://cms.ls-nyc.org/matter/dynamic-profile/view/1875859","18-1875859")</f>
        <v>0</v>
      </c>
      <c r="B71" t="s">
        <v>73</v>
      </c>
      <c r="C71" t="s">
        <v>281</v>
      </c>
      <c r="D71" t="s">
        <v>344</v>
      </c>
      <c r="E71" t="s">
        <v>631</v>
      </c>
      <c r="F71" t="s">
        <v>2104</v>
      </c>
      <c r="G71" t="s">
        <v>3703</v>
      </c>
      <c r="I71" t="s">
        <v>6043</v>
      </c>
      <c r="J71">
        <v>11233</v>
      </c>
      <c r="K71" t="s">
        <v>6074</v>
      </c>
      <c r="L71" t="s">
        <v>6074</v>
      </c>
      <c r="M71" t="s">
        <v>6126</v>
      </c>
      <c r="N71" t="s">
        <v>7274</v>
      </c>
      <c r="O71" t="s">
        <v>7306</v>
      </c>
      <c r="P71" t="s">
        <v>7314</v>
      </c>
      <c r="Q71" t="s">
        <v>7322</v>
      </c>
      <c r="S71" t="s">
        <v>7324</v>
      </c>
      <c r="U71" t="s">
        <v>344</v>
      </c>
      <c r="V71">
        <v>0</v>
      </c>
      <c r="W71" t="s">
        <v>7362</v>
      </c>
      <c r="Y71" t="s">
        <v>7386</v>
      </c>
      <c r="Z71" t="s">
        <v>7471</v>
      </c>
      <c r="AB71" t="s">
        <v>10337</v>
      </c>
      <c r="AC71">
        <v>0</v>
      </c>
      <c r="AD71" t="s">
        <v>12419</v>
      </c>
      <c r="AF71">
        <v>40</v>
      </c>
      <c r="AG71">
        <v>1</v>
      </c>
      <c r="AH71">
        <v>0</v>
      </c>
      <c r="AI71">
        <v>0</v>
      </c>
      <c r="AL71" t="s">
        <v>12460</v>
      </c>
      <c r="AM71">
        <v>0</v>
      </c>
      <c r="AS71">
        <v>1.25</v>
      </c>
      <c r="AT71" t="s">
        <v>281</v>
      </c>
      <c r="AU71" t="s">
        <v>73</v>
      </c>
    </row>
    <row r="72" spans="1:47">
      <c r="A72" s="1">
        <f>HYPERLINK("https://cms.ls-nyc.org/matter/dynamic-profile/view/1878761","18-1878761")</f>
        <v>0</v>
      </c>
      <c r="B72" t="s">
        <v>74</v>
      </c>
      <c r="C72" t="s">
        <v>282</v>
      </c>
      <c r="E72" t="s">
        <v>581</v>
      </c>
      <c r="F72" t="s">
        <v>646</v>
      </c>
      <c r="G72" t="s">
        <v>3704</v>
      </c>
      <c r="H72" t="s">
        <v>5385</v>
      </c>
      <c r="I72" t="s">
        <v>6043</v>
      </c>
      <c r="J72">
        <v>11233</v>
      </c>
      <c r="K72" t="s">
        <v>6074</v>
      </c>
      <c r="L72" t="s">
        <v>6074</v>
      </c>
      <c r="M72" t="s">
        <v>6127</v>
      </c>
      <c r="N72" t="s">
        <v>7274</v>
      </c>
      <c r="O72" t="s">
        <v>7308</v>
      </c>
      <c r="Q72" t="s">
        <v>7322</v>
      </c>
      <c r="R72" t="s">
        <v>6076</v>
      </c>
      <c r="S72" t="s">
        <v>7324</v>
      </c>
      <c r="T72" t="s">
        <v>7339</v>
      </c>
      <c r="U72" t="s">
        <v>282</v>
      </c>
      <c r="V72">
        <v>0</v>
      </c>
      <c r="W72" t="s">
        <v>7362</v>
      </c>
      <c r="X72" t="s">
        <v>7366</v>
      </c>
      <c r="Y72" t="s">
        <v>7393</v>
      </c>
      <c r="Z72" t="s">
        <v>7472</v>
      </c>
      <c r="AA72" t="s">
        <v>9869</v>
      </c>
      <c r="AC72">
        <v>48</v>
      </c>
      <c r="AD72" t="s">
        <v>6322</v>
      </c>
      <c r="AE72" t="s">
        <v>12434</v>
      </c>
      <c r="AF72">
        <v>3</v>
      </c>
      <c r="AG72">
        <v>1</v>
      </c>
      <c r="AH72">
        <v>0</v>
      </c>
      <c r="AI72">
        <v>0</v>
      </c>
      <c r="AL72" t="s">
        <v>12460</v>
      </c>
      <c r="AM72">
        <v>0</v>
      </c>
      <c r="AN72" t="s">
        <v>12491</v>
      </c>
      <c r="AS72">
        <v>17.15</v>
      </c>
      <c r="AT72" t="s">
        <v>302</v>
      </c>
      <c r="AU72" t="s">
        <v>13083</v>
      </c>
    </row>
    <row r="73" spans="1:47">
      <c r="A73" s="1">
        <f>HYPERLINK("https://cms.ls-nyc.org/matter/dynamic-profile/view/1882574","18-1882574")</f>
        <v>0</v>
      </c>
      <c r="B73" t="s">
        <v>75</v>
      </c>
      <c r="C73" t="s">
        <v>283</v>
      </c>
      <c r="E73" t="s">
        <v>632</v>
      </c>
      <c r="F73" t="s">
        <v>2108</v>
      </c>
      <c r="G73" t="s">
        <v>3705</v>
      </c>
      <c r="H73" t="s">
        <v>5386</v>
      </c>
      <c r="I73" t="s">
        <v>6043</v>
      </c>
      <c r="J73">
        <v>11233</v>
      </c>
      <c r="K73" t="s">
        <v>6074</v>
      </c>
      <c r="L73" t="s">
        <v>6074</v>
      </c>
      <c r="M73" t="s">
        <v>6128</v>
      </c>
      <c r="N73" t="s">
        <v>7274</v>
      </c>
      <c r="O73" t="s">
        <v>7308</v>
      </c>
      <c r="Q73" t="s">
        <v>7322</v>
      </c>
      <c r="R73" t="s">
        <v>6076</v>
      </c>
      <c r="S73" t="s">
        <v>7324</v>
      </c>
      <c r="T73" t="s">
        <v>7340</v>
      </c>
      <c r="U73" t="s">
        <v>7343</v>
      </c>
      <c r="V73">
        <v>800</v>
      </c>
      <c r="W73" t="s">
        <v>7362</v>
      </c>
      <c r="X73" t="s">
        <v>7366</v>
      </c>
      <c r="Z73" t="s">
        <v>7473</v>
      </c>
      <c r="AA73">
        <v>88034031</v>
      </c>
      <c r="AB73" t="s">
        <v>10338</v>
      </c>
      <c r="AC73">
        <v>2</v>
      </c>
      <c r="AD73" t="s">
        <v>12419</v>
      </c>
      <c r="AE73" t="s">
        <v>12436</v>
      </c>
      <c r="AF73">
        <v>2</v>
      </c>
      <c r="AG73">
        <v>1</v>
      </c>
      <c r="AH73">
        <v>0</v>
      </c>
      <c r="AI73">
        <v>0</v>
      </c>
      <c r="AL73" t="s">
        <v>12461</v>
      </c>
      <c r="AM73">
        <v>0</v>
      </c>
      <c r="AN73" t="s">
        <v>12492</v>
      </c>
      <c r="AS73">
        <v>1</v>
      </c>
      <c r="AT73" t="s">
        <v>412</v>
      </c>
      <c r="AU73" t="s">
        <v>218</v>
      </c>
    </row>
    <row r="74" spans="1:47">
      <c r="A74" s="1">
        <f>HYPERLINK("https://cms.ls-nyc.org/matter/dynamic-profile/view/1887122","19-1887122")</f>
        <v>0</v>
      </c>
      <c r="B74" t="s">
        <v>76</v>
      </c>
      <c r="C74" t="s">
        <v>272</v>
      </c>
      <c r="E74" t="s">
        <v>633</v>
      </c>
      <c r="F74" t="s">
        <v>2109</v>
      </c>
      <c r="G74" t="s">
        <v>3706</v>
      </c>
      <c r="I74" t="s">
        <v>6043</v>
      </c>
      <c r="J74">
        <v>11233</v>
      </c>
      <c r="K74" t="s">
        <v>6074</v>
      </c>
      <c r="L74" t="s">
        <v>6074</v>
      </c>
      <c r="M74" t="s">
        <v>6129</v>
      </c>
      <c r="N74" t="s">
        <v>7274</v>
      </c>
      <c r="O74" t="s">
        <v>7310</v>
      </c>
      <c r="Q74" t="s">
        <v>7322</v>
      </c>
      <c r="R74" t="s">
        <v>6076</v>
      </c>
      <c r="S74" t="s">
        <v>7324</v>
      </c>
      <c r="U74" t="s">
        <v>410</v>
      </c>
      <c r="V74">
        <v>525</v>
      </c>
      <c r="W74" t="s">
        <v>7362</v>
      </c>
      <c r="X74" t="s">
        <v>7373</v>
      </c>
      <c r="Z74" t="s">
        <v>7413</v>
      </c>
      <c r="AB74" t="s">
        <v>10339</v>
      </c>
      <c r="AC74">
        <v>3</v>
      </c>
      <c r="AD74" t="s">
        <v>12419</v>
      </c>
      <c r="AE74" t="s">
        <v>6110</v>
      </c>
      <c r="AF74">
        <v>12</v>
      </c>
      <c r="AG74">
        <v>1</v>
      </c>
      <c r="AH74">
        <v>0</v>
      </c>
      <c r="AI74">
        <v>0</v>
      </c>
      <c r="AL74" t="s">
        <v>12460</v>
      </c>
      <c r="AM74">
        <v>0</v>
      </c>
      <c r="AS74">
        <v>76.3</v>
      </c>
      <c r="AT74" t="s">
        <v>241</v>
      </c>
      <c r="AU74" t="s">
        <v>180</v>
      </c>
    </row>
    <row r="75" spans="1:47">
      <c r="A75" s="1">
        <f>HYPERLINK("https://cms.ls-nyc.org/matter/dynamic-profile/view/1888792","19-1888792")</f>
        <v>0</v>
      </c>
      <c r="B75" t="s">
        <v>77</v>
      </c>
      <c r="C75" t="s">
        <v>284</v>
      </c>
      <c r="E75" t="s">
        <v>634</v>
      </c>
      <c r="F75" t="s">
        <v>2110</v>
      </c>
      <c r="G75" t="s">
        <v>3707</v>
      </c>
      <c r="H75">
        <v>1</v>
      </c>
      <c r="I75" t="s">
        <v>6043</v>
      </c>
      <c r="J75">
        <v>11233</v>
      </c>
      <c r="K75" t="s">
        <v>6074</v>
      </c>
      <c r="L75" t="s">
        <v>6074</v>
      </c>
      <c r="M75" t="s">
        <v>6130</v>
      </c>
      <c r="N75" t="s">
        <v>7274</v>
      </c>
      <c r="O75" t="s">
        <v>7310</v>
      </c>
      <c r="Q75" t="s">
        <v>7322</v>
      </c>
      <c r="R75" t="s">
        <v>6076</v>
      </c>
      <c r="S75" t="s">
        <v>7324</v>
      </c>
      <c r="U75" t="s">
        <v>284</v>
      </c>
      <c r="V75">
        <v>0</v>
      </c>
      <c r="W75" t="s">
        <v>7362</v>
      </c>
      <c r="Z75" t="s">
        <v>7467</v>
      </c>
      <c r="AA75" t="s">
        <v>9870</v>
      </c>
      <c r="AC75">
        <v>0</v>
      </c>
      <c r="AD75" t="s">
        <v>12419</v>
      </c>
      <c r="AE75" t="s">
        <v>12434</v>
      </c>
      <c r="AF75">
        <v>0</v>
      </c>
      <c r="AG75">
        <v>2</v>
      </c>
      <c r="AH75">
        <v>3</v>
      </c>
      <c r="AI75">
        <v>0</v>
      </c>
      <c r="AL75" t="s">
        <v>12460</v>
      </c>
      <c r="AM75">
        <v>0</v>
      </c>
      <c r="AS75">
        <v>1.5</v>
      </c>
      <c r="AT75" t="s">
        <v>365</v>
      </c>
      <c r="AU75" t="s">
        <v>180</v>
      </c>
    </row>
    <row r="76" spans="1:47">
      <c r="A76" s="1">
        <f>HYPERLINK("https://cms.ls-nyc.org/matter/dynamic-profile/view/1889595","19-1889595")</f>
        <v>0</v>
      </c>
      <c r="B76" t="s">
        <v>76</v>
      </c>
      <c r="C76" t="s">
        <v>285</v>
      </c>
      <c r="D76" t="s">
        <v>302</v>
      </c>
      <c r="E76" t="s">
        <v>635</v>
      </c>
      <c r="F76" t="s">
        <v>2111</v>
      </c>
      <c r="G76" t="s">
        <v>3708</v>
      </c>
      <c r="H76">
        <v>3</v>
      </c>
      <c r="I76" t="s">
        <v>6043</v>
      </c>
      <c r="J76">
        <v>11233</v>
      </c>
      <c r="K76" t="s">
        <v>6074</v>
      </c>
      <c r="L76" t="s">
        <v>6074</v>
      </c>
      <c r="M76" t="s">
        <v>6131</v>
      </c>
      <c r="N76" t="s">
        <v>7274</v>
      </c>
      <c r="O76" t="s">
        <v>7310</v>
      </c>
      <c r="P76" t="s">
        <v>7315</v>
      </c>
      <c r="Q76" t="s">
        <v>7322</v>
      </c>
      <c r="S76" t="s">
        <v>7324</v>
      </c>
      <c r="U76" t="s">
        <v>285</v>
      </c>
      <c r="V76">
        <v>0</v>
      </c>
      <c r="W76" t="s">
        <v>7362</v>
      </c>
      <c r="X76" t="s">
        <v>7374</v>
      </c>
      <c r="Y76" t="s">
        <v>7388</v>
      </c>
      <c r="Z76" t="s">
        <v>7474</v>
      </c>
      <c r="AB76" t="s">
        <v>10340</v>
      </c>
      <c r="AC76">
        <v>3</v>
      </c>
      <c r="AD76" t="s">
        <v>12425</v>
      </c>
      <c r="AF76">
        <v>13</v>
      </c>
      <c r="AG76">
        <v>2</v>
      </c>
      <c r="AH76">
        <v>1</v>
      </c>
      <c r="AI76">
        <v>0</v>
      </c>
      <c r="AL76" t="s">
        <v>12460</v>
      </c>
      <c r="AM76">
        <v>0</v>
      </c>
      <c r="AS76">
        <v>1.5</v>
      </c>
      <c r="AT76" t="s">
        <v>285</v>
      </c>
      <c r="AU76" t="s">
        <v>13084</v>
      </c>
    </row>
    <row r="77" spans="1:47">
      <c r="A77" s="1">
        <f>HYPERLINK("https://cms.ls-nyc.org/matter/dynamic-profile/view/1889808","19-1889808")</f>
        <v>0</v>
      </c>
      <c r="B77" t="s">
        <v>78</v>
      </c>
      <c r="C77" t="s">
        <v>286</v>
      </c>
      <c r="D77" t="s">
        <v>395</v>
      </c>
      <c r="E77" t="s">
        <v>636</v>
      </c>
      <c r="F77" t="s">
        <v>2112</v>
      </c>
      <c r="G77" t="s">
        <v>3709</v>
      </c>
      <c r="H77">
        <v>2</v>
      </c>
      <c r="I77" t="s">
        <v>6043</v>
      </c>
      <c r="J77">
        <v>11233</v>
      </c>
      <c r="K77" t="s">
        <v>6074</v>
      </c>
      <c r="L77" t="s">
        <v>6074</v>
      </c>
      <c r="M77" t="s">
        <v>6132</v>
      </c>
      <c r="N77" t="s">
        <v>7274</v>
      </c>
      <c r="O77" t="s">
        <v>7307</v>
      </c>
      <c r="P77" t="s">
        <v>7315</v>
      </c>
      <c r="Q77" t="s">
        <v>7322</v>
      </c>
      <c r="R77" t="s">
        <v>6076</v>
      </c>
      <c r="S77" t="s">
        <v>7324</v>
      </c>
      <c r="U77" t="s">
        <v>359</v>
      </c>
      <c r="V77">
        <v>1500</v>
      </c>
      <c r="W77" t="s">
        <v>7362</v>
      </c>
      <c r="X77" t="s">
        <v>7373</v>
      </c>
      <c r="Y77" t="s">
        <v>7390</v>
      </c>
      <c r="Z77" t="s">
        <v>7475</v>
      </c>
      <c r="AA77" t="s">
        <v>9871</v>
      </c>
      <c r="AB77" t="s">
        <v>10341</v>
      </c>
      <c r="AC77">
        <v>3</v>
      </c>
      <c r="AD77" t="s">
        <v>12419</v>
      </c>
      <c r="AE77" t="s">
        <v>6110</v>
      </c>
      <c r="AF77">
        <v>3</v>
      </c>
      <c r="AG77">
        <v>2</v>
      </c>
      <c r="AH77">
        <v>1</v>
      </c>
      <c r="AI77">
        <v>0</v>
      </c>
      <c r="AL77" t="s">
        <v>12460</v>
      </c>
      <c r="AM77">
        <v>0</v>
      </c>
      <c r="AS77">
        <v>1.8</v>
      </c>
      <c r="AT77" t="s">
        <v>359</v>
      </c>
      <c r="AU77" t="s">
        <v>218</v>
      </c>
    </row>
    <row r="78" spans="1:47">
      <c r="A78" s="1">
        <f>HYPERLINK("https://cms.ls-nyc.org/matter/dynamic-profile/view/1891366","19-1891366")</f>
        <v>0</v>
      </c>
      <c r="B78" t="s">
        <v>79</v>
      </c>
      <c r="C78" t="s">
        <v>287</v>
      </c>
      <c r="D78" t="s">
        <v>329</v>
      </c>
      <c r="E78" t="s">
        <v>637</v>
      </c>
      <c r="F78" t="s">
        <v>2113</v>
      </c>
      <c r="G78" t="s">
        <v>3701</v>
      </c>
      <c r="H78" t="s">
        <v>5387</v>
      </c>
      <c r="I78" t="s">
        <v>6043</v>
      </c>
      <c r="J78">
        <v>11233</v>
      </c>
      <c r="K78" t="s">
        <v>6074</v>
      </c>
      <c r="L78" t="s">
        <v>6074</v>
      </c>
      <c r="N78" t="s">
        <v>6104</v>
      </c>
      <c r="O78" t="s">
        <v>7306</v>
      </c>
      <c r="P78" t="s">
        <v>7314</v>
      </c>
      <c r="Q78" t="s">
        <v>7322</v>
      </c>
      <c r="R78" t="s">
        <v>6076</v>
      </c>
      <c r="S78" t="s">
        <v>7324</v>
      </c>
      <c r="U78" t="s">
        <v>287</v>
      </c>
      <c r="V78">
        <v>0</v>
      </c>
      <c r="W78" t="s">
        <v>7362</v>
      </c>
      <c r="Y78" t="s">
        <v>7386</v>
      </c>
      <c r="Z78" t="s">
        <v>7476</v>
      </c>
      <c r="AC78">
        <v>359</v>
      </c>
      <c r="AD78" t="s">
        <v>12422</v>
      </c>
      <c r="AE78" t="s">
        <v>6110</v>
      </c>
      <c r="AF78">
        <v>0</v>
      </c>
      <c r="AG78">
        <v>1</v>
      </c>
      <c r="AH78">
        <v>0</v>
      </c>
      <c r="AI78">
        <v>0</v>
      </c>
      <c r="AL78" t="s">
        <v>12460</v>
      </c>
      <c r="AM78">
        <v>0</v>
      </c>
      <c r="AS78">
        <v>1</v>
      </c>
      <c r="AT78" t="s">
        <v>318</v>
      </c>
      <c r="AU78" t="s">
        <v>180</v>
      </c>
    </row>
    <row r="79" spans="1:47">
      <c r="A79" s="1">
        <f>HYPERLINK("https://cms.ls-nyc.org/matter/dynamic-profile/view/1869462","18-1869462")</f>
        <v>0</v>
      </c>
      <c r="B79" t="s">
        <v>80</v>
      </c>
      <c r="C79" t="s">
        <v>288</v>
      </c>
      <c r="D79" t="s">
        <v>453</v>
      </c>
      <c r="E79" t="s">
        <v>638</v>
      </c>
      <c r="F79" t="s">
        <v>2114</v>
      </c>
      <c r="G79" t="s">
        <v>3700</v>
      </c>
      <c r="H79" t="s">
        <v>5388</v>
      </c>
      <c r="I79" t="s">
        <v>6043</v>
      </c>
      <c r="J79">
        <v>11233</v>
      </c>
      <c r="K79" t="s">
        <v>6074</v>
      </c>
      <c r="L79" t="s">
        <v>6074</v>
      </c>
      <c r="M79" t="s">
        <v>6104</v>
      </c>
      <c r="N79" t="s">
        <v>7275</v>
      </c>
      <c r="O79" t="s">
        <v>7306</v>
      </c>
      <c r="P79" t="s">
        <v>7314</v>
      </c>
      <c r="Q79" t="s">
        <v>7322</v>
      </c>
      <c r="R79" t="s">
        <v>6076</v>
      </c>
      <c r="S79" t="s">
        <v>7324</v>
      </c>
      <c r="U79" t="s">
        <v>7344</v>
      </c>
      <c r="V79">
        <v>859</v>
      </c>
      <c r="W79" t="s">
        <v>7362</v>
      </c>
      <c r="X79" t="s">
        <v>7368</v>
      </c>
      <c r="Y79" t="s">
        <v>7391</v>
      </c>
      <c r="Z79" t="s">
        <v>7477</v>
      </c>
      <c r="AA79" t="s">
        <v>6322</v>
      </c>
      <c r="AB79" t="s">
        <v>10342</v>
      </c>
      <c r="AC79">
        <v>1107</v>
      </c>
      <c r="AD79" t="s">
        <v>12422</v>
      </c>
      <c r="AE79" t="s">
        <v>12437</v>
      </c>
      <c r="AF79">
        <v>6</v>
      </c>
      <c r="AG79">
        <v>1</v>
      </c>
      <c r="AH79">
        <v>0</v>
      </c>
      <c r="AI79">
        <v>0</v>
      </c>
      <c r="AL79" t="s">
        <v>12460</v>
      </c>
      <c r="AM79">
        <v>0</v>
      </c>
      <c r="AN79" t="s">
        <v>12491</v>
      </c>
      <c r="AS79">
        <v>2</v>
      </c>
      <c r="AT79" t="s">
        <v>453</v>
      </c>
      <c r="AU79" t="s">
        <v>218</v>
      </c>
    </row>
    <row r="80" spans="1:47">
      <c r="A80" s="1">
        <f>HYPERLINK("https://cms.ls-nyc.org/matter/dynamic-profile/view/1891494","19-1891494")</f>
        <v>0</v>
      </c>
      <c r="B80" t="s">
        <v>72</v>
      </c>
      <c r="C80" t="s">
        <v>278</v>
      </c>
      <c r="E80" t="s">
        <v>623</v>
      </c>
      <c r="F80" t="s">
        <v>2102</v>
      </c>
      <c r="G80" t="s">
        <v>3700</v>
      </c>
      <c r="H80" t="s">
        <v>5377</v>
      </c>
      <c r="I80" t="s">
        <v>6043</v>
      </c>
      <c r="J80">
        <v>11233</v>
      </c>
      <c r="K80" t="s">
        <v>6074</v>
      </c>
      <c r="L80" t="s">
        <v>6076</v>
      </c>
      <c r="M80" t="s">
        <v>6110</v>
      </c>
      <c r="N80" t="s">
        <v>7275</v>
      </c>
      <c r="O80" t="s">
        <v>7307</v>
      </c>
      <c r="Q80" t="s">
        <v>7322</v>
      </c>
      <c r="R80" t="s">
        <v>6074</v>
      </c>
      <c r="S80" t="s">
        <v>7324</v>
      </c>
      <c r="T80" t="s">
        <v>7336</v>
      </c>
      <c r="U80" t="s">
        <v>287</v>
      </c>
      <c r="V80">
        <v>505</v>
      </c>
      <c r="W80" t="s">
        <v>7362</v>
      </c>
      <c r="Z80" t="s">
        <v>7465</v>
      </c>
      <c r="AC80">
        <v>359</v>
      </c>
      <c r="AD80" t="s">
        <v>12422</v>
      </c>
      <c r="AF80">
        <v>40</v>
      </c>
      <c r="AG80">
        <v>1</v>
      </c>
      <c r="AH80">
        <v>0</v>
      </c>
      <c r="AI80">
        <v>0</v>
      </c>
      <c r="AL80" t="s">
        <v>12460</v>
      </c>
      <c r="AM80">
        <v>0</v>
      </c>
      <c r="AN80" t="s">
        <v>12493</v>
      </c>
      <c r="AS80">
        <v>0</v>
      </c>
      <c r="AU80" t="s">
        <v>218</v>
      </c>
    </row>
    <row r="81" spans="1:47">
      <c r="A81" s="1">
        <f>HYPERLINK("https://cms.ls-nyc.org/matter/dynamic-profile/view/1891511","19-1891511")</f>
        <v>0</v>
      </c>
      <c r="B81" t="s">
        <v>72</v>
      </c>
      <c r="C81" t="s">
        <v>278</v>
      </c>
      <c r="E81" t="s">
        <v>624</v>
      </c>
      <c r="F81" t="s">
        <v>1490</v>
      </c>
      <c r="G81" t="s">
        <v>3700</v>
      </c>
      <c r="H81" t="s">
        <v>5378</v>
      </c>
      <c r="I81" t="s">
        <v>6043</v>
      </c>
      <c r="J81">
        <v>11233</v>
      </c>
      <c r="K81" t="s">
        <v>6074</v>
      </c>
      <c r="L81" t="s">
        <v>6076</v>
      </c>
      <c r="M81" t="s">
        <v>6110</v>
      </c>
      <c r="N81" t="s">
        <v>7275</v>
      </c>
      <c r="O81" t="s">
        <v>7307</v>
      </c>
      <c r="Q81" t="s">
        <v>7322</v>
      </c>
      <c r="R81" t="s">
        <v>6074</v>
      </c>
      <c r="S81" t="s">
        <v>7324</v>
      </c>
      <c r="T81" t="s">
        <v>7336</v>
      </c>
      <c r="U81" t="s">
        <v>287</v>
      </c>
      <c r="V81">
        <v>0</v>
      </c>
      <c r="W81" t="s">
        <v>7362</v>
      </c>
      <c r="Z81" t="s">
        <v>7466</v>
      </c>
      <c r="AC81">
        <v>359</v>
      </c>
      <c r="AD81" t="s">
        <v>12422</v>
      </c>
      <c r="AF81">
        <v>14</v>
      </c>
      <c r="AG81">
        <v>1</v>
      </c>
      <c r="AH81">
        <v>0</v>
      </c>
      <c r="AI81">
        <v>0</v>
      </c>
      <c r="AL81" t="s">
        <v>12460</v>
      </c>
      <c r="AM81">
        <v>0</v>
      </c>
      <c r="AN81" t="s">
        <v>12494</v>
      </c>
      <c r="AS81">
        <v>0</v>
      </c>
      <c r="AU81" t="s">
        <v>218</v>
      </c>
    </row>
    <row r="82" spans="1:47">
      <c r="A82" s="1">
        <f>HYPERLINK("https://cms.ls-nyc.org/matter/dynamic-profile/view/1891534","19-1891534")</f>
        <v>0</v>
      </c>
      <c r="B82" t="s">
        <v>72</v>
      </c>
      <c r="C82" t="s">
        <v>278</v>
      </c>
      <c r="E82" t="s">
        <v>625</v>
      </c>
      <c r="F82" t="s">
        <v>2103</v>
      </c>
      <c r="G82" t="s">
        <v>3700</v>
      </c>
      <c r="H82" t="s">
        <v>5379</v>
      </c>
      <c r="I82" t="s">
        <v>6043</v>
      </c>
      <c r="J82">
        <v>11233</v>
      </c>
      <c r="K82" t="s">
        <v>6074</v>
      </c>
      <c r="L82" t="s">
        <v>6076</v>
      </c>
      <c r="N82" t="s">
        <v>7275</v>
      </c>
      <c r="O82" t="s">
        <v>7307</v>
      </c>
      <c r="Q82" t="s">
        <v>7322</v>
      </c>
      <c r="R82" t="s">
        <v>6074</v>
      </c>
      <c r="S82" t="s">
        <v>7324</v>
      </c>
      <c r="T82" t="s">
        <v>7336</v>
      </c>
      <c r="U82" t="s">
        <v>287</v>
      </c>
      <c r="V82">
        <v>0</v>
      </c>
      <c r="W82" t="s">
        <v>7362</v>
      </c>
      <c r="Z82" t="s">
        <v>7467</v>
      </c>
      <c r="AC82">
        <v>359</v>
      </c>
      <c r="AD82" t="s">
        <v>12422</v>
      </c>
      <c r="AF82">
        <v>30</v>
      </c>
      <c r="AG82">
        <v>2</v>
      </c>
      <c r="AH82">
        <v>0</v>
      </c>
      <c r="AI82">
        <v>0</v>
      </c>
      <c r="AL82" t="s">
        <v>12460</v>
      </c>
      <c r="AM82">
        <v>0</v>
      </c>
      <c r="AN82" t="s">
        <v>12495</v>
      </c>
      <c r="AS82">
        <v>0</v>
      </c>
      <c r="AU82" t="s">
        <v>218</v>
      </c>
    </row>
    <row r="83" spans="1:47">
      <c r="A83" s="1">
        <f>HYPERLINK("https://cms.ls-nyc.org/matter/dynamic-profile/view/1892517","19-1892517")</f>
        <v>0</v>
      </c>
      <c r="B83" t="s">
        <v>72</v>
      </c>
      <c r="C83" t="s">
        <v>277</v>
      </c>
      <c r="E83" t="s">
        <v>626</v>
      </c>
      <c r="F83" t="s">
        <v>2104</v>
      </c>
      <c r="G83" t="s">
        <v>3701</v>
      </c>
      <c r="H83" t="s">
        <v>5380</v>
      </c>
      <c r="I83" t="s">
        <v>6043</v>
      </c>
      <c r="J83">
        <v>11233</v>
      </c>
      <c r="K83" t="s">
        <v>6074</v>
      </c>
      <c r="L83" t="s">
        <v>6076</v>
      </c>
      <c r="N83" t="s">
        <v>7275</v>
      </c>
      <c r="O83" t="s">
        <v>7307</v>
      </c>
      <c r="Q83" t="s">
        <v>7322</v>
      </c>
      <c r="R83" t="s">
        <v>6074</v>
      </c>
      <c r="S83" t="s">
        <v>7324</v>
      </c>
      <c r="T83" t="s">
        <v>7336</v>
      </c>
      <c r="U83" t="s">
        <v>287</v>
      </c>
      <c r="V83">
        <v>0</v>
      </c>
      <c r="W83" t="s">
        <v>7362</v>
      </c>
      <c r="X83" t="s">
        <v>7305</v>
      </c>
      <c r="Z83" t="s">
        <v>7467</v>
      </c>
      <c r="AC83">
        <v>359</v>
      </c>
      <c r="AD83" t="s">
        <v>12422</v>
      </c>
      <c r="AF83">
        <v>43</v>
      </c>
      <c r="AG83">
        <v>2</v>
      </c>
      <c r="AH83">
        <v>0</v>
      </c>
      <c r="AI83">
        <v>0</v>
      </c>
      <c r="AL83" t="s">
        <v>12460</v>
      </c>
      <c r="AM83">
        <v>0</v>
      </c>
      <c r="AN83" t="s">
        <v>12496</v>
      </c>
      <c r="AS83">
        <v>0</v>
      </c>
      <c r="AU83" t="s">
        <v>180</v>
      </c>
    </row>
    <row r="84" spans="1:47">
      <c r="A84" s="1">
        <f>HYPERLINK("https://cms.ls-nyc.org/matter/dynamic-profile/view/1897171","19-1897171")</f>
        <v>0</v>
      </c>
      <c r="B84" t="s">
        <v>72</v>
      </c>
      <c r="C84" t="s">
        <v>279</v>
      </c>
      <c r="E84" t="s">
        <v>627</v>
      </c>
      <c r="F84" t="s">
        <v>2105</v>
      </c>
      <c r="G84" t="s">
        <v>3701</v>
      </c>
      <c r="H84" t="s">
        <v>5381</v>
      </c>
      <c r="I84" t="s">
        <v>6043</v>
      </c>
      <c r="J84">
        <v>11233</v>
      </c>
      <c r="K84" t="s">
        <v>6074</v>
      </c>
      <c r="L84" t="s">
        <v>6076</v>
      </c>
      <c r="N84" t="s">
        <v>7275</v>
      </c>
      <c r="O84" t="s">
        <v>7307</v>
      </c>
      <c r="Q84" t="s">
        <v>7322</v>
      </c>
      <c r="R84" t="s">
        <v>6074</v>
      </c>
      <c r="S84" t="s">
        <v>7324</v>
      </c>
      <c r="T84" t="s">
        <v>7336</v>
      </c>
      <c r="U84" t="s">
        <v>287</v>
      </c>
      <c r="V84">
        <v>1294.06</v>
      </c>
      <c r="W84" t="s">
        <v>7362</v>
      </c>
      <c r="X84" t="s">
        <v>7305</v>
      </c>
      <c r="AC84">
        <v>359</v>
      </c>
      <c r="AD84" t="s">
        <v>12422</v>
      </c>
      <c r="AE84" t="s">
        <v>6110</v>
      </c>
      <c r="AF84">
        <v>27</v>
      </c>
      <c r="AG84">
        <v>1</v>
      </c>
      <c r="AH84">
        <v>0</v>
      </c>
      <c r="AI84">
        <v>0</v>
      </c>
      <c r="AL84" t="s">
        <v>12460</v>
      </c>
      <c r="AM84">
        <v>0</v>
      </c>
      <c r="AN84" t="s">
        <v>12497</v>
      </c>
      <c r="AS84">
        <v>0</v>
      </c>
      <c r="AU84" t="s">
        <v>180</v>
      </c>
    </row>
    <row r="85" spans="1:47">
      <c r="A85" s="1">
        <f>HYPERLINK("https://cms.ls-nyc.org/matter/dynamic-profile/view/1897190","19-1897190")</f>
        <v>0</v>
      </c>
      <c r="B85" t="s">
        <v>72</v>
      </c>
      <c r="C85" t="s">
        <v>279</v>
      </c>
      <c r="E85" t="s">
        <v>628</v>
      </c>
      <c r="F85" t="s">
        <v>646</v>
      </c>
      <c r="G85" t="s">
        <v>3701</v>
      </c>
      <c r="H85" t="s">
        <v>5382</v>
      </c>
      <c r="I85" t="s">
        <v>6043</v>
      </c>
      <c r="J85">
        <v>11233</v>
      </c>
      <c r="K85" t="s">
        <v>6074</v>
      </c>
      <c r="L85" t="s">
        <v>6076</v>
      </c>
      <c r="N85" t="s">
        <v>7275</v>
      </c>
      <c r="O85" t="s">
        <v>7307</v>
      </c>
      <c r="Q85" t="s">
        <v>7322</v>
      </c>
      <c r="R85" t="s">
        <v>6074</v>
      </c>
      <c r="S85" t="s">
        <v>7324</v>
      </c>
      <c r="T85" t="s">
        <v>7336</v>
      </c>
      <c r="U85" t="s">
        <v>287</v>
      </c>
      <c r="V85">
        <v>1014</v>
      </c>
      <c r="W85" t="s">
        <v>7362</v>
      </c>
      <c r="X85" t="s">
        <v>7305</v>
      </c>
      <c r="Z85" t="s">
        <v>7468</v>
      </c>
      <c r="AC85">
        <v>359</v>
      </c>
      <c r="AD85" t="s">
        <v>12422</v>
      </c>
      <c r="AF85">
        <v>30</v>
      </c>
      <c r="AG85">
        <v>1</v>
      </c>
      <c r="AH85">
        <v>0</v>
      </c>
      <c r="AI85">
        <v>0</v>
      </c>
      <c r="AL85" t="s">
        <v>12460</v>
      </c>
      <c r="AM85">
        <v>0</v>
      </c>
      <c r="AS85">
        <v>0</v>
      </c>
      <c r="AU85" t="s">
        <v>180</v>
      </c>
    </row>
    <row r="86" spans="1:47">
      <c r="A86" s="1">
        <f>HYPERLINK("https://cms.ls-nyc.org/matter/dynamic-profile/view/1897201","19-1897201")</f>
        <v>0</v>
      </c>
      <c r="B86" t="s">
        <v>72</v>
      </c>
      <c r="C86" t="s">
        <v>279</v>
      </c>
      <c r="E86" t="s">
        <v>629</v>
      </c>
      <c r="F86" t="s">
        <v>2106</v>
      </c>
      <c r="G86" t="s">
        <v>3702</v>
      </c>
      <c r="H86" t="s">
        <v>5383</v>
      </c>
      <c r="I86" t="s">
        <v>6043</v>
      </c>
      <c r="J86">
        <v>11233</v>
      </c>
      <c r="K86" t="s">
        <v>6074</v>
      </c>
      <c r="L86" t="s">
        <v>6076</v>
      </c>
      <c r="N86" t="s">
        <v>7275</v>
      </c>
      <c r="O86" t="s">
        <v>7307</v>
      </c>
      <c r="Q86" t="s">
        <v>7322</v>
      </c>
      <c r="R86" t="s">
        <v>6074</v>
      </c>
      <c r="S86" t="s">
        <v>7324</v>
      </c>
      <c r="T86" t="s">
        <v>7336</v>
      </c>
      <c r="U86" t="s">
        <v>287</v>
      </c>
      <c r="V86">
        <v>0</v>
      </c>
      <c r="W86" t="s">
        <v>7362</v>
      </c>
      <c r="X86" t="s">
        <v>7305</v>
      </c>
      <c r="Z86" t="s">
        <v>7469</v>
      </c>
      <c r="AC86">
        <v>359</v>
      </c>
      <c r="AD86" t="s">
        <v>12422</v>
      </c>
      <c r="AF86">
        <v>20</v>
      </c>
      <c r="AG86">
        <v>1</v>
      </c>
      <c r="AH86">
        <v>0</v>
      </c>
      <c r="AI86">
        <v>0</v>
      </c>
      <c r="AL86" t="s">
        <v>12460</v>
      </c>
      <c r="AM86">
        <v>0</v>
      </c>
      <c r="AS86">
        <v>0</v>
      </c>
      <c r="AU86" t="s">
        <v>180</v>
      </c>
    </row>
    <row r="87" spans="1:47">
      <c r="A87" s="1">
        <f>HYPERLINK("https://cms.ls-nyc.org/matter/dynamic-profile/view/1897530","19-1897530")</f>
        <v>0</v>
      </c>
      <c r="B87" t="s">
        <v>72</v>
      </c>
      <c r="C87" t="s">
        <v>280</v>
      </c>
      <c r="E87" t="s">
        <v>630</v>
      </c>
      <c r="F87" t="s">
        <v>2107</v>
      </c>
      <c r="G87" t="s">
        <v>3701</v>
      </c>
      <c r="H87" t="s">
        <v>5384</v>
      </c>
      <c r="I87" t="s">
        <v>6043</v>
      </c>
      <c r="J87">
        <v>11233</v>
      </c>
      <c r="K87" t="s">
        <v>6074</v>
      </c>
      <c r="L87" t="s">
        <v>6076</v>
      </c>
      <c r="N87" t="s">
        <v>7275</v>
      </c>
      <c r="O87" t="s">
        <v>7307</v>
      </c>
      <c r="Q87" t="s">
        <v>7322</v>
      </c>
      <c r="R87" t="s">
        <v>6074</v>
      </c>
      <c r="S87" t="s">
        <v>7324</v>
      </c>
      <c r="T87" t="s">
        <v>7336</v>
      </c>
      <c r="U87" t="s">
        <v>287</v>
      </c>
      <c r="V87">
        <v>976.08</v>
      </c>
      <c r="W87" t="s">
        <v>7362</v>
      </c>
      <c r="X87" t="s">
        <v>7372</v>
      </c>
      <c r="Z87" t="s">
        <v>7470</v>
      </c>
      <c r="AC87">
        <v>359</v>
      </c>
      <c r="AD87" t="s">
        <v>12422</v>
      </c>
      <c r="AF87">
        <v>0</v>
      </c>
      <c r="AG87">
        <v>1</v>
      </c>
      <c r="AH87">
        <v>0</v>
      </c>
      <c r="AI87">
        <v>0</v>
      </c>
      <c r="AL87" t="s">
        <v>12460</v>
      </c>
      <c r="AM87">
        <v>0</v>
      </c>
      <c r="AN87" t="s">
        <v>12498</v>
      </c>
      <c r="AS87">
        <v>0</v>
      </c>
      <c r="AU87" t="s">
        <v>218</v>
      </c>
    </row>
    <row r="88" spans="1:47">
      <c r="A88" s="1">
        <f>HYPERLINK("https://cms.ls-nyc.org/matter/dynamic-profile/view/1873124","18-1873124")</f>
        <v>0</v>
      </c>
      <c r="B88" t="s">
        <v>71</v>
      </c>
      <c r="C88" t="s">
        <v>289</v>
      </c>
      <c r="D88" t="s">
        <v>313</v>
      </c>
      <c r="E88" t="s">
        <v>639</v>
      </c>
      <c r="F88" t="s">
        <v>2115</v>
      </c>
      <c r="G88" t="s">
        <v>3710</v>
      </c>
      <c r="H88">
        <v>3</v>
      </c>
      <c r="I88" t="s">
        <v>6043</v>
      </c>
      <c r="J88">
        <v>11233</v>
      </c>
      <c r="K88" t="s">
        <v>6074</v>
      </c>
      <c r="L88" t="s">
        <v>6074</v>
      </c>
      <c r="M88" t="s">
        <v>6133</v>
      </c>
      <c r="N88" t="s">
        <v>7276</v>
      </c>
      <c r="O88" t="s">
        <v>7308</v>
      </c>
      <c r="P88" t="s">
        <v>7317</v>
      </c>
      <c r="Q88" t="s">
        <v>7322</v>
      </c>
      <c r="S88" t="s">
        <v>7324</v>
      </c>
      <c r="U88" t="s">
        <v>289</v>
      </c>
      <c r="V88">
        <v>0</v>
      </c>
      <c r="W88" t="s">
        <v>7362</v>
      </c>
      <c r="Y88" t="s">
        <v>7394</v>
      </c>
      <c r="Z88" t="s">
        <v>7478</v>
      </c>
      <c r="AB88" t="s">
        <v>10343</v>
      </c>
      <c r="AC88">
        <v>3</v>
      </c>
      <c r="AF88">
        <v>0</v>
      </c>
      <c r="AG88">
        <v>2</v>
      </c>
      <c r="AH88">
        <v>2</v>
      </c>
      <c r="AI88">
        <v>0</v>
      </c>
      <c r="AL88" t="s">
        <v>12460</v>
      </c>
      <c r="AM88">
        <v>0</v>
      </c>
      <c r="AS88">
        <v>5.25</v>
      </c>
      <c r="AT88" t="s">
        <v>313</v>
      </c>
      <c r="AU88" t="s">
        <v>153</v>
      </c>
    </row>
    <row r="89" spans="1:47">
      <c r="A89" s="1">
        <f>HYPERLINK("https://cms.ls-nyc.org/matter/dynamic-profile/view/1876969","18-1876969")</f>
        <v>0</v>
      </c>
      <c r="B89" t="s">
        <v>77</v>
      </c>
      <c r="C89" t="s">
        <v>290</v>
      </c>
      <c r="D89" t="s">
        <v>266</v>
      </c>
      <c r="E89" t="s">
        <v>640</v>
      </c>
      <c r="F89" t="s">
        <v>2116</v>
      </c>
      <c r="G89" t="s">
        <v>3711</v>
      </c>
      <c r="H89" t="s">
        <v>5389</v>
      </c>
      <c r="I89" t="s">
        <v>6043</v>
      </c>
      <c r="J89">
        <v>11233</v>
      </c>
      <c r="K89" t="s">
        <v>6074</v>
      </c>
      <c r="L89" t="s">
        <v>6074</v>
      </c>
      <c r="M89" t="s">
        <v>6134</v>
      </c>
      <c r="N89" t="s">
        <v>7276</v>
      </c>
      <c r="O89" t="s">
        <v>7306</v>
      </c>
      <c r="P89" t="s">
        <v>7314</v>
      </c>
      <c r="Q89" t="s">
        <v>7322</v>
      </c>
      <c r="S89" t="s">
        <v>7324</v>
      </c>
      <c r="U89" t="s">
        <v>290</v>
      </c>
      <c r="V89">
        <v>800</v>
      </c>
      <c r="W89" t="s">
        <v>7362</v>
      </c>
      <c r="X89" t="s">
        <v>7368</v>
      </c>
      <c r="Y89" t="s">
        <v>7386</v>
      </c>
      <c r="Z89" t="s">
        <v>7479</v>
      </c>
      <c r="AB89" t="s">
        <v>10344</v>
      </c>
      <c r="AC89">
        <v>3</v>
      </c>
      <c r="AE89" t="s">
        <v>12433</v>
      </c>
      <c r="AF89">
        <v>5</v>
      </c>
      <c r="AG89">
        <v>1</v>
      </c>
      <c r="AH89">
        <v>0</v>
      </c>
      <c r="AI89">
        <v>0</v>
      </c>
      <c r="AL89" t="s">
        <v>12460</v>
      </c>
      <c r="AM89">
        <v>0</v>
      </c>
      <c r="AS89">
        <v>5</v>
      </c>
      <c r="AT89" t="s">
        <v>256</v>
      </c>
      <c r="AU89" t="s">
        <v>13085</v>
      </c>
    </row>
    <row r="90" spans="1:47">
      <c r="A90" s="1">
        <f>HYPERLINK("https://cms.ls-nyc.org/matter/dynamic-profile/view/1877819","18-1877819")</f>
        <v>0</v>
      </c>
      <c r="B90" t="s">
        <v>77</v>
      </c>
      <c r="C90" t="s">
        <v>291</v>
      </c>
      <c r="E90" t="s">
        <v>580</v>
      </c>
      <c r="F90" t="s">
        <v>2117</v>
      </c>
      <c r="G90" t="s">
        <v>3712</v>
      </c>
      <c r="H90" t="s">
        <v>5390</v>
      </c>
      <c r="I90" t="s">
        <v>6043</v>
      </c>
      <c r="J90">
        <v>11233</v>
      </c>
      <c r="K90" t="s">
        <v>6074</v>
      </c>
      <c r="L90" t="s">
        <v>6074</v>
      </c>
      <c r="M90" t="s">
        <v>6135</v>
      </c>
      <c r="N90" t="s">
        <v>7276</v>
      </c>
      <c r="O90" t="s">
        <v>7308</v>
      </c>
      <c r="Q90" t="s">
        <v>7322</v>
      </c>
      <c r="S90" t="s">
        <v>7324</v>
      </c>
      <c r="U90" t="s">
        <v>432</v>
      </c>
      <c r="V90">
        <v>736</v>
      </c>
      <c r="W90" t="s">
        <v>7362</v>
      </c>
      <c r="X90" t="s">
        <v>7366</v>
      </c>
      <c r="Z90" t="s">
        <v>7480</v>
      </c>
      <c r="AA90" t="s">
        <v>9872</v>
      </c>
      <c r="AB90" t="s">
        <v>10345</v>
      </c>
      <c r="AC90">
        <v>7</v>
      </c>
      <c r="AE90" t="s">
        <v>12433</v>
      </c>
      <c r="AF90">
        <v>1</v>
      </c>
      <c r="AG90">
        <v>1</v>
      </c>
      <c r="AH90">
        <v>1</v>
      </c>
      <c r="AI90">
        <v>0</v>
      </c>
      <c r="AL90" t="s">
        <v>12460</v>
      </c>
      <c r="AM90">
        <v>0</v>
      </c>
      <c r="AS90">
        <v>35.3</v>
      </c>
      <c r="AT90" t="s">
        <v>313</v>
      </c>
      <c r="AU90" t="s">
        <v>13082</v>
      </c>
    </row>
    <row r="91" spans="1:47">
      <c r="A91" s="1">
        <f>HYPERLINK("https://cms.ls-nyc.org/matter/dynamic-profile/view/1877823","18-1877823")</f>
        <v>0</v>
      </c>
      <c r="B91" t="s">
        <v>77</v>
      </c>
      <c r="C91" t="s">
        <v>291</v>
      </c>
      <c r="E91" t="s">
        <v>580</v>
      </c>
      <c r="F91" t="s">
        <v>2117</v>
      </c>
      <c r="G91" t="s">
        <v>3712</v>
      </c>
      <c r="H91" t="s">
        <v>5390</v>
      </c>
      <c r="I91" t="s">
        <v>6043</v>
      </c>
      <c r="J91">
        <v>11233</v>
      </c>
      <c r="K91" t="s">
        <v>6074</v>
      </c>
      <c r="L91" t="s">
        <v>6074</v>
      </c>
      <c r="M91" t="s">
        <v>6135</v>
      </c>
      <c r="N91" t="s">
        <v>7276</v>
      </c>
      <c r="O91" t="s">
        <v>7308</v>
      </c>
      <c r="Q91" t="s">
        <v>7322</v>
      </c>
      <c r="S91" t="s">
        <v>7327</v>
      </c>
      <c r="U91" t="s">
        <v>291</v>
      </c>
      <c r="V91">
        <v>736</v>
      </c>
      <c r="W91" t="s">
        <v>7362</v>
      </c>
      <c r="X91" t="s">
        <v>7366</v>
      </c>
      <c r="Z91" t="s">
        <v>7480</v>
      </c>
      <c r="AA91" t="s">
        <v>9872</v>
      </c>
      <c r="AB91" t="s">
        <v>10345</v>
      </c>
      <c r="AC91">
        <v>0</v>
      </c>
      <c r="AE91" t="s">
        <v>12433</v>
      </c>
      <c r="AF91">
        <v>1</v>
      </c>
      <c r="AG91">
        <v>1</v>
      </c>
      <c r="AH91">
        <v>1</v>
      </c>
      <c r="AI91">
        <v>0</v>
      </c>
      <c r="AL91" t="s">
        <v>12460</v>
      </c>
      <c r="AM91">
        <v>0</v>
      </c>
      <c r="AS91">
        <v>0.2</v>
      </c>
      <c r="AT91" t="s">
        <v>291</v>
      </c>
      <c r="AU91" t="s">
        <v>13082</v>
      </c>
    </row>
    <row r="92" spans="1:47">
      <c r="A92" s="1">
        <f>HYPERLINK("https://cms.ls-nyc.org/matter/dynamic-profile/view/1888395","19-1888395")</f>
        <v>0</v>
      </c>
      <c r="B92" t="s">
        <v>68</v>
      </c>
      <c r="C92" t="s">
        <v>292</v>
      </c>
      <c r="D92" t="s">
        <v>259</v>
      </c>
      <c r="E92" t="s">
        <v>641</v>
      </c>
      <c r="F92" t="s">
        <v>2118</v>
      </c>
      <c r="G92" t="s">
        <v>3713</v>
      </c>
      <c r="H92" t="s">
        <v>5391</v>
      </c>
      <c r="I92" t="s">
        <v>6043</v>
      </c>
      <c r="J92">
        <v>11233</v>
      </c>
      <c r="K92" t="s">
        <v>6074</v>
      </c>
      <c r="L92" t="s">
        <v>6074</v>
      </c>
      <c r="M92" t="s">
        <v>6136</v>
      </c>
      <c r="N92" t="s">
        <v>7276</v>
      </c>
      <c r="O92" t="s">
        <v>7306</v>
      </c>
      <c r="P92" t="s">
        <v>7314</v>
      </c>
      <c r="Q92" t="s">
        <v>7322</v>
      </c>
      <c r="R92" t="s">
        <v>6076</v>
      </c>
      <c r="S92" t="s">
        <v>7324</v>
      </c>
      <c r="U92" t="s">
        <v>259</v>
      </c>
      <c r="V92">
        <v>2400</v>
      </c>
      <c r="W92" t="s">
        <v>7362</v>
      </c>
      <c r="X92" t="s">
        <v>7373</v>
      </c>
      <c r="Y92" t="s">
        <v>7386</v>
      </c>
      <c r="Z92" t="s">
        <v>7481</v>
      </c>
      <c r="AA92" t="s">
        <v>9873</v>
      </c>
      <c r="AB92" t="s">
        <v>10346</v>
      </c>
      <c r="AC92">
        <v>119</v>
      </c>
      <c r="AD92" t="s">
        <v>12424</v>
      </c>
      <c r="AF92">
        <v>1</v>
      </c>
      <c r="AG92">
        <v>1</v>
      </c>
      <c r="AH92">
        <v>1</v>
      </c>
      <c r="AI92">
        <v>0</v>
      </c>
      <c r="AK92" t="s">
        <v>12456</v>
      </c>
      <c r="AL92" t="s">
        <v>12460</v>
      </c>
      <c r="AM92">
        <v>0</v>
      </c>
      <c r="AS92">
        <v>3.5</v>
      </c>
      <c r="AT92" t="s">
        <v>284</v>
      </c>
      <c r="AU92" t="s">
        <v>13086</v>
      </c>
    </row>
    <row r="93" spans="1:47">
      <c r="A93" s="1">
        <f>HYPERLINK("https://cms.ls-nyc.org/matter/dynamic-profile/view/1893152","19-1893152")</f>
        <v>0</v>
      </c>
      <c r="B93" t="s">
        <v>71</v>
      </c>
      <c r="C93" t="s">
        <v>293</v>
      </c>
      <c r="D93" t="s">
        <v>361</v>
      </c>
      <c r="E93" t="s">
        <v>642</v>
      </c>
      <c r="F93" t="s">
        <v>2119</v>
      </c>
      <c r="G93" t="s">
        <v>3714</v>
      </c>
      <c r="H93">
        <v>2</v>
      </c>
      <c r="I93" t="s">
        <v>6043</v>
      </c>
      <c r="J93">
        <v>11233</v>
      </c>
      <c r="K93" t="s">
        <v>6074</v>
      </c>
      <c r="L93" t="s">
        <v>6074</v>
      </c>
      <c r="M93" t="s">
        <v>6137</v>
      </c>
      <c r="N93" t="s">
        <v>7276</v>
      </c>
      <c r="O93" t="s">
        <v>7307</v>
      </c>
      <c r="P93" t="s">
        <v>7315</v>
      </c>
      <c r="Q93" t="s">
        <v>7322</v>
      </c>
      <c r="R93" t="s">
        <v>6076</v>
      </c>
      <c r="S93" t="s">
        <v>7324</v>
      </c>
      <c r="U93" t="s">
        <v>332</v>
      </c>
      <c r="V93">
        <v>2400</v>
      </c>
      <c r="W93" t="s">
        <v>7362</v>
      </c>
      <c r="X93" t="s">
        <v>7366</v>
      </c>
      <c r="Y93" t="s">
        <v>7386</v>
      </c>
      <c r="Z93" t="s">
        <v>7482</v>
      </c>
      <c r="AB93" t="s">
        <v>10347</v>
      </c>
      <c r="AC93">
        <v>3</v>
      </c>
      <c r="AD93" t="s">
        <v>12419</v>
      </c>
      <c r="AE93" t="s">
        <v>6110</v>
      </c>
      <c r="AF93">
        <v>2</v>
      </c>
      <c r="AG93">
        <v>3</v>
      </c>
      <c r="AH93">
        <v>1</v>
      </c>
      <c r="AI93">
        <v>0</v>
      </c>
      <c r="AL93" t="s">
        <v>12460</v>
      </c>
      <c r="AM93">
        <v>0</v>
      </c>
      <c r="AS93">
        <v>1.5</v>
      </c>
      <c r="AT93" t="s">
        <v>235</v>
      </c>
      <c r="AU93" t="s">
        <v>180</v>
      </c>
    </row>
    <row r="94" spans="1:47">
      <c r="A94" s="1">
        <f>HYPERLINK("https://cms.ls-nyc.org/matter/dynamic-profile/view/1898924","19-1898924")</f>
        <v>0</v>
      </c>
      <c r="B94" t="s">
        <v>48</v>
      </c>
      <c r="C94" t="s">
        <v>294</v>
      </c>
      <c r="E94" t="s">
        <v>643</v>
      </c>
      <c r="F94" t="s">
        <v>2120</v>
      </c>
      <c r="G94" t="s">
        <v>3715</v>
      </c>
      <c r="H94" t="s">
        <v>5390</v>
      </c>
      <c r="I94" t="s">
        <v>6043</v>
      </c>
      <c r="J94">
        <v>11233</v>
      </c>
      <c r="K94" t="s">
        <v>6074</v>
      </c>
      <c r="L94" t="s">
        <v>6074</v>
      </c>
      <c r="M94" t="s">
        <v>6138</v>
      </c>
      <c r="N94" t="s">
        <v>7280</v>
      </c>
      <c r="O94" t="s">
        <v>7309</v>
      </c>
      <c r="Q94" t="s">
        <v>7322</v>
      </c>
      <c r="R94" t="s">
        <v>6076</v>
      </c>
      <c r="S94" t="s">
        <v>7324</v>
      </c>
      <c r="T94" t="s">
        <v>7336</v>
      </c>
      <c r="U94" t="s">
        <v>393</v>
      </c>
      <c r="V94">
        <v>0</v>
      </c>
      <c r="W94" t="s">
        <v>7362</v>
      </c>
      <c r="X94" t="s">
        <v>7366</v>
      </c>
      <c r="Z94" t="s">
        <v>7483</v>
      </c>
      <c r="AA94" t="s">
        <v>9874</v>
      </c>
      <c r="AB94" t="s">
        <v>9856</v>
      </c>
      <c r="AC94">
        <v>17</v>
      </c>
      <c r="AD94" t="s">
        <v>12422</v>
      </c>
      <c r="AE94" t="s">
        <v>12438</v>
      </c>
      <c r="AF94">
        <v>2</v>
      </c>
      <c r="AG94">
        <v>3</v>
      </c>
      <c r="AH94">
        <v>3</v>
      </c>
      <c r="AI94">
        <v>0</v>
      </c>
      <c r="AL94" t="s">
        <v>12460</v>
      </c>
      <c r="AM94">
        <v>0</v>
      </c>
      <c r="AS94">
        <v>1</v>
      </c>
      <c r="AT94" t="s">
        <v>294</v>
      </c>
      <c r="AU94" t="s">
        <v>48</v>
      </c>
    </row>
    <row r="95" spans="1:47">
      <c r="A95" s="1">
        <f>HYPERLINK("https://cms.ls-nyc.org/matter/dynamic-profile/view/1875110","18-1875110")</f>
        <v>0</v>
      </c>
      <c r="B95" t="s">
        <v>81</v>
      </c>
      <c r="C95" t="s">
        <v>295</v>
      </c>
      <c r="E95" t="s">
        <v>644</v>
      </c>
      <c r="F95" t="s">
        <v>2121</v>
      </c>
      <c r="G95" t="s">
        <v>3716</v>
      </c>
      <c r="H95" t="s">
        <v>5392</v>
      </c>
      <c r="I95" t="s">
        <v>6043</v>
      </c>
      <c r="J95">
        <v>11231</v>
      </c>
      <c r="K95" t="s">
        <v>6074</v>
      </c>
      <c r="L95" t="s">
        <v>6074</v>
      </c>
      <c r="N95" t="s">
        <v>7276</v>
      </c>
      <c r="O95" t="s">
        <v>7308</v>
      </c>
      <c r="Q95" t="s">
        <v>7322</v>
      </c>
      <c r="R95" t="s">
        <v>6076</v>
      </c>
      <c r="S95" t="s">
        <v>7324</v>
      </c>
      <c r="U95" t="s">
        <v>502</v>
      </c>
      <c r="V95">
        <v>0</v>
      </c>
      <c r="W95" t="s">
        <v>7362</v>
      </c>
      <c r="Z95" t="s">
        <v>7484</v>
      </c>
      <c r="AA95" t="s">
        <v>9875</v>
      </c>
      <c r="AB95" t="s">
        <v>10348</v>
      </c>
      <c r="AC95">
        <v>10</v>
      </c>
      <c r="AF95">
        <v>0</v>
      </c>
      <c r="AG95">
        <v>4</v>
      </c>
      <c r="AH95">
        <v>1</v>
      </c>
      <c r="AI95">
        <v>0</v>
      </c>
      <c r="AL95" t="s">
        <v>12460</v>
      </c>
      <c r="AM95">
        <v>0</v>
      </c>
      <c r="AN95" t="s">
        <v>12499</v>
      </c>
      <c r="AS95">
        <v>27.8</v>
      </c>
      <c r="AT95" t="s">
        <v>277</v>
      </c>
      <c r="AU95" t="s">
        <v>69</v>
      </c>
    </row>
    <row r="96" spans="1:47">
      <c r="A96" s="1">
        <f>HYPERLINK("https://cms.ls-nyc.org/matter/dynamic-profile/view/1882667","18-1882667")</f>
        <v>0</v>
      </c>
      <c r="B96" t="s">
        <v>69</v>
      </c>
      <c r="C96" t="s">
        <v>296</v>
      </c>
      <c r="D96" t="s">
        <v>254</v>
      </c>
      <c r="E96" t="s">
        <v>644</v>
      </c>
      <c r="F96" t="s">
        <v>2121</v>
      </c>
      <c r="G96" t="s">
        <v>3716</v>
      </c>
      <c r="H96" t="s">
        <v>5392</v>
      </c>
      <c r="I96" t="s">
        <v>6043</v>
      </c>
      <c r="J96">
        <v>11231</v>
      </c>
      <c r="K96" t="s">
        <v>6074</v>
      </c>
      <c r="L96" t="s">
        <v>6074</v>
      </c>
      <c r="N96" t="s">
        <v>7281</v>
      </c>
      <c r="O96" t="s">
        <v>7309</v>
      </c>
      <c r="P96" t="s">
        <v>7315</v>
      </c>
      <c r="Q96" t="s">
        <v>7322</v>
      </c>
      <c r="S96" t="s">
        <v>7324</v>
      </c>
      <c r="U96" t="s">
        <v>296</v>
      </c>
      <c r="V96">
        <v>0</v>
      </c>
      <c r="W96" t="s">
        <v>7362</v>
      </c>
      <c r="Y96" t="s">
        <v>7394</v>
      </c>
      <c r="Z96" t="s">
        <v>7484</v>
      </c>
      <c r="AA96" t="s">
        <v>9875</v>
      </c>
      <c r="AB96" t="s">
        <v>10348</v>
      </c>
      <c r="AC96">
        <v>10</v>
      </c>
      <c r="AF96">
        <v>0</v>
      </c>
      <c r="AG96">
        <v>4</v>
      </c>
      <c r="AH96">
        <v>1</v>
      </c>
      <c r="AI96">
        <v>0</v>
      </c>
      <c r="AL96" t="s">
        <v>12460</v>
      </c>
      <c r="AM96">
        <v>0</v>
      </c>
      <c r="AS96">
        <v>1.1</v>
      </c>
      <c r="AT96" t="s">
        <v>254</v>
      </c>
      <c r="AU96" t="s">
        <v>69</v>
      </c>
    </row>
    <row r="97" spans="1:48">
      <c r="A97" s="1">
        <f>HYPERLINK("https://cms.ls-nyc.org/matter/dynamic-profile/view/1884282","18-1884282")</f>
        <v>0</v>
      </c>
      <c r="B97" t="s">
        <v>69</v>
      </c>
      <c r="C97" t="s">
        <v>297</v>
      </c>
      <c r="E97" t="s">
        <v>645</v>
      </c>
      <c r="F97" t="s">
        <v>2122</v>
      </c>
      <c r="G97" t="s">
        <v>3717</v>
      </c>
      <c r="H97" t="s">
        <v>5393</v>
      </c>
      <c r="I97" t="s">
        <v>6043</v>
      </c>
      <c r="J97">
        <v>11231</v>
      </c>
      <c r="K97" t="s">
        <v>6076</v>
      </c>
      <c r="L97" t="s">
        <v>6076</v>
      </c>
      <c r="O97" t="s">
        <v>7309</v>
      </c>
      <c r="Q97" t="s">
        <v>7322</v>
      </c>
      <c r="S97" t="s">
        <v>7324</v>
      </c>
      <c r="U97" t="s">
        <v>7343</v>
      </c>
      <c r="V97">
        <v>0</v>
      </c>
      <c r="W97" t="s">
        <v>7362</v>
      </c>
      <c r="Z97" t="s">
        <v>7485</v>
      </c>
      <c r="AB97" t="s">
        <v>10349</v>
      </c>
      <c r="AC97">
        <v>0</v>
      </c>
      <c r="AF97">
        <v>0</v>
      </c>
      <c r="AG97">
        <v>2</v>
      </c>
      <c r="AH97">
        <v>0</v>
      </c>
      <c r="AI97">
        <v>0</v>
      </c>
      <c r="AL97" t="s">
        <v>12460</v>
      </c>
      <c r="AM97">
        <v>0</v>
      </c>
      <c r="AS97">
        <v>1.8</v>
      </c>
      <c r="AT97" t="s">
        <v>294</v>
      </c>
      <c r="AU97" t="s">
        <v>69</v>
      </c>
    </row>
    <row r="98" spans="1:48">
      <c r="A98" s="1">
        <f>HYPERLINK("https://cms.ls-nyc.org/matter/dynamic-profile/view/1881592","18-1881592")</f>
        <v>0</v>
      </c>
      <c r="B98" t="s">
        <v>82</v>
      </c>
      <c r="C98" t="s">
        <v>298</v>
      </c>
      <c r="D98" t="s">
        <v>492</v>
      </c>
      <c r="E98" t="s">
        <v>646</v>
      </c>
      <c r="F98" t="s">
        <v>2123</v>
      </c>
      <c r="G98" t="s">
        <v>3718</v>
      </c>
      <c r="H98" t="s">
        <v>5394</v>
      </c>
      <c r="I98" t="s">
        <v>6043</v>
      </c>
      <c r="J98">
        <v>11230</v>
      </c>
      <c r="K98" t="s">
        <v>6074</v>
      </c>
      <c r="L98" t="s">
        <v>6074</v>
      </c>
      <c r="N98" t="s">
        <v>7275</v>
      </c>
      <c r="O98" t="s">
        <v>7309</v>
      </c>
      <c r="P98" t="s">
        <v>7315</v>
      </c>
      <c r="Q98" t="s">
        <v>7322</v>
      </c>
      <c r="R98" t="s">
        <v>6074</v>
      </c>
      <c r="S98" t="s">
        <v>7324</v>
      </c>
      <c r="U98" t="s">
        <v>464</v>
      </c>
      <c r="V98">
        <v>786.6</v>
      </c>
      <c r="W98" t="s">
        <v>7362</v>
      </c>
      <c r="Y98" t="s">
        <v>7394</v>
      </c>
      <c r="Z98" t="s">
        <v>7486</v>
      </c>
      <c r="AC98">
        <v>66</v>
      </c>
      <c r="AD98" t="s">
        <v>12422</v>
      </c>
      <c r="AF98">
        <v>42</v>
      </c>
      <c r="AG98">
        <v>2</v>
      </c>
      <c r="AH98">
        <v>0</v>
      </c>
      <c r="AI98">
        <v>0</v>
      </c>
      <c r="AL98" t="s">
        <v>12460</v>
      </c>
      <c r="AM98">
        <v>0</v>
      </c>
      <c r="AS98">
        <v>0.55</v>
      </c>
      <c r="AT98" t="s">
        <v>310</v>
      </c>
      <c r="AU98" t="s">
        <v>69</v>
      </c>
    </row>
    <row r="99" spans="1:48">
      <c r="A99" s="1">
        <f>HYPERLINK("https://cms.ls-nyc.org/matter/dynamic-profile/view/1881619","18-1881619")</f>
        <v>0</v>
      </c>
      <c r="B99" t="s">
        <v>82</v>
      </c>
      <c r="C99" t="s">
        <v>298</v>
      </c>
      <c r="D99" t="s">
        <v>492</v>
      </c>
      <c r="E99" t="s">
        <v>647</v>
      </c>
      <c r="F99" t="s">
        <v>2124</v>
      </c>
      <c r="G99" t="s">
        <v>3718</v>
      </c>
      <c r="H99" t="s">
        <v>5395</v>
      </c>
      <c r="I99" t="s">
        <v>6043</v>
      </c>
      <c r="J99">
        <v>11230</v>
      </c>
      <c r="K99" t="s">
        <v>6074</v>
      </c>
      <c r="L99" t="s">
        <v>6075</v>
      </c>
      <c r="N99" t="s">
        <v>7275</v>
      </c>
      <c r="O99" t="s">
        <v>7309</v>
      </c>
      <c r="P99" t="s">
        <v>7315</v>
      </c>
      <c r="Q99" t="s">
        <v>7322</v>
      </c>
      <c r="R99" t="s">
        <v>6074</v>
      </c>
      <c r="S99" t="s">
        <v>7324</v>
      </c>
      <c r="U99" t="s">
        <v>464</v>
      </c>
      <c r="V99">
        <v>1490</v>
      </c>
      <c r="W99" t="s">
        <v>7362</v>
      </c>
      <c r="Y99" t="s">
        <v>7394</v>
      </c>
      <c r="Z99" t="s">
        <v>7487</v>
      </c>
      <c r="AC99">
        <v>66</v>
      </c>
      <c r="AD99" t="s">
        <v>6322</v>
      </c>
      <c r="AF99">
        <v>5</v>
      </c>
      <c r="AG99">
        <v>4</v>
      </c>
      <c r="AH99">
        <v>0</v>
      </c>
      <c r="AI99">
        <v>0</v>
      </c>
      <c r="AL99" t="s">
        <v>12460</v>
      </c>
      <c r="AM99">
        <v>0</v>
      </c>
      <c r="AS99">
        <v>0.55</v>
      </c>
      <c r="AT99" t="s">
        <v>310</v>
      </c>
      <c r="AU99" t="s">
        <v>69</v>
      </c>
    </row>
    <row r="100" spans="1:48">
      <c r="A100" s="1">
        <f>HYPERLINK("https://cms.ls-nyc.org/matter/dynamic-profile/view/1881626","18-1881626")</f>
        <v>0</v>
      </c>
      <c r="B100" t="s">
        <v>82</v>
      </c>
      <c r="C100" t="s">
        <v>298</v>
      </c>
      <c r="D100" t="s">
        <v>492</v>
      </c>
      <c r="E100" t="s">
        <v>648</v>
      </c>
      <c r="F100" t="s">
        <v>2125</v>
      </c>
      <c r="G100" t="s">
        <v>3718</v>
      </c>
      <c r="H100" t="s">
        <v>5393</v>
      </c>
      <c r="I100" t="s">
        <v>6043</v>
      </c>
      <c r="J100">
        <v>11230</v>
      </c>
      <c r="K100" t="s">
        <v>6076</v>
      </c>
      <c r="L100" t="s">
        <v>6076</v>
      </c>
      <c r="N100" t="s">
        <v>7275</v>
      </c>
      <c r="O100" t="s">
        <v>7309</v>
      </c>
      <c r="P100" t="s">
        <v>7315</v>
      </c>
      <c r="Q100" t="s">
        <v>7322</v>
      </c>
      <c r="R100" t="s">
        <v>6074</v>
      </c>
      <c r="S100" t="s">
        <v>7324</v>
      </c>
      <c r="U100" t="s">
        <v>464</v>
      </c>
      <c r="V100">
        <v>1375</v>
      </c>
      <c r="W100" t="s">
        <v>7362</v>
      </c>
      <c r="Y100" t="s">
        <v>7394</v>
      </c>
      <c r="Z100" t="s">
        <v>7488</v>
      </c>
      <c r="AC100">
        <v>0</v>
      </c>
      <c r="AD100" t="s">
        <v>12422</v>
      </c>
      <c r="AF100">
        <v>10</v>
      </c>
      <c r="AG100">
        <v>5</v>
      </c>
      <c r="AH100">
        <v>0</v>
      </c>
      <c r="AI100">
        <v>0</v>
      </c>
      <c r="AL100" t="s">
        <v>12460</v>
      </c>
      <c r="AM100">
        <v>0</v>
      </c>
      <c r="AS100">
        <v>0.55</v>
      </c>
      <c r="AT100" t="s">
        <v>310</v>
      </c>
      <c r="AU100" t="s">
        <v>69</v>
      </c>
    </row>
    <row r="101" spans="1:48">
      <c r="A101" s="1">
        <f>HYPERLINK("https://cms.ls-nyc.org/matter/dynamic-profile/view/1879947","18-1879947")</f>
        <v>0</v>
      </c>
      <c r="B101" t="s">
        <v>69</v>
      </c>
      <c r="C101" t="s">
        <v>271</v>
      </c>
      <c r="E101" t="s">
        <v>649</v>
      </c>
      <c r="F101" t="s">
        <v>2126</v>
      </c>
      <c r="G101" t="s">
        <v>3719</v>
      </c>
      <c r="H101" t="s">
        <v>5396</v>
      </c>
      <c r="I101" t="s">
        <v>6043</v>
      </c>
      <c r="J101">
        <v>11230</v>
      </c>
      <c r="K101" t="s">
        <v>6074</v>
      </c>
      <c r="L101" t="s">
        <v>6074</v>
      </c>
      <c r="O101" t="s">
        <v>7307</v>
      </c>
      <c r="Q101" t="s">
        <v>7322</v>
      </c>
      <c r="R101" t="s">
        <v>6074</v>
      </c>
      <c r="S101" t="s">
        <v>7324</v>
      </c>
      <c r="U101" t="s">
        <v>271</v>
      </c>
      <c r="V101">
        <v>0</v>
      </c>
      <c r="W101" t="s">
        <v>7362</v>
      </c>
      <c r="Z101" t="s">
        <v>7489</v>
      </c>
      <c r="AC101">
        <v>51</v>
      </c>
      <c r="AF101">
        <v>0</v>
      </c>
      <c r="AG101">
        <v>2</v>
      </c>
      <c r="AH101">
        <v>0</v>
      </c>
      <c r="AI101">
        <v>0</v>
      </c>
      <c r="AL101" t="s">
        <v>12460</v>
      </c>
      <c r="AM101">
        <v>0</v>
      </c>
      <c r="AN101" t="s">
        <v>12500</v>
      </c>
      <c r="AS101">
        <v>0.6</v>
      </c>
      <c r="AT101" t="s">
        <v>260</v>
      </c>
      <c r="AU101" t="s">
        <v>69</v>
      </c>
    </row>
    <row r="102" spans="1:48">
      <c r="A102" s="1">
        <f>HYPERLINK("https://cms.ls-nyc.org/matter/dynamic-profile/view/1878570","18-1878570")</f>
        <v>0</v>
      </c>
      <c r="B102" t="s">
        <v>83</v>
      </c>
      <c r="C102" t="s">
        <v>299</v>
      </c>
      <c r="E102" t="s">
        <v>650</v>
      </c>
      <c r="F102" t="s">
        <v>2127</v>
      </c>
      <c r="G102" t="s">
        <v>3720</v>
      </c>
      <c r="H102" t="s">
        <v>5397</v>
      </c>
      <c r="I102" t="s">
        <v>6043</v>
      </c>
      <c r="J102">
        <v>11226</v>
      </c>
      <c r="K102" t="s">
        <v>6074</v>
      </c>
      <c r="L102" t="s">
        <v>6075</v>
      </c>
      <c r="N102" t="s">
        <v>7282</v>
      </c>
      <c r="O102" t="s">
        <v>7309</v>
      </c>
      <c r="Q102" t="s">
        <v>7322</v>
      </c>
      <c r="R102" t="s">
        <v>6076</v>
      </c>
      <c r="S102" t="s">
        <v>7324</v>
      </c>
      <c r="U102" t="s">
        <v>299</v>
      </c>
      <c r="V102">
        <v>1038</v>
      </c>
      <c r="W102" t="s">
        <v>7362</v>
      </c>
      <c r="X102" t="s">
        <v>7368</v>
      </c>
      <c r="Z102" t="s">
        <v>7490</v>
      </c>
      <c r="AB102" t="s">
        <v>10350</v>
      </c>
      <c r="AC102">
        <v>55</v>
      </c>
      <c r="AD102" t="s">
        <v>12422</v>
      </c>
      <c r="AF102">
        <v>28</v>
      </c>
      <c r="AG102">
        <v>2</v>
      </c>
      <c r="AH102">
        <v>2</v>
      </c>
      <c r="AI102">
        <v>0</v>
      </c>
      <c r="AL102" t="s">
        <v>12460</v>
      </c>
      <c r="AM102">
        <v>0</v>
      </c>
      <c r="AN102" t="s">
        <v>12501</v>
      </c>
      <c r="AS102">
        <v>34.8</v>
      </c>
      <c r="AT102" t="s">
        <v>269</v>
      </c>
      <c r="AU102" t="s">
        <v>13084</v>
      </c>
    </row>
    <row r="103" spans="1:48">
      <c r="A103" s="1">
        <f>HYPERLINK("https://cms.ls-nyc.org/matter/dynamic-profile/view/1884078","18-1884078")</f>
        <v>0</v>
      </c>
      <c r="B103" t="s">
        <v>70</v>
      </c>
      <c r="C103" t="s">
        <v>300</v>
      </c>
      <c r="E103" t="s">
        <v>651</v>
      </c>
      <c r="F103" t="s">
        <v>2128</v>
      </c>
      <c r="G103" t="s">
        <v>3721</v>
      </c>
      <c r="H103" t="s">
        <v>5390</v>
      </c>
      <c r="I103" t="s">
        <v>6043</v>
      </c>
      <c r="J103">
        <v>11226</v>
      </c>
      <c r="K103" t="s">
        <v>6076</v>
      </c>
      <c r="L103" t="s">
        <v>6074</v>
      </c>
      <c r="M103" t="s">
        <v>6139</v>
      </c>
      <c r="N103" t="s">
        <v>7279</v>
      </c>
      <c r="O103" t="s">
        <v>7311</v>
      </c>
      <c r="Q103" t="s">
        <v>7322</v>
      </c>
      <c r="R103" t="s">
        <v>6074</v>
      </c>
      <c r="S103" t="s">
        <v>7324</v>
      </c>
      <c r="T103" t="s">
        <v>7336</v>
      </c>
      <c r="U103" t="s">
        <v>300</v>
      </c>
      <c r="V103">
        <v>966.09</v>
      </c>
      <c r="W103" t="s">
        <v>7362</v>
      </c>
      <c r="X103" t="s">
        <v>7375</v>
      </c>
      <c r="Z103" t="s">
        <v>7491</v>
      </c>
      <c r="AC103">
        <v>43</v>
      </c>
      <c r="AD103" t="s">
        <v>12422</v>
      </c>
      <c r="AF103">
        <v>17</v>
      </c>
      <c r="AG103">
        <v>2</v>
      </c>
      <c r="AH103">
        <v>0</v>
      </c>
      <c r="AI103">
        <v>0</v>
      </c>
      <c r="AL103" t="s">
        <v>12460</v>
      </c>
      <c r="AM103">
        <v>0</v>
      </c>
      <c r="AO103" t="s">
        <v>12847</v>
      </c>
      <c r="AS103">
        <v>0.1</v>
      </c>
      <c r="AT103" t="s">
        <v>284</v>
      </c>
      <c r="AU103" t="s">
        <v>88</v>
      </c>
    </row>
    <row r="104" spans="1:48">
      <c r="A104" s="1">
        <f>HYPERLINK("https://cms.ls-nyc.org/matter/dynamic-profile/view/1889282","19-1889282")</f>
        <v>0</v>
      </c>
      <c r="B104" t="s">
        <v>75</v>
      </c>
      <c r="C104" t="s">
        <v>261</v>
      </c>
      <c r="E104" t="s">
        <v>651</v>
      </c>
      <c r="F104" t="s">
        <v>2128</v>
      </c>
      <c r="G104" t="s">
        <v>3721</v>
      </c>
      <c r="H104" t="s">
        <v>5390</v>
      </c>
      <c r="I104" t="s">
        <v>6043</v>
      </c>
      <c r="J104">
        <v>11226</v>
      </c>
      <c r="K104" t="s">
        <v>6076</v>
      </c>
      <c r="L104" t="s">
        <v>6074</v>
      </c>
      <c r="N104" t="s">
        <v>7279</v>
      </c>
      <c r="O104" t="s">
        <v>7311</v>
      </c>
      <c r="Q104" t="s">
        <v>7322</v>
      </c>
      <c r="S104" t="s">
        <v>7324</v>
      </c>
      <c r="U104" t="s">
        <v>267</v>
      </c>
      <c r="V104">
        <v>966.09</v>
      </c>
      <c r="W104" t="s">
        <v>7362</v>
      </c>
      <c r="Z104" t="s">
        <v>7491</v>
      </c>
      <c r="AC104">
        <v>0</v>
      </c>
      <c r="AF104">
        <v>17</v>
      </c>
      <c r="AG104">
        <v>2</v>
      </c>
      <c r="AH104">
        <v>0</v>
      </c>
      <c r="AI104">
        <v>0</v>
      </c>
      <c r="AL104" t="s">
        <v>12460</v>
      </c>
      <c r="AM104">
        <v>0</v>
      </c>
      <c r="AS104">
        <v>0</v>
      </c>
      <c r="AU104" t="s">
        <v>88</v>
      </c>
    </row>
    <row r="105" spans="1:48">
      <c r="A105" s="1">
        <f>HYPERLINK("https://cms.ls-nyc.org/matter/dynamic-profile/view/1889338","19-1889338")</f>
        <v>0</v>
      </c>
      <c r="B105" t="s">
        <v>75</v>
      </c>
      <c r="C105" t="s">
        <v>261</v>
      </c>
      <c r="E105" t="s">
        <v>586</v>
      </c>
      <c r="F105" t="s">
        <v>2084</v>
      </c>
      <c r="G105" t="s">
        <v>3721</v>
      </c>
      <c r="H105" t="s">
        <v>5373</v>
      </c>
      <c r="I105" t="s">
        <v>6043</v>
      </c>
      <c r="J105">
        <v>11226</v>
      </c>
      <c r="K105" t="s">
        <v>6076</v>
      </c>
      <c r="L105" t="s">
        <v>6074</v>
      </c>
      <c r="N105" t="s">
        <v>7279</v>
      </c>
      <c r="O105" t="s">
        <v>7311</v>
      </c>
      <c r="Q105" t="s">
        <v>7322</v>
      </c>
      <c r="R105" t="s">
        <v>6074</v>
      </c>
      <c r="S105" t="s">
        <v>7324</v>
      </c>
      <c r="U105" t="s">
        <v>267</v>
      </c>
      <c r="V105">
        <v>945.2</v>
      </c>
      <c r="W105" t="s">
        <v>7362</v>
      </c>
      <c r="Z105" t="s">
        <v>7492</v>
      </c>
      <c r="AC105">
        <v>0</v>
      </c>
      <c r="AF105">
        <v>20</v>
      </c>
      <c r="AG105">
        <v>1</v>
      </c>
      <c r="AH105">
        <v>0</v>
      </c>
      <c r="AI105">
        <v>0</v>
      </c>
      <c r="AL105" t="s">
        <v>12461</v>
      </c>
      <c r="AM105">
        <v>0</v>
      </c>
      <c r="AS105">
        <v>0</v>
      </c>
      <c r="AU105" t="s">
        <v>88</v>
      </c>
    </row>
    <row r="106" spans="1:48">
      <c r="A106" s="1">
        <f>HYPERLINK("https://cms.ls-nyc.org/matter/dynamic-profile/view/1889346","19-1889346")</f>
        <v>0</v>
      </c>
      <c r="B106" t="s">
        <v>75</v>
      </c>
      <c r="C106" t="s">
        <v>261</v>
      </c>
      <c r="E106" t="s">
        <v>652</v>
      </c>
      <c r="F106" t="s">
        <v>1894</v>
      </c>
      <c r="G106" t="s">
        <v>3721</v>
      </c>
      <c r="H106" t="s">
        <v>5398</v>
      </c>
      <c r="I106" t="s">
        <v>6043</v>
      </c>
      <c r="J106">
        <v>11226</v>
      </c>
      <c r="K106" t="s">
        <v>6076</v>
      </c>
      <c r="L106" t="s">
        <v>6074</v>
      </c>
      <c r="N106" t="s">
        <v>7279</v>
      </c>
      <c r="O106" t="s">
        <v>7309</v>
      </c>
      <c r="Q106" t="s">
        <v>7322</v>
      </c>
      <c r="R106" t="s">
        <v>6074</v>
      </c>
      <c r="S106" t="s">
        <v>7324</v>
      </c>
      <c r="U106" t="s">
        <v>267</v>
      </c>
      <c r="V106">
        <v>820</v>
      </c>
      <c r="W106" t="s">
        <v>7362</v>
      </c>
      <c r="Z106" t="s">
        <v>7493</v>
      </c>
      <c r="AC106">
        <v>0</v>
      </c>
      <c r="AF106">
        <v>32</v>
      </c>
      <c r="AG106">
        <v>4</v>
      </c>
      <c r="AH106">
        <v>2</v>
      </c>
      <c r="AI106">
        <v>0</v>
      </c>
      <c r="AL106" t="s">
        <v>12460</v>
      </c>
      <c r="AM106">
        <v>0</v>
      </c>
      <c r="AS106">
        <v>0</v>
      </c>
      <c r="AU106" t="s">
        <v>88</v>
      </c>
    </row>
    <row r="107" spans="1:48">
      <c r="A107" s="1">
        <f>HYPERLINK("https://cms.ls-nyc.org/matter/dynamic-profile/view/1875936","18-1875936")</f>
        <v>0</v>
      </c>
      <c r="B107" t="s">
        <v>70</v>
      </c>
      <c r="C107" t="s">
        <v>301</v>
      </c>
      <c r="E107" t="s">
        <v>650</v>
      </c>
      <c r="F107" t="s">
        <v>2127</v>
      </c>
      <c r="G107" t="s">
        <v>3720</v>
      </c>
      <c r="H107" t="s">
        <v>5397</v>
      </c>
      <c r="I107" t="s">
        <v>6043</v>
      </c>
      <c r="J107">
        <v>11226</v>
      </c>
      <c r="K107" t="s">
        <v>6074</v>
      </c>
      <c r="L107" t="s">
        <v>6074</v>
      </c>
      <c r="M107" t="s">
        <v>6140</v>
      </c>
      <c r="N107" t="s">
        <v>7273</v>
      </c>
      <c r="O107" t="s">
        <v>7308</v>
      </c>
      <c r="Q107" t="s">
        <v>7322</v>
      </c>
      <c r="R107" t="s">
        <v>6074</v>
      </c>
      <c r="S107" t="s">
        <v>7324</v>
      </c>
      <c r="T107" t="s">
        <v>7336</v>
      </c>
      <c r="U107" t="s">
        <v>354</v>
      </c>
      <c r="V107">
        <v>1031.15</v>
      </c>
      <c r="W107" t="s">
        <v>7362</v>
      </c>
      <c r="X107" t="s">
        <v>7376</v>
      </c>
      <c r="Z107" t="s">
        <v>7490</v>
      </c>
      <c r="AB107" t="s">
        <v>10350</v>
      </c>
      <c r="AC107">
        <v>55</v>
      </c>
      <c r="AD107" t="s">
        <v>12422</v>
      </c>
      <c r="AF107">
        <v>28</v>
      </c>
      <c r="AG107">
        <v>2</v>
      </c>
      <c r="AH107">
        <v>2</v>
      </c>
      <c r="AI107">
        <v>0</v>
      </c>
      <c r="AL107" t="s">
        <v>12460</v>
      </c>
      <c r="AM107">
        <v>0</v>
      </c>
      <c r="AO107" t="s">
        <v>12849</v>
      </c>
      <c r="AP107" t="s">
        <v>12861</v>
      </c>
      <c r="AQ107" t="s">
        <v>12909</v>
      </c>
      <c r="AS107">
        <v>223.15</v>
      </c>
      <c r="AT107" t="s">
        <v>294</v>
      </c>
      <c r="AU107" t="s">
        <v>70</v>
      </c>
    </row>
    <row r="108" spans="1:48">
      <c r="A108" s="1">
        <f>HYPERLINK("https://cms.ls-nyc.org/matter/dynamic-profile/view/1896386","19-1896386")</f>
        <v>0</v>
      </c>
      <c r="B108" t="s">
        <v>84</v>
      </c>
      <c r="C108" t="s">
        <v>302</v>
      </c>
      <c r="E108" t="s">
        <v>653</v>
      </c>
      <c r="F108" t="s">
        <v>1017</v>
      </c>
      <c r="G108" t="s">
        <v>3722</v>
      </c>
      <c r="H108">
        <v>8</v>
      </c>
      <c r="I108" t="s">
        <v>6043</v>
      </c>
      <c r="J108">
        <v>11226</v>
      </c>
      <c r="K108" t="s">
        <v>6074</v>
      </c>
      <c r="L108" t="s">
        <v>6076</v>
      </c>
      <c r="N108" t="s">
        <v>7273</v>
      </c>
      <c r="O108" t="s">
        <v>7307</v>
      </c>
      <c r="Q108" t="s">
        <v>7322</v>
      </c>
      <c r="R108" t="s">
        <v>6074</v>
      </c>
      <c r="S108" t="s">
        <v>7324</v>
      </c>
      <c r="U108" t="s">
        <v>270</v>
      </c>
      <c r="V108">
        <v>0</v>
      </c>
      <c r="W108" t="s">
        <v>7362</v>
      </c>
      <c r="Z108" t="s">
        <v>7467</v>
      </c>
      <c r="AC108">
        <v>0</v>
      </c>
      <c r="AF108">
        <v>0</v>
      </c>
      <c r="AG108">
        <v>2</v>
      </c>
      <c r="AH108">
        <v>1</v>
      </c>
      <c r="AI108">
        <v>0</v>
      </c>
      <c r="AL108" t="s">
        <v>12460</v>
      </c>
      <c r="AM108">
        <v>0</v>
      </c>
      <c r="AS108">
        <v>0.5</v>
      </c>
      <c r="AT108" t="s">
        <v>302</v>
      </c>
      <c r="AU108" t="s">
        <v>69</v>
      </c>
    </row>
    <row r="109" spans="1:48">
      <c r="A109" s="1">
        <f>HYPERLINK("https://cms.ls-nyc.org/matter/dynamic-profile/view/1879880","18-1879880")</f>
        <v>0</v>
      </c>
      <c r="B109" t="s">
        <v>69</v>
      </c>
      <c r="C109" t="s">
        <v>271</v>
      </c>
      <c r="E109" t="s">
        <v>654</v>
      </c>
      <c r="F109" t="s">
        <v>2129</v>
      </c>
      <c r="G109" t="s">
        <v>3723</v>
      </c>
      <c r="I109" t="s">
        <v>6043</v>
      </c>
      <c r="J109">
        <v>11226</v>
      </c>
      <c r="K109" t="s">
        <v>6074</v>
      </c>
      <c r="L109" t="s">
        <v>6074</v>
      </c>
      <c r="N109" t="s">
        <v>7275</v>
      </c>
      <c r="O109" t="s">
        <v>7309</v>
      </c>
      <c r="Q109" t="s">
        <v>7322</v>
      </c>
      <c r="S109" t="s">
        <v>7324</v>
      </c>
      <c r="U109" t="s">
        <v>271</v>
      </c>
      <c r="V109">
        <v>0</v>
      </c>
      <c r="W109" t="s">
        <v>7362</v>
      </c>
      <c r="Z109" t="s">
        <v>7494</v>
      </c>
      <c r="AB109" t="s">
        <v>10351</v>
      </c>
      <c r="AC109">
        <v>0</v>
      </c>
      <c r="AF109">
        <v>0</v>
      </c>
      <c r="AG109">
        <v>2</v>
      </c>
      <c r="AH109">
        <v>0</v>
      </c>
      <c r="AI109">
        <v>0</v>
      </c>
      <c r="AL109" t="s">
        <v>12460</v>
      </c>
      <c r="AM109">
        <v>0</v>
      </c>
      <c r="AS109">
        <v>4.3</v>
      </c>
      <c r="AT109" t="s">
        <v>269</v>
      </c>
      <c r="AU109" t="s">
        <v>69</v>
      </c>
    </row>
    <row r="110" spans="1:48">
      <c r="A110" s="1">
        <f>HYPERLINK("https://cms.ls-nyc.org/matter/dynamic-profile/view/1870934","18-1870934")</f>
        <v>0</v>
      </c>
      <c r="B110" t="s">
        <v>70</v>
      </c>
      <c r="C110" t="s">
        <v>303</v>
      </c>
      <c r="D110" t="s">
        <v>254</v>
      </c>
      <c r="E110" t="s">
        <v>655</v>
      </c>
      <c r="F110" t="s">
        <v>2130</v>
      </c>
      <c r="G110" t="s">
        <v>3724</v>
      </c>
      <c r="H110" t="s">
        <v>5399</v>
      </c>
      <c r="I110" t="s">
        <v>6043</v>
      </c>
      <c r="J110">
        <v>11226</v>
      </c>
      <c r="K110" t="s">
        <v>6074</v>
      </c>
      <c r="L110" t="s">
        <v>6074</v>
      </c>
      <c r="M110" t="s">
        <v>6141</v>
      </c>
      <c r="N110" t="s">
        <v>7276</v>
      </c>
      <c r="O110" t="s">
        <v>7308</v>
      </c>
      <c r="P110" t="s">
        <v>7316</v>
      </c>
      <c r="Q110" t="s">
        <v>7322</v>
      </c>
      <c r="R110" t="s">
        <v>6074</v>
      </c>
      <c r="S110" t="s">
        <v>7324</v>
      </c>
      <c r="T110" t="s">
        <v>7340</v>
      </c>
      <c r="U110" t="s">
        <v>231</v>
      </c>
      <c r="V110">
        <v>1293.81</v>
      </c>
      <c r="W110" t="s">
        <v>7362</v>
      </c>
      <c r="X110" t="s">
        <v>7368</v>
      </c>
      <c r="Y110" t="s">
        <v>7388</v>
      </c>
      <c r="Z110" t="s">
        <v>7495</v>
      </c>
      <c r="AA110" t="s">
        <v>9876</v>
      </c>
      <c r="AB110" t="s">
        <v>10352</v>
      </c>
      <c r="AC110">
        <v>34</v>
      </c>
      <c r="AD110" t="s">
        <v>12422</v>
      </c>
      <c r="AE110" t="s">
        <v>6110</v>
      </c>
      <c r="AF110">
        <v>12</v>
      </c>
      <c r="AG110">
        <v>2</v>
      </c>
      <c r="AH110">
        <v>0</v>
      </c>
      <c r="AI110">
        <v>0</v>
      </c>
      <c r="AL110" t="s">
        <v>12465</v>
      </c>
      <c r="AM110">
        <v>0</v>
      </c>
      <c r="AP110" t="s">
        <v>12862</v>
      </c>
      <c r="AQ110" t="s">
        <v>12909</v>
      </c>
      <c r="AR110" t="s">
        <v>12923</v>
      </c>
      <c r="AS110">
        <v>6</v>
      </c>
      <c r="AT110" t="s">
        <v>257</v>
      </c>
      <c r="AU110" t="s">
        <v>13087</v>
      </c>
      <c r="AV110" t="s">
        <v>13145</v>
      </c>
    </row>
    <row r="111" spans="1:48">
      <c r="A111" s="1">
        <f>HYPERLINK("https://cms.ls-nyc.org/matter/dynamic-profile/view/1872177","18-1872177")</f>
        <v>0</v>
      </c>
      <c r="B111" t="s">
        <v>71</v>
      </c>
      <c r="C111" t="s">
        <v>304</v>
      </c>
      <c r="E111" t="s">
        <v>656</v>
      </c>
      <c r="F111" t="s">
        <v>2131</v>
      </c>
      <c r="G111" t="s">
        <v>3725</v>
      </c>
      <c r="H111" t="s">
        <v>5400</v>
      </c>
      <c r="I111" t="s">
        <v>6043</v>
      </c>
      <c r="J111">
        <v>11226</v>
      </c>
      <c r="K111" t="s">
        <v>6074</v>
      </c>
      <c r="L111" t="s">
        <v>6074</v>
      </c>
      <c r="M111" t="s">
        <v>6142</v>
      </c>
      <c r="N111" t="s">
        <v>7276</v>
      </c>
      <c r="O111" t="s">
        <v>7308</v>
      </c>
      <c r="Q111" t="s">
        <v>7323</v>
      </c>
      <c r="R111" t="s">
        <v>6076</v>
      </c>
      <c r="S111" t="s">
        <v>7324</v>
      </c>
      <c r="U111" t="s">
        <v>304</v>
      </c>
      <c r="V111">
        <v>1850</v>
      </c>
      <c r="W111" t="s">
        <v>7362</v>
      </c>
      <c r="X111" t="s">
        <v>7369</v>
      </c>
      <c r="Z111" t="s">
        <v>7496</v>
      </c>
      <c r="AA111" t="s">
        <v>9877</v>
      </c>
      <c r="AB111" t="s">
        <v>10353</v>
      </c>
      <c r="AC111">
        <v>16</v>
      </c>
      <c r="AD111" t="s">
        <v>12422</v>
      </c>
      <c r="AF111">
        <v>10</v>
      </c>
      <c r="AG111">
        <v>1</v>
      </c>
      <c r="AH111">
        <v>0</v>
      </c>
      <c r="AI111">
        <v>0</v>
      </c>
      <c r="AJ111" t="s">
        <v>12443</v>
      </c>
      <c r="AK111" t="s">
        <v>12455</v>
      </c>
      <c r="AL111" t="s">
        <v>12460</v>
      </c>
      <c r="AM111">
        <v>0</v>
      </c>
      <c r="AS111">
        <v>35.7</v>
      </c>
      <c r="AT111" t="s">
        <v>526</v>
      </c>
      <c r="AU111" t="s">
        <v>13084</v>
      </c>
    </row>
    <row r="112" spans="1:48">
      <c r="A112" s="1">
        <f>HYPERLINK("https://cms.ls-nyc.org/matter/dynamic-profile/view/1877972","18-1877972")</f>
        <v>0</v>
      </c>
      <c r="B112" t="s">
        <v>85</v>
      </c>
      <c r="C112" t="s">
        <v>244</v>
      </c>
      <c r="D112" t="s">
        <v>412</v>
      </c>
      <c r="E112" t="s">
        <v>657</v>
      </c>
      <c r="F112" t="s">
        <v>1316</v>
      </c>
      <c r="G112" t="s">
        <v>3720</v>
      </c>
      <c r="H112" t="s">
        <v>5401</v>
      </c>
      <c r="I112" t="s">
        <v>6043</v>
      </c>
      <c r="J112">
        <v>11226</v>
      </c>
      <c r="K112" t="s">
        <v>6074</v>
      </c>
      <c r="L112" t="s">
        <v>6074</v>
      </c>
      <c r="M112" t="s">
        <v>6143</v>
      </c>
      <c r="N112" t="s">
        <v>7276</v>
      </c>
      <c r="O112" t="s">
        <v>7308</v>
      </c>
      <c r="P112" t="s">
        <v>7316</v>
      </c>
      <c r="Q112" t="s">
        <v>7322</v>
      </c>
      <c r="R112" t="s">
        <v>6076</v>
      </c>
      <c r="S112" t="s">
        <v>7324</v>
      </c>
      <c r="T112" t="s">
        <v>7339</v>
      </c>
      <c r="U112" t="s">
        <v>244</v>
      </c>
      <c r="V112">
        <v>1141.86</v>
      </c>
      <c r="W112" t="s">
        <v>7362</v>
      </c>
      <c r="Y112" t="s">
        <v>7388</v>
      </c>
      <c r="Z112" t="s">
        <v>7497</v>
      </c>
      <c r="AB112" t="s">
        <v>10354</v>
      </c>
      <c r="AC112">
        <v>0</v>
      </c>
      <c r="AD112" t="s">
        <v>12422</v>
      </c>
      <c r="AF112">
        <v>30</v>
      </c>
      <c r="AG112">
        <v>3</v>
      </c>
      <c r="AH112">
        <v>0</v>
      </c>
      <c r="AI112">
        <v>0</v>
      </c>
      <c r="AL112" t="s">
        <v>12465</v>
      </c>
      <c r="AM112">
        <v>0</v>
      </c>
      <c r="AP112" t="s">
        <v>12863</v>
      </c>
      <c r="AQ112" t="s">
        <v>12909</v>
      </c>
      <c r="AR112" t="s">
        <v>12924</v>
      </c>
      <c r="AS112">
        <v>18.9</v>
      </c>
      <c r="AT112" t="s">
        <v>245</v>
      </c>
      <c r="AU112" t="s">
        <v>69</v>
      </c>
    </row>
    <row r="113" spans="1:48">
      <c r="A113" s="1">
        <f>HYPERLINK("https://cms.ls-nyc.org/matter/dynamic-profile/view/1883811","18-1883811")</f>
        <v>0</v>
      </c>
      <c r="B113" t="s">
        <v>70</v>
      </c>
      <c r="C113" t="s">
        <v>305</v>
      </c>
      <c r="E113" t="s">
        <v>658</v>
      </c>
      <c r="F113" t="s">
        <v>2132</v>
      </c>
      <c r="G113" t="s">
        <v>3726</v>
      </c>
      <c r="H113" t="s">
        <v>5402</v>
      </c>
      <c r="I113" t="s">
        <v>6043</v>
      </c>
      <c r="J113">
        <v>11226</v>
      </c>
      <c r="K113" t="s">
        <v>6074</v>
      </c>
      <c r="L113" t="s">
        <v>6074</v>
      </c>
      <c r="M113" t="s">
        <v>6144</v>
      </c>
      <c r="N113" t="s">
        <v>7276</v>
      </c>
      <c r="O113" t="s">
        <v>7308</v>
      </c>
      <c r="Q113" t="s">
        <v>7322</v>
      </c>
      <c r="R113" t="s">
        <v>6076</v>
      </c>
      <c r="S113" t="s">
        <v>7324</v>
      </c>
      <c r="T113" t="s">
        <v>7336</v>
      </c>
      <c r="U113" t="s">
        <v>395</v>
      </c>
      <c r="V113">
        <v>2182.37</v>
      </c>
      <c r="W113" t="s">
        <v>7362</v>
      </c>
      <c r="X113" t="s">
        <v>7368</v>
      </c>
      <c r="Z113" t="s">
        <v>7498</v>
      </c>
      <c r="AB113" t="s">
        <v>10355</v>
      </c>
      <c r="AC113">
        <v>39</v>
      </c>
      <c r="AD113" t="s">
        <v>12422</v>
      </c>
      <c r="AF113">
        <v>20</v>
      </c>
      <c r="AG113">
        <v>1</v>
      </c>
      <c r="AH113">
        <v>0</v>
      </c>
      <c r="AI113">
        <v>0</v>
      </c>
      <c r="AL113" t="s">
        <v>12460</v>
      </c>
      <c r="AM113">
        <v>0</v>
      </c>
      <c r="AO113" t="s">
        <v>12846</v>
      </c>
      <c r="AS113">
        <v>48.1</v>
      </c>
      <c r="AT113" t="s">
        <v>324</v>
      </c>
      <c r="AU113" t="s">
        <v>69</v>
      </c>
      <c r="AV113" t="s">
        <v>13145</v>
      </c>
    </row>
    <row r="114" spans="1:48">
      <c r="A114" s="1">
        <f>HYPERLINK("https://cms.ls-nyc.org/matter/dynamic-profile/view/1888436","19-1888436")</f>
        <v>0</v>
      </c>
      <c r="B114" t="s">
        <v>86</v>
      </c>
      <c r="C114" t="s">
        <v>306</v>
      </c>
      <c r="E114" t="s">
        <v>656</v>
      </c>
      <c r="F114" t="s">
        <v>2131</v>
      </c>
      <c r="G114" t="s">
        <v>3725</v>
      </c>
      <c r="H114" t="s">
        <v>5400</v>
      </c>
      <c r="I114" t="s">
        <v>6043</v>
      </c>
      <c r="J114">
        <v>11226</v>
      </c>
      <c r="K114" t="s">
        <v>6074</v>
      </c>
      <c r="L114" t="s">
        <v>6074</v>
      </c>
      <c r="M114" t="s">
        <v>6145</v>
      </c>
      <c r="N114" t="s">
        <v>7276</v>
      </c>
      <c r="O114" t="s">
        <v>7306</v>
      </c>
      <c r="Q114" t="s">
        <v>7322</v>
      </c>
      <c r="R114" t="s">
        <v>6076</v>
      </c>
      <c r="S114" t="s">
        <v>7327</v>
      </c>
      <c r="U114" t="s">
        <v>304</v>
      </c>
      <c r="V114">
        <v>1850</v>
      </c>
      <c r="W114" t="s">
        <v>7362</v>
      </c>
      <c r="X114" t="s">
        <v>7369</v>
      </c>
      <c r="Z114" t="s">
        <v>7496</v>
      </c>
      <c r="AA114" t="s">
        <v>9877</v>
      </c>
      <c r="AB114" t="s">
        <v>10353</v>
      </c>
      <c r="AC114">
        <v>16</v>
      </c>
      <c r="AD114" t="s">
        <v>12422</v>
      </c>
      <c r="AF114">
        <v>10</v>
      </c>
      <c r="AG114">
        <v>1</v>
      </c>
      <c r="AH114">
        <v>0</v>
      </c>
      <c r="AI114">
        <v>0</v>
      </c>
      <c r="AJ114" t="s">
        <v>12443</v>
      </c>
      <c r="AK114" t="s">
        <v>12455</v>
      </c>
      <c r="AL114" t="s">
        <v>12460</v>
      </c>
      <c r="AM114">
        <v>0</v>
      </c>
      <c r="AN114" t="s">
        <v>12502</v>
      </c>
      <c r="AS114">
        <v>2.1</v>
      </c>
      <c r="AT114" t="s">
        <v>265</v>
      </c>
      <c r="AU114" t="s">
        <v>180</v>
      </c>
    </row>
    <row r="115" spans="1:48">
      <c r="A115" s="1">
        <f>HYPERLINK("https://cms.ls-nyc.org/matter/dynamic-profile/view/1880403","18-1880403")</f>
        <v>0</v>
      </c>
      <c r="B115" t="s">
        <v>69</v>
      </c>
      <c r="C115" t="s">
        <v>307</v>
      </c>
      <c r="E115" t="s">
        <v>659</v>
      </c>
      <c r="F115" t="s">
        <v>2133</v>
      </c>
      <c r="G115" t="s">
        <v>3727</v>
      </c>
      <c r="H115" t="s">
        <v>5403</v>
      </c>
      <c r="I115" t="s">
        <v>6043</v>
      </c>
      <c r="J115">
        <v>11226</v>
      </c>
      <c r="K115" t="s">
        <v>6074</v>
      </c>
      <c r="L115" t="s">
        <v>6075</v>
      </c>
      <c r="N115" t="s">
        <v>7283</v>
      </c>
      <c r="O115" t="s">
        <v>7309</v>
      </c>
      <c r="Q115" t="s">
        <v>7322</v>
      </c>
      <c r="S115" t="s">
        <v>7324</v>
      </c>
      <c r="U115" t="s">
        <v>307</v>
      </c>
      <c r="V115">
        <v>0</v>
      </c>
      <c r="W115" t="s">
        <v>7362</v>
      </c>
      <c r="X115" t="s">
        <v>7375</v>
      </c>
      <c r="Z115" t="s">
        <v>7499</v>
      </c>
      <c r="AC115">
        <v>0</v>
      </c>
      <c r="AF115">
        <v>0</v>
      </c>
      <c r="AG115">
        <v>2</v>
      </c>
      <c r="AH115">
        <v>0</v>
      </c>
      <c r="AI115">
        <v>0</v>
      </c>
      <c r="AL115" t="s">
        <v>12460</v>
      </c>
      <c r="AM115">
        <v>0</v>
      </c>
      <c r="AS115">
        <v>0.8</v>
      </c>
      <c r="AT115" t="s">
        <v>307</v>
      </c>
      <c r="AU115" t="s">
        <v>13082</v>
      </c>
    </row>
    <row r="116" spans="1:48">
      <c r="A116" s="1">
        <f>HYPERLINK("https://cms.ls-nyc.org/matter/dynamic-profile/view/1880405","18-1880405")</f>
        <v>0</v>
      </c>
      <c r="B116" t="s">
        <v>69</v>
      </c>
      <c r="C116" t="s">
        <v>307</v>
      </c>
      <c r="E116" t="s">
        <v>655</v>
      </c>
      <c r="F116" t="s">
        <v>2134</v>
      </c>
      <c r="G116" t="s">
        <v>3727</v>
      </c>
      <c r="H116" t="s">
        <v>5404</v>
      </c>
      <c r="I116" t="s">
        <v>6043</v>
      </c>
      <c r="J116">
        <v>11226</v>
      </c>
      <c r="K116" t="s">
        <v>6074</v>
      </c>
      <c r="L116" t="s">
        <v>6075</v>
      </c>
      <c r="N116" t="s">
        <v>7283</v>
      </c>
      <c r="O116" t="s">
        <v>7309</v>
      </c>
      <c r="Q116" t="s">
        <v>7322</v>
      </c>
      <c r="S116" t="s">
        <v>7324</v>
      </c>
      <c r="U116" t="s">
        <v>307</v>
      </c>
      <c r="V116">
        <v>0</v>
      </c>
      <c r="W116" t="s">
        <v>7362</v>
      </c>
      <c r="X116" t="s">
        <v>7375</v>
      </c>
      <c r="Z116" t="s">
        <v>7500</v>
      </c>
      <c r="AC116">
        <v>0</v>
      </c>
      <c r="AF116">
        <v>0</v>
      </c>
      <c r="AG116">
        <v>3</v>
      </c>
      <c r="AH116">
        <v>0</v>
      </c>
      <c r="AI116">
        <v>0</v>
      </c>
      <c r="AL116" t="s">
        <v>12460</v>
      </c>
      <c r="AM116">
        <v>0</v>
      </c>
      <c r="AS116">
        <v>0.5</v>
      </c>
      <c r="AT116" t="s">
        <v>307</v>
      </c>
      <c r="AU116" t="s">
        <v>13082</v>
      </c>
    </row>
    <row r="117" spans="1:48">
      <c r="A117" s="1">
        <f>HYPERLINK("https://cms.ls-nyc.org/matter/dynamic-profile/view/1863481","18-1863481")</f>
        <v>0</v>
      </c>
      <c r="B117" t="s">
        <v>82</v>
      </c>
      <c r="C117" t="s">
        <v>308</v>
      </c>
      <c r="E117" t="s">
        <v>660</v>
      </c>
      <c r="F117" t="s">
        <v>2135</v>
      </c>
      <c r="G117" t="s">
        <v>3728</v>
      </c>
      <c r="H117" t="s">
        <v>5405</v>
      </c>
      <c r="I117" t="s">
        <v>6043</v>
      </c>
      <c r="J117">
        <v>11226</v>
      </c>
      <c r="K117" t="s">
        <v>6074</v>
      </c>
      <c r="L117" t="s">
        <v>6074</v>
      </c>
      <c r="N117" t="s">
        <v>7278</v>
      </c>
      <c r="O117" t="s">
        <v>7309</v>
      </c>
      <c r="Q117" t="s">
        <v>7322</v>
      </c>
      <c r="R117" t="s">
        <v>6074</v>
      </c>
      <c r="S117" t="s">
        <v>7324</v>
      </c>
      <c r="U117" t="s">
        <v>333</v>
      </c>
      <c r="V117">
        <v>0</v>
      </c>
      <c r="W117" t="s">
        <v>7362</v>
      </c>
      <c r="X117" t="s">
        <v>7368</v>
      </c>
      <c r="Z117" t="s">
        <v>7501</v>
      </c>
      <c r="AC117">
        <v>65</v>
      </c>
      <c r="AF117">
        <v>0</v>
      </c>
      <c r="AG117">
        <v>2</v>
      </c>
      <c r="AH117">
        <v>2</v>
      </c>
      <c r="AI117">
        <v>0</v>
      </c>
      <c r="AL117" t="s">
        <v>12460</v>
      </c>
      <c r="AM117">
        <v>0</v>
      </c>
      <c r="AN117" t="s">
        <v>12503</v>
      </c>
      <c r="AS117">
        <v>2.05</v>
      </c>
      <c r="AT117" t="s">
        <v>428</v>
      </c>
      <c r="AU117" t="s">
        <v>13087</v>
      </c>
    </row>
    <row r="118" spans="1:48">
      <c r="A118" s="1">
        <f>HYPERLINK("https://cms.ls-nyc.org/matter/dynamic-profile/view/1881285","18-1881285")</f>
        <v>0</v>
      </c>
      <c r="B118" t="s">
        <v>69</v>
      </c>
      <c r="C118" t="s">
        <v>240</v>
      </c>
      <c r="D118" t="s">
        <v>375</v>
      </c>
      <c r="E118" t="s">
        <v>661</v>
      </c>
      <c r="F118" t="s">
        <v>2136</v>
      </c>
      <c r="G118" t="s">
        <v>3724</v>
      </c>
      <c r="H118" t="s">
        <v>5382</v>
      </c>
      <c r="I118" t="s">
        <v>6043</v>
      </c>
      <c r="J118">
        <v>11226</v>
      </c>
      <c r="K118" t="s">
        <v>6075</v>
      </c>
      <c r="L118" t="s">
        <v>6075</v>
      </c>
      <c r="P118" t="s">
        <v>7314</v>
      </c>
      <c r="Q118" t="s">
        <v>7322</v>
      </c>
      <c r="S118" t="s">
        <v>7324</v>
      </c>
      <c r="U118" t="s">
        <v>240</v>
      </c>
      <c r="V118">
        <v>0</v>
      </c>
      <c r="W118" t="s">
        <v>7362</v>
      </c>
      <c r="Y118" t="s">
        <v>7386</v>
      </c>
      <c r="Z118" t="s">
        <v>7502</v>
      </c>
      <c r="AB118" t="s">
        <v>10356</v>
      </c>
      <c r="AC118">
        <v>34</v>
      </c>
      <c r="AF118">
        <v>2</v>
      </c>
      <c r="AG118">
        <v>1</v>
      </c>
      <c r="AH118">
        <v>0</v>
      </c>
      <c r="AI118">
        <v>0</v>
      </c>
      <c r="AL118" t="s">
        <v>12465</v>
      </c>
      <c r="AM118">
        <v>0</v>
      </c>
      <c r="AS118">
        <v>2.35</v>
      </c>
      <c r="AT118" t="s">
        <v>375</v>
      </c>
      <c r="AU118" t="s">
        <v>69</v>
      </c>
    </row>
    <row r="119" spans="1:48">
      <c r="A119" s="1">
        <f>HYPERLINK("https://cms.ls-nyc.org/matter/dynamic-profile/view/1887085","19-1887085")</f>
        <v>0</v>
      </c>
      <c r="B119" t="s">
        <v>70</v>
      </c>
      <c r="C119" t="s">
        <v>272</v>
      </c>
      <c r="E119" t="s">
        <v>586</v>
      </c>
      <c r="F119" t="s">
        <v>2084</v>
      </c>
      <c r="G119" t="s">
        <v>3721</v>
      </c>
      <c r="I119" t="s">
        <v>6043</v>
      </c>
      <c r="J119">
        <v>11226</v>
      </c>
      <c r="K119" t="s">
        <v>6076</v>
      </c>
      <c r="L119" t="s">
        <v>6074</v>
      </c>
      <c r="O119" t="s">
        <v>7311</v>
      </c>
      <c r="Q119" t="s">
        <v>7322</v>
      </c>
      <c r="R119" t="s">
        <v>6074</v>
      </c>
      <c r="S119" t="s">
        <v>7324</v>
      </c>
      <c r="U119" t="s">
        <v>250</v>
      </c>
      <c r="V119">
        <v>945.2</v>
      </c>
      <c r="W119" t="s">
        <v>7362</v>
      </c>
      <c r="Z119" t="s">
        <v>7492</v>
      </c>
      <c r="AC119">
        <v>0</v>
      </c>
      <c r="AF119">
        <v>20</v>
      </c>
      <c r="AG119">
        <v>1</v>
      </c>
      <c r="AH119">
        <v>0</v>
      </c>
      <c r="AI119">
        <v>0</v>
      </c>
      <c r="AL119" t="s">
        <v>12461</v>
      </c>
      <c r="AM119">
        <v>0</v>
      </c>
      <c r="AS119">
        <v>0</v>
      </c>
      <c r="AU119" t="s">
        <v>88</v>
      </c>
    </row>
    <row r="120" spans="1:48">
      <c r="A120" s="1">
        <f>HYPERLINK("https://cms.ls-nyc.org/matter/dynamic-profile/view/1895026","19-1895026")</f>
        <v>0</v>
      </c>
      <c r="B120" t="s">
        <v>69</v>
      </c>
      <c r="C120" t="s">
        <v>264</v>
      </c>
      <c r="E120" t="s">
        <v>662</v>
      </c>
      <c r="F120" t="s">
        <v>2137</v>
      </c>
      <c r="G120" t="s">
        <v>3729</v>
      </c>
      <c r="H120" t="s">
        <v>5406</v>
      </c>
      <c r="I120" t="s">
        <v>6043</v>
      </c>
      <c r="J120">
        <v>11226</v>
      </c>
      <c r="K120" t="s">
        <v>6074</v>
      </c>
      <c r="L120" t="s">
        <v>6074</v>
      </c>
      <c r="O120" t="s">
        <v>7309</v>
      </c>
      <c r="Q120" t="s">
        <v>7322</v>
      </c>
      <c r="R120" t="s">
        <v>6076</v>
      </c>
      <c r="S120" t="s">
        <v>7324</v>
      </c>
      <c r="U120" t="s">
        <v>322</v>
      </c>
      <c r="V120">
        <v>1290.86</v>
      </c>
      <c r="W120" t="s">
        <v>7362</v>
      </c>
      <c r="Z120" t="s">
        <v>7503</v>
      </c>
      <c r="AC120">
        <v>0</v>
      </c>
      <c r="AF120">
        <v>36</v>
      </c>
      <c r="AG120">
        <v>1</v>
      </c>
      <c r="AH120">
        <v>0</v>
      </c>
      <c r="AI120">
        <v>0</v>
      </c>
      <c r="AL120" t="s">
        <v>12460</v>
      </c>
      <c r="AM120">
        <v>0</v>
      </c>
      <c r="AS120">
        <v>4.7</v>
      </c>
      <c r="AT120" t="s">
        <v>309</v>
      </c>
      <c r="AU120" t="s">
        <v>88</v>
      </c>
    </row>
    <row r="121" spans="1:48">
      <c r="A121" s="1">
        <f>HYPERLINK("https://cms.ls-nyc.org/matter/dynamic-profile/view/1898773","19-1898773")</f>
        <v>0</v>
      </c>
      <c r="B121" t="s">
        <v>69</v>
      </c>
      <c r="C121" t="s">
        <v>309</v>
      </c>
      <c r="E121" t="s">
        <v>662</v>
      </c>
      <c r="F121" t="s">
        <v>2138</v>
      </c>
      <c r="G121" t="s">
        <v>3729</v>
      </c>
      <c r="H121" t="s">
        <v>5407</v>
      </c>
      <c r="I121" t="s">
        <v>6043</v>
      </c>
      <c r="J121">
        <v>11226</v>
      </c>
      <c r="K121" t="s">
        <v>6074</v>
      </c>
      <c r="L121" t="s">
        <v>6074</v>
      </c>
      <c r="O121" t="s">
        <v>7309</v>
      </c>
      <c r="Q121" t="s">
        <v>7322</v>
      </c>
      <c r="S121" t="s">
        <v>7324</v>
      </c>
      <c r="U121" t="s">
        <v>309</v>
      </c>
      <c r="V121">
        <v>1290.86</v>
      </c>
      <c r="W121" t="s">
        <v>7362</v>
      </c>
      <c r="Z121" t="s">
        <v>7504</v>
      </c>
      <c r="AC121">
        <v>0</v>
      </c>
      <c r="AF121">
        <v>0</v>
      </c>
      <c r="AG121">
        <v>1</v>
      </c>
      <c r="AH121">
        <v>0</v>
      </c>
      <c r="AI121">
        <v>0</v>
      </c>
      <c r="AL121" t="s">
        <v>12460</v>
      </c>
      <c r="AM121">
        <v>0</v>
      </c>
      <c r="AS121">
        <v>6.9</v>
      </c>
      <c r="AT121" t="s">
        <v>423</v>
      </c>
      <c r="AU121" t="s">
        <v>69</v>
      </c>
    </row>
    <row r="122" spans="1:48">
      <c r="A122" s="1">
        <f>HYPERLINK("https://cms.ls-nyc.org/matter/dynamic-profile/view/1887838","19-1887838")</f>
        <v>0</v>
      </c>
      <c r="B122" t="s">
        <v>80</v>
      </c>
      <c r="C122" t="s">
        <v>310</v>
      </c>
      <c r="E122" t="s">
        <v>663</v>
      </c>
      <c r="F122" t="s">
        <v>2139</v>
      </c>
      <c r="G122" t="s">
        <v>3730</v>
      </c>
      <c r="H122" t="s">
        <v>5408</v>
      </c>
      <c r="I122" t="s">
        <v>6043</v>
      </c>
      <c r="J122">
        <v>11225</v>
      </c>
      <c r="K122" t="s">
        <v>6074</v>
      </c>
      <c r="L122" t="s">
        <v>6074</v>
      </c>
      <c r="N122" t="s">
        <v>7279</v>
      </c>
      <c r="O122" t="s">
        <v>7311</v>
      </c>
      <c r="Q122" t="s">
        <v>7322</v>
      </c>
      <c r="R122" t="s">
        <v>6074</v>
      </c>
      <c r="S122" t="s">
        <v>7324</v>
      </c>
      <c r="U122" t="s">
        <v>550</v>
      </c>
      <c r="V122">
        <v>978.0700000000001</v>
      </c>
      <c r="W122" t="s">
        <v>7362</v>
      </c>
      <c r="Z122" t="s">
        <v>7505</v>
      </c>
      <c r="AB122" t="s">
        <v>10357</v>
      </c>
      <c r="AC122">
        <v>89</v>
      </c>
      <c r="AD122" t="s">
        <v>12422</v>
      </c>
      <c r="AE122" t="s">
        <v>6110</v>
      </c>
      <c r="AF122">
        <v>28</v>
      </c>
      <c r="AG122">
        <v>1</v>
      </c>
      <c r="AH122">
        <v>0</v>
      </c>
      <c r="AI122">
        <v>0</v>
      </c>
      <c r="AL122" t="s">
        <v>12460</v>
      </c>
      <c r="AM122">
        <v>0</v>
      </c>
      <c r="AS122">
        <v>2</v>
      </c>
      <c r="AT122" t="s">
        <v>316</v>
      </c>
      <c r="AU122" t="s">
        <v>180</v>
      </c>
    </row>
    <row r="123" spans="1:48">
      <c r="A123" s="1">
        <f>HYPERLINK("https://cms.ls-nyc.org/matter/dynamic-profile/view/1870234","18-1870234")</f>
        <v>0</v>
      </c>
      <c r="B123" t="s">
        <v>82</v>
      </c>
      <c r="C123" t="s">
        <v>311</v>
      </c>
      <c r="E123" t="s">
        <v>636</v>
      </c>
      <c r="F123" t="s">
        <v>2140</v>
      </c>
      <c r="G123" t="s">
        <v>3731</v>
      </c>
      <c r="H123" t="s">
        <v>5409</v>
      </c>
      <c r="I123" t="s">
        <v>6043</v>
      </c>
      <c r="J123">
        <v>11225</v>
      </c>
      <c r="K123" t="s">
        <v>6074</v>
      </c>
      <c r="L123" t="s">
        <v>6074</v>
      </c>
      <c r="N123" t="s">
        <v>7273</v>
      </c>
      <c r="O123" t="s">
        <v>7308</v>
      </c>
      <c r="Q123" t="s">
        <v>7322</v>
      </c>
      <c r="R123" t="s">
        <v>6074</v>
      </c>
      <c r="S123" t="s">
        <v>7324</v>
      </c>
      <c r="U123" t="s">
        <v>502</v>
      </c>
      <c r="V123">
        <v>0</v>
      </c>
      <c r="W123" t="s">
        <v>7362</v>
      </c>
      <c r="X123" t="s">
        <v>7376</v>
      </c>
      <c r="Z123" t="s">
        <v>7488</v>
      </c>
      <c r="AC123">
        <v>47</v>
      </c>
      <c r="AD123" t="s">
        <v>12422</v>
      </c>
      <c r="AF123">
        <v>41</v>
      </c>
      <c r="AG123">
        <v>3</v>
      </c>
      <c r="AH123">
        <v>2</v>
      </c>
      <c r="AI123">
        <v>0</v>
      </c>
      <c r="AL123" t="s">
        <v>12460</v>
      </c>
      <c r="AM123">
        <v>0</v>
      </c>
      <c r="AS123">
        <v>1.1</v>
      </c>
      <c r="AT123" t="s">
        <v>429</v>
      </c>
      <c r="AU123" t="s">
        <v>13087</v>
      </c>
    </row>
    <row r="124" spans="1:48">
      <c r="A124" s="1">
        <f>HYPERLINK("https://cms.ls-nyc.org/matter/dynamic-profile/view/1876016","18-1876016")</f>
        <v>0</v>
      </c>
      <c r="B124" t="s">
        <v>80</v>
      </c>
      <c r="C124" t="s">
        <v>312</v>
      </c>
      <c r="E124" t="s">
        <v>663</v>
      </c>
      <c r="F124" t="s">
        <v>2139</v>
      </c>
      <c r="G124" t="s">
        <v>3730</v>
      </c>
      <c r="H124" t="s">
        <v>5408</v>
      </c>
      <c r="I124" t="s">
        <v>6043</v>
      </c>
      <c r="J124">
        <v>11225</v>
      </c>
      <c r="K124" t="s">
        <v>6074</v>
      </c>
      <c r="L124" t="s">
        <v>6074</v>
      </c>
      <c r="O124" t="s">
        <v>7307</v>
      </c>
      <c r="Q124" t="s">
        <v>7322</v>
      </c>
      <c r="R124" t="s">
        <v>6076</v>
      </c>
      <c r="S124" t="s">
        <v>7324</v>
      </c>
      <c r="U124" t="s">
        <v>550</v>
      </c>
      <c r="V124">
        <v>978.0700000000001</v>
      </c>
      <c r="W124" t="s">
        <v>7362</v>
      </c>
      <c r="Z124" t="s">
        <v>7505</v>
      </c>
      <c r="AB124" t="s">
        <v>10357</v>
      </c>
      <c r="AC124">
        <v>89</v>
      </c>
      <c r="AD124" t="s">
        <v>12422</v>
      </c>
      <c r="AE124" t="s">
        <v>6110</v>
      </c>
      <c r="AF124">
        <v>28</v>
      </c>
      <c r="AG124">
        <v>1</v>
      </c>
      <c r="AH124">
        <v>0</v>
      </c>
      <c r="AI124">
        <v>0</v>
      </c>
      <c r="AL124" t="s">
        <v>12460</v>
      </c>
      <c r="AM124">
        <v>0</v>
      </c>
      <c r="AN124" t="s">
        <v>12491</v>
      </c>
      <c r="AS124">
        <v>0</v>
      </c>
      <c r="AU124" t="s">
        <v>218</v>
      </c>
    </row>
    <row r="125" spans="1:48">
      <c r="A125" s="1">
        <f>HYPERLINK("https://cms.ls-nyc.org/matter/dynamic-profile/view/1880673","18-1880673")</f>
        <v>0</v>
      </c>
      <c r="B125" t="s">
        <v>87</v>
      </c>
      <c r="C125" t="s">
        <v>256</v>
      </c>
      <c r="E125" t="s">
        <v>664</v>
      </c>
      <c r="F125" t="s">
        <v>2141</v>
      </c>
      <c r="G125" t="s">
        <v>3732</v>
      </c>
      <c r="H125" t="s">
        <v>5410</v>
      </c>
      <c r="I125" t="s">
        <v>6043</v>
      </c>
      <c r="J125">
        <v>11221</v>
      </c>
      <c r="K125" t="s">
        <v>6074</v>
      </c>
      <c r="L125" t="s">
        <v>6074</v>
      </c>
      <c r="M125" t="s">
        <v>6146</v>
      </c>
      <c r="N125" t="s">
        <v>7273</v>
      </c>
      <c r="O125" t="s">
        <v>7308</v>
      </c>
      <c r="Q125" t="s">
        <v>7322</v>
      </c>
      <c r="R125" t="s">
        <v>6074</v>
      </c>
      <c r="S125" t="s">
        <v>7324</v>
      </c>
      <c r="U125" t="s">
        <v>256</v>
      </c>
      <c r="V125">
        <v>0</v>
      </c>
      <c r="W125" t="s">
        <v>7362</v>
      </c>
      <c r="X125" t="s">
        <v>7368</v>
      </c>
      <c r="Z125" t="s">
        <v>7506</v>
      </c>
      <c r="AB125" t="s">
        <v>10358</v>
      </c>
      <c r="AC125">
        <v>7</v>
      </c>
      <c r="AF125">
        <v>13</v>
      </c>
      <c r="AG125">
        <v>1</v>
      </c>
      <c r="AH125">
        <v>1</v>
      </c>
      <c r="AI125">
        <v>0</v>
      </c>
      <c r="AL125" t="s">
        <v>12460</v>
      </c>
      <c r="AM125">
        <v>0</v>
      </c>
      <c r="AS125">
        <v>26.2</v>
      </c>
      <c r="AT125" t="s">
        <v>235</v>
      </c>
      <c r="AU125" t="s">
        <v>13083</v>
      </c>
    </row>
    <row r="126" spans="1:48">
      <c r="A126" s="1">
        <f>HYPERLINK("https://cms.ls-nyc.org/matter/dynamic-profile/view/1899996","19-1899996")</f>
        <v>0</v>
      </c>
      <c r="B126" t="s">
        <v>83</v>
      </c>
      <c r="C126" t="s">
        <v>265</v>
      </c>
      <c r="E126" t="s">
        <v>665</v>
      </c>
      <c r="F126" t="s">
        <v>2059</v>
      </c>
      <c r="G126" t="s">
        <v>3733</v>
      </c>
      <c r="H126">
        <v>31</v>
      </c>
      <c r="I126" t="s">
        <v>6043</v>
      </c>
      <c r="J126">
        <v>11220</v>
      </c>
      <c r="K126" t="s">
        <v>6074</v>
      </c>
      <c r="L126" t="s">
        <v>6075</v>
      </c>
      <c r="M126" t="s">
        <v>6110</v>
      </c>
      <c r="N126" t="s">
        <v>7278</v>
      </c>
      <c r="O126" t="s">
        <v>7307</v>
      </c>
      <c r="Q126" t="s">
        <v>7322</v>
      </c>
      <c r="R126" t="s">
        <v>6076</v>
      </c>
      <c r="S126" t="s">
        <v>7324</v>
      </c>
      <c r="T126" t="s">
        <v>7336</v>
      </c>
      <c r="U126" t="s">
        <v>265</v>
      </c>
      <c r="V126">
        <v>0</v>
      </c>
      <c r="W126" t="s">
        <v>7362</v>
      </c>
      <c r="X126" t="s">
        <v>7376</v>
      </c>
      <c r="Z126" t="s">
        <v>7507</v>
      </c>
      <c r="AA126" t="s">
        <v>6110</v>
      </c>
      <c r="AC126">
        <v>84</v>
      </c>
      <c r="AD126" t="s">
        <v>12422</v>
      </c>
      <c r="AE126" t="s">
        <v>6110</v>
      </c>
      <c r="AF126">
        <v>25</v>
      </c>
      <c r="AG126">
        <v>3</v>
      </c>
      <c r="AH126">
        <v>0</v>
      </c>
      <c r="AI126">
        <v>0</v>
      </c>
      <c r="AL126" t="s">
        <v>12461</v>
      </c>
      <c r="AM126">
        <v>0</v>
      </c>
      <c r="AS126">
        <v>0.8</v>
      </c>
      <c r="AT126" t="s">
        <v>265</v>
      </c>
      <c r="AU126" t="s">
        <v>69</v>
      </c>
    </row>
    <row r="127" spans="1:48">
      <c r="A127" s="1">
        <f>HYPERLINK("https://cms.ls-nyc.org/matter/dynamic-profile/view/1893268","19-1893268")</f>
        <v>0</v>
      </c>
      <c r="B127" t="s">
        <v>84</v>
      </c>
      <c r="C127" t="s">
        <v>313</v>
      </c>
      <c r="E127" t="s">
        <v>666</v>
      </c>
      <c r="F127" t="s">
        <v>2142</v>
      </c>
      <c r="G127" t="s">
        <v>3734</v>
      </c>
      <c r="H127" t="s">
        <v>5376</v>
      </c>
      <c r="I127" t="s">
        <v>6043</v>
      </c>
      <c r="J127">
        <v>11217</v>
      </c>
      <c r="K127" t="s">
        <v>6074</v>
      </c>
      <c r="L127" t="s">
        <v>6074</v>
      </c>
      <c r="N127" t="s">
        <v>7273</v>
      </c>
      <c r="O127" t="s">
        <v>7308</v>
      </c>
      <c r="Q127" t="s">
        <v>7322</v>
      </c>
      <c r="R127" t="s">
        <v>6074</v>
      </c>
      <c r="S127" t="s">
        <v>7324</v>
      </c>
      <c r="U127" t="s">
        <v>332</v>
      </c>
      <c r="V127">
        <v>626.29</v>
      </c>
      <c r="W127" t="s">
        <v>7362</v>
      </c>
      <c r="Z127" t="s">
        <v>7508</v>
      </c>
      <c r="AB127" t="s">
        <v>10359</v>
      </c>
      <c r="AC127">
        <v>0</v>
      </c>
      <c r="AF127">
        <v>0</v>
      </c>
      <c r="AG127">
        <v>1</v>
      </c>
      <c r="AH127">
        <v>0</v>
      </c>
      <c r="AI127">
        <v>0</v>
      </c>
      <c r="AL127" t="s">
        <v>12460</v>
      </c>
      <c r="AM127">
        <v>0</v>
      </c>
      <c r="AS127">
        <v>37.2</v>
      </c>
      <c r="AT127" t="s">
        <v>317</v>
      </c>
      <c r="AU127" t="s">
        <v>88</v>
      </c>
    </row>
    <row r="128" spans="1:48">
      <c r="A128" s="1">
        <f>HYPERLINK("https://cms.ls-nyc.org/matter/dynamic-profile/view/1896213","19-1896213")</f>
        <v>0</v>
      </c>
      <c r="B128" t="s">
        <v>84</v>
      </c>
      <c r="C128" t="s">
        <v>314</v>
      </c>
      <c r="E128" t="s">
        <v>667</v>
      </c>
      <c r="F128" t="s">
        <v>2143</v>
      </c>
      <c r="G128" t="s">
        <v>3734</v>
      </c>
      <c r="H128" t="s">
        <v>5411</v>
      </c>
      <c r="I128" t="s">
        <v>6043</v>
      </c>
      <c r="J128">
        <v>11217</v>
      </c>
      <c r="K128" t="s">
        <v>6075</v>
      </c>
      <c r="L128" t="s">
        <v>6075</v>
      </c>
      <c r="N128" t="s">
        <v>7276</v>
      </c>
      <c r="Q128" t="s">
        <v>7322</v>
      </c>
      <c r="S128" t="s">
        <v>7324</v>
      </c>
      <c r="U128" t="s">
        <v>314</v>
      </c>
      <c r="V128">
        <v>0</v>
      </c>
      <c r="W128" t="s">
        <v>7362</v>
      </c>
      <c r="Z128" t="s">
        <v>7509</v>
      </c>
      <c r="AB128" t="s">
        <v>10360</v>
      </c>
      <c r="AC128">
        <v>0</v>
      </c>
      <c r="AD128" t="s">
        <v>12422</v>
      </c>
      <c r="AF128">
        <v>0</v>
      </c>
      <c r="AG128">
        <v>1</v>
      </c>
      <c r="AH128">
        <v>0</v>
      </c>
      <c r="AI128">
        <v>0</v>
      </c>
      <c r="AL128" t="s">
        <v>12460</v>
      </c>
      <c r="AM128">
        <v>0</v>
      </c>
      <c r="AS128">
        <v>10.5</v>
      </c>
      <c r="AT128" t="s">
        <v>265</v>
      </c>
      <c r="AU128" t="s">
        <v>69</v>
      </c>
    </row>
    <row r="129" spans="1:48">
      <c r="A129" s="1">
        <f>HYPERLINK("https://cms.ls-nyc.org/matter/dynamic-profile/view/1895823","19-1895823")</f>
        <v>0</v>
      </c>
      <c r="B129" t="s">
        <v>84</v>
      </c>
      <c r="C129" t="s">
        <v>315</v>
      </c>
      <c r="E129" t="s">
        <v>667</v>
      </c>
      <c r="F129" t="s">
        <v>2143</v>
      </c>
      <c r="G129" t="s">
        <v>3734</v>
      </c>
      <c r="H129" t="s">
        <v>5411</v>
      </c>
      <c r="I129" t="s">
        <v>6043</v>
      </c>
      <c r="J129">
        <v>11217</v>
      </c>
      <c r="K129" t="s">
        <v>6075</v>
      </c>
      <c r="L129" t="s">
        <v>6075</v>
      </c>
      <c r="Q129" t="s">
        <v>7322</v>
      </c>
      <c r="S129" t="s">
        <v>7324</v>
      </c>
      <c r="U129" t="s">
        <v>315</v>
      </c>
      <c r="V129">
        <v>869.85</v>
      </c>
      <c r="W129" t="s">
        <v>7362</v>
      </c>
      <c r="Z129" t="s">
        <v>7509</v>
      </c>
      <c r="AB129" t="s">
        <v>10360</v>
      </c>
      <c r="AC129">
        <v>0</v>
      </c>
      <c r="AF129">
        <v>10</v>
      </c>
      <c r="AG129">
        <v>1</v>
      </c>
      <c r="AH129">
        <v>0</v>
      </c>
      <c r="AI129">
        <v>0</v>
      </c>
      <c r="AL129" t="s">
        <v>12460</v>
      </c>
      <c r="AM129">
        <v>0</v>
      </c>
      <c r="AS129">
        <v>4.4</v>
      </c>
      <c r="AT129" t="s">
        <v>446</v>
      </c>
      <c r="AU129" t="s">
        <v>69</v>
      </c>
    </row>
    <row r="130" spans="1:48">
      <c r="A130" s="1">
        <f>HYPERLINK("https://cms.ls-nyc.org/matter/dynamic-profile/view/1895830","19-1895830")</f>
        <v>0</v>
      </c>
      <c r="B130" t="s">
        <v>84</v>
      </c>
      <c r="C130" t="s">
        <v>315</v>
      </c>
      <c r="E130" t="s">
        <v>668</v>
      </c>
      <c r="F130" t="s">
        <v>2144</v>
      </c>
      <c r="G130" t="s">
        <v>3734</v>
      </c>
      <c r="H130" t="s">
        <v>5393</v>
      </c>
      <c r="I130" t="s">
        <v>6043</v>
      </c>
      <c r="J130">
        <v>11217</v>
      </c>
      <c r="K130" t="s">
        <v>6075</v>
      </c>
      <c r="L130" t="s">
        <v>6075</v>
      </c>
      <c r="Q130" t="s">
        <v>7322</v>
      </c>
      <c r="S130" t="s">
        <v>7324</v>
      </c>
      <c r="U130" t="s">
        <v>315</v>
      </c>
      <c r="V130">
        <v>1133.28</v>
      </c>
      <c r="W130" t="s">
        <v>7362</v>
      </c>
      <c r="Z130" t="s">
        <v>7510</v>
      </c>
      <c r="AB130" t="s">
        <v>10361</v>
      </c>
      <c r="AC130">
        <v>0</v>
      </c>
      <c r="AF130">
        <v>4</v>
      </c>
      <c r="AG130">
        <v>1</v>
      </c>
      <c r="AH130">
        <v>0</v>
      </c>
      <c r="AI130">
        <v>0</v>
      </c>
      <c r="AL130" t="s">
        <v>12460</v>
      </c>
      <c r="AM130">
        <v>0</v>
      </c>
      <c r="AS130">
        <v>2.9</v>
      </c>
      <c r="AT130" t="s">
        <v>254</v>
      </c>
      <c r="AU130" t="s">
        <v>69</v>
      </c>
    </row>
    <row r="131" spans="1:48">
      <c r="A131" s="1">
        <f>HYPERLINK("https://cms.ls-nyc.org/matter/dynamic-profile/view/1899775","19-1899775")</f>
        <v>0</v>
      </c>
      <c r="B131" t="s">
        <v>84</v>
      </c>
      <c r="C131" t="s">
        <v>316</v>
      </c>
      <c r="E131" t="s">
        <v>668</v>
      </c>
      <c r="F131" t="s">
        <v>2144</v>
      </c>
      <c r="G131" t="s">
        <v>3734</v>
      </c>
      <c r="H131" t="s">
        <v>5393</v>
      </c>
      <c r="I131" t="s">
        <v>6043</v>
      </c>
      <c r="J131">
        <v>11217</v>
      </c>
      <c r="K131" t="s">
        <v>6074</v>
      </c>
      <c r="L131" t="s">
        <v>6075</v>
      </c>
      <c r="O131" t="s">
        <v>7308</v>
      </c>
      <c r="Q131" t="s">
        <v>7322</v>
      </c>
      <c r="S131" t="s">
        <v>7324</v>
      </c>
      <c r="U131" t="s">
        <v>316</v>
      </c>
      <c r="V131">
        <v>1133.28</v>
      </c>
      <c r="W131" t="s">
        <v>7362</v>
      </c>
      <c r="Z131" t="s">
        <v>7510</v>
      </c>
      <c r="AB131" t="s">
        <v>10361</v>
      </c>
      <c r="AC131">
        <v>0</v>
      </c>
      <c r="AF131">
        <v>4</v>
      </c>
      <c r="AG131">
        <v>1</v>
      </c>
      <c r="AH131">
        <v>0</v>
      </c>
      <c r="AI131">
        <v>0</v>
      </c>
      <c r="AL131" t="s">
        <v>12460</v>
      </c>
      <c r="AM131">
        <v>0</v>
      </c>
      <c r="AS131">
        <v>1.1</v>
      </c>
      <c r="AT131" t="s">
        <v>423</v>
      </c>
      <c r="AU131" t="s">
        <v>88</v>
      </c>
    </row>
    <row r="132" spans="1:48">
      <c r="A132" s="1">
        <f>HYPERLINK("https://cms.ls-nyc.org/matter/dynamic-profile/view/1899781","19-1899781")</f>
        <v>0</v>
      </c>
      <c r="B132" t="s">
        <v>84</v>
      </c>
      <c r="C132" t="s">
        <v>316</v>
      </c>
      <c r="E132" t="s">
        <v>668</v>
      </c>
      <c r="F132" t="s">
        <v>2144</v>
      </c>
      <c r="G132" t="s">
        <v>3734</v>
      </c>
      <c r="H132" t="s">
        <v>5393</v>
      </c>
      <c r="I132" t="s">
        <v>6043</v>
      </c>
      <c r="J132">
        <v>11217</v>
      </c>
      <c r="K132" t="s">
        <v>6074</v>
      </c>
      <c r="L132" t="s">
        <v>6075</v>
      </c>
      <c r="O132" t="s">
        <v>7308</v>
      </c>
      <c r="Q132" t="s">
        <v>7322</v>
      </c>
      <c r="R132" t="s">
        <v>6074</v>
      </c>
      <c r="S132" t="s">
        <v>7324</v>
      </c>
      <c r="U132" t="s">
        <v>316</v>
      </c>
      <c r="V132">
        <v>1133.28</v>
      </c>
      <c r="W132" t="s">
        <v>7362</v>
      </c>
      <c r="Z132" t="s">
        <v>7510</v>
      </c>
      <c r="AB132" t="s">
        <v>10361</v>
      </c>
      <c r="AC132">
        <v>0</v>
      </c>
      <c r="AF132">
        <v>4</v>
      </c>
      <c r="AG132">
        <v>1</v>
      </c>
      <c r="AH132">
        <v>0</v>
      </c>
      <c r="AI132">
        <v>0</v>
      </c>
      <c r="AL132" t="s">
        <v>12460</v>
      </c>
      <c r="AM132">
        <v>0</v>
      </c>
      <c r="AS132">
        <v>0</v>
      </c>
      <c r="AU132" t="s">
        <v>88</v>
      </c>
    </row>
    <row r="133" spans="1:48">
      <c r="A133" s="1">
        <f>HYPERLINK("https://cms.ls-nyc.org/matter/dynamic-profile/view/1899784","19-1899784")</f>
        <v>0</v>
      </c>
      <c r="B133" t="s">
        <v>84</v>
      </c>
      <c r="C133" t="s">
        <v>316</v>
      </c>
      <c r="E133" t="s">
        <v>666</v>
      </c>
      <c r="F133" t="s">
        <v>2142</v>
      </c>
      <c r="G133" t="s">
        <v>3734</v>
      </c>
      <c r="H133" t="s">
        <v>5376</v>
      </c>
      <c r="I133" t="s">
        <v>6043</v>
      </c>
      <c r="J133">
        <v>11217</v>
      </c>
      <c r="K133" t="s">
        <v>6074</v>
      </c>
      <c r="L133" t="s">
        <v>6075</v>
      </c>
      <c r="O133" t="s">
        <v>7308</v>
      </c>
      <c r="Q133" t="s">
        <v>7322</v>
      </c>
      <c r="S133" t="s">
        <v>7324</v>
      </c>
      <c r="U133" t="s">
        <v>316</v>
      </c>
      <c r="V133">
        <v>626.29</v>
      </c>
      <c r="W133" t="s">
        <v>7362</v>
      </c>
      <c r="Z133" t="s">
        <v>7508</v>
      </c>
      <c r="AB133" t="s">
        <v>10359</v>
      </c>
      <c r="AC133">
        <v>0</v>
      </c>
      <c r="AF133">
        <v>0</v>
      </c>
      <c r="AG133">
        <v>1</v>
      </c>
      <c r="AH133">
        <v>0</v>
      </c>
      <c r="AI133">
        <v>0</v>
      </c>
      <c r="AL133" t="s">
        <v>12460</v>
      </c>
      <c r="AM133">
        <v>0</v>
      </c>
      <c r="AS133">
        <v>6.8</v>
      </c>
      <c r="AT133" t="s">
        <v>423</v>
      </c>
      <c r="AU133" t="s">
        <v>88</v>
      </c>
    </row>
    <row r="134" spans="1:48">
      <c r="A134" s="1">
        <f>HYPERLINK("https://cms.ls-nyc.org/matter/dynamic-profile/view/1899785","19-1899785")</f>
        <v>0</v>
      </c>
      <c r="B134" t="s">
        <v>84</v>
      </c>
      <c r="C134" t="s">
        <v>316</v>
      </c>
      <c r="E134" t="s">
        <v>666</v>
      </c>
      <c r="F134" t="s">
        <v>2142</v>
      </c>
      <c r="G134" t="s">
        <v>3734</v>
      </c>
      <c r="H134" t="s">
        <v>5376</v>
      </c>
      <c r="I134" t="s">
        <v>6043</v>
      </c>
      <c r="J134">
        <v>11217</v>
      </c>
      <c r="K134" t="s">
        <v>6074</v>
      </c>
      <c r="L134" t="s">
        <v>6075</v>
      </c>
      <c r="O134" t="s">
        <v>7308</v>
      </c>
      <c r="Q134" t="s">
        <v>7322</v>
      </c>
      <c r="R134" t="s">
        <v>6074</v>
      </c>
      <c r="S134" t="s">
        <v>7324</v>
      </c>
      <c r="U134" t="s">
        <v>316</v>
      </c>
      <c r="V134">
        <v>626.29</v>
      </c>
      <c r="W134" t="s">
        <v>7362</v>
      </c>
      <c r="Z134" t="s">
        <v>7508</v>
      </c>
      <c r="AB134" t="s">
        <v>10359</v>
      </c>
      <c r="AC134">
        <v>0</v>
      </c>
      <c r="AF134">
        <v>0</v>
      </c>
      <c r="AG134">
        <v>1</v>
      </c>
      <c r="AH134">
        <v>0</v>
      </c>
      <c r="AI134">
        <v>0</v>
      </c>
      <c r="AL134" t="s">
        <v>12460</v>
      </c>
      <c r="AM134">
        <v>0</v>
      </c>
      <c r="AS134">
        <v>0</v>
      </c>
      <c r="AU134" t="s">
        <v>88</v>
      </c>
    </row>
    <row r="135" spans="1:48">
      <c r="A135" s="1">
        <f>HYPERLINK("https://cms.ls-nyc.org/matter/dynamic-profile/view/1899835","19-1899835")</f>
        <v>0</v>
      </c>
      <c r="B135" t="s">
        <v>84</v>
      </c>
      <c r="C135" t="s">
        <v>317</v>
      </c>
      <c r="E135" t="s">
        <v>667</v>
      </c>
      <c r="F135" t="s">
        <v>2143</v>
      </c>
      <c r="G135" t="s">
        <v>3734</v>
      </c>
      <c r="H135" t="s">
        <v>5411</v>
      </c>
      <c r="I135" t="s">
        <v>6043</v>
      </c>
      <c r="J135">
        <v>11217</v>
      </c>
      <c r="K135" t="s">
        <v>6074</v>
      </c>
      <c r="L135" t="s">
        <v>6075</v>
      </c>
      <c r="O135" t="s">
        <v>7308</v>
      </c>
      <c r="Q135" t="s">
        <v>7322</v>
      </c>
      <c r="R135" t="s">
        <v>6074</v>
      </c>
      <c r="S135" t="s">
        <v>7324</v>
      </c>
      <c r="U135" t="s">
        <v>317</v>
      </c>
      <c r="V135">
        <v>869.85</v>
      </c>
      <c r="W135" t="s">
        <v>7362</v>
      </c>
      <c r="Z135" t="s">
        <v>7509</v>
      </c>
      <c r="AB135" t="s">
        <v>10360</v>
      </c>
      <c r="AC135">
        <v>0</v>
      </c>
      <c r="AF135">
        <v>10</v>
      </c>
      <c r="AG135">
        <v>1</v>
      </c>
      <c r="AH135">
        <v>0</v>
      </c>
      <c r="AI135">
        <v>0</v>
      </c>
      <c r="AL135" t="s">
        <v>12460</v>
      </c>
      <c r="AM135">
        <v>0</v>
      </c>
      <c r="AS135">
        <v>2.2</v>
      </c>
      <c r="AT135" t="s">
        <v>423</v>
      </c>
      <c r="AU135" t="s">
        <v>88</v>
      </c>
    </row>
    <row r="136" spans="1:48">
      <c r="A136" s="1">
        <f>HYPERLINK("https://cms.ls-nyc.org/matter/dynamic-profile/view/1899861","19-1899861")</f>
        <v>0</v>
      </c>
      <c r="B136" t="s">
        <v>84</v>
      </c>
      <c r="C136" t="s">
        <v>317</v>
      </c>
      <c r="E136" t="s">
        <v>667</v>
      </c>
      <c r="F136" t="s">
        <v>2143</v>
      </c>
      <c r="G136" t="s">
        <v>3734</v>
      </c>
      <c r="H136" t="s">
        <v>5411</v>
      </c>
      <c r="I136" t="s">
        <v>6043</v>
      </c>
      <c r="J136">
        <v>11217</v>
      </c>
      <c r="K136" t="s">
        <v>6074</v>
      </c>
      <c r="L136" t="s">
        <v>6075</v>
      </c>
      <c r="O136" t="s">
        <v>7308</v>
      </c>
      <c r="Q136" t="s">
        <v>7322</v>
      </c>
      <c r="R136" t="s">
        <v>6074</v>
      </c>
      <c r="S136" t="s">
        <v>7324</v>
      </c>
      <c r="U136" t="s">
        <v>317</v>
      </c>
      <c r="V136">
        <v>869.85</v>
      </c>
      <c r="W136" t="s">
        <v>7362</v>
      </c>
      <c r="Z136" t="s">
        <v>7509</v>
      </c>
      <c r="AB136" t="s">
        <v>10360</v>
      </c>
      <c r="AC136">
        <v>0</v>
      </c>
      <c r="AF136">
        <v>10</v>
      </c>
      <c r="AG136">
        <v>1</v>
      </c>
      <c r="AH136">
        <v>0</v>
      </c>
      <c r="AI136">
        <v>0</v>
      </c>
      <c r="AL136" t="s">
        <v>12460</v>
      </c>
      <c r="AM136">
        <v>0</v>
      </c>
      <c r="AS136">
        <v>0</v>
      </c>
      <c r="AU136" t="s">
        <v>88</v>
      </c>
    </row>
    <row r="137" spans="1:48">
      <c r="A137" s="1">
        <f>HYPERLINK("https://cms.ls-nyc.org/matter/dynamic-profile/view/1896031","19-1896031")</f>
        <v>0</v>
      </c>
      <c r="B137" t="s">
        <v>88</v>
      </c>
      <c r="C137" t="s">
        <v>254</v>
      </c>
      <c r="D137" t="s">
        <v>260</v>
      </c>
      <c r="E137" t="s">
        <v>669</v>
      </c>
      <c r="F137" t="s">
        <v>767</v>
      </c>
      <c r="G137" t="s">
        <v>3735</v>
      </c>
      <c r="H137">
        <v>9</v>
      </c>
      <c r="I137" t="s">
        <v>6043</v>
      </c>
      <c r="J137">
        <v>11215</v>
      </c>
      <c r="K137" t="s">
        <v>6074</v>
      </c>
      <c r="L137" t="s">
        <v>6075</v>
      </c>
      <c r="P137" t="s">
        <v>7314</v>
      </c>
      <c r="Q137" t="s">
        <v>7322</v>
      </c>
      <c r="S137" t="s">
        <v>7324</v>
      </c>
      <c r="U137" t="s">
        <v>254</v>
      </c>
      <c r="V137">
        <v>0</v>
      </c>
      <c r="W137" t="s">
        <v>7362</v>
      </c>
      <c r="Y137" t="s">
        <v>7386</v>
      </c>
      <c r="Z137" t="s">
        <v>7511</v>
      </c>
      <c r="AB137" t="s">
        <v>10362</v>
      </c>
      <c r="AC137">
        <v>0</v>
      </c>
      <c r="AF137">
        <v>0</v>
      </c>
      <c r="AG137">
        <v>1</v>
      </c>
      <c r="AH137">
        <v>0</v>
      </c>
      <c r="AI137">
        <v>0</v>
      </c>
      <c r="AL137" t="s">
        <v>12461</v>
      </c>
      <c r="AM137">
        <v>0</v>
      </c>
      <c r="AS137">
        <v>0.5</v>
      </c>
      <c r="AT137" t="s">
        <v>260</v>
      </c>
      <c r="AU137" t="s">
        <v>88</v>
      </c>
      <c r="AV137" t="s">
        <v>13145</v>
      </c>
    </row>
    <row r="138" spans="1:48">
      <c r="A138" s="1">
        <f>HYPERLINK("https://cms.ls-nyc.org/matter/dynamic-profile/view/1891794","19-1891794")</f>
        <v>0</v>
      </c>
      <c r="B138" t="s">
        <v>89</v>
      </c>
      <c r="C138" t="s">
        <v>318</v>
      </c>
      <c r="E138" t="s">
        <v>670</v>
      </c>
      <c r="F138" t="s">
        <v>2135</v>
      </c>
      <c r="G138" t="s">
        <v>3736</v>
      </c>
      <c r="H138" t="s">
        <v>5390</v>
      </c>
      <c r="I138" t="s">
        <v>6043</v>
      </c>
      <c r="J138">
        <v>11213</v>
      </c>
      <c r="K138" t="s">
        <v>6074</v>
      </c>
      <c r="L138" t="s">
        <v>6074</v>
      </c>
      <c r="M138" t="s">
        <v>6147</v>
      </c>
      <c r="N138" t="s">
        <v>7273</v>
      </c>
      <c r="O138" t="s">
        <v>7308</v>
      </c>
      <c r="Q138" t="s">
        <v>7322</v>
      </c>
      <c r="R138" t="s">
        <v>6074</v>
      </c>
      <c r="S138" t="s">
        <v>7324</v>
      </c>
      <c r="T138" t="s">
        <v>7336</v>
      </c>
      <c r="U138" t="s">
        <v>370</v>
      </c>
      <c r="V138">
        <v>852</v>
      </c>
      <c r="W138" t="s">
        <v>7362</v>
      </c>
      <c r="Z138" t="s">
        <v>7512</v>
      </c>
      <c r="AB138" t="s">
        <v>10363</v>
      </c>
      <c r="AC138">
        <v>23</v>
      </c>
      <c r="AD138" t="s">
        <v>12422</v>
      </c>
      <c r="AF138">
        <v>20</v>
      </c>
      <c r="AG138">
        <v>2</v>
      </c>
      <c r="AH138">
        <v>0</v>
      </c>
      <c r="AI138">
        <v>0</v>
      </c>
      <c r="AL138" t="s">
        <v>12460</v>
      </c>
      <c r="AM138">
        <v>0</v>
      </c>
      <c r="AS138">
        <v>0.1</v>
      </c>
      <c r="AT138" t="s">
        <v>277</v>
      </c>
      <c r="AU138" t="s">
        <v>218</v>
      </c>
    </row>
    <row r="139" spans="1:48">
      <c r="A139" s="1">
        <f>HYPERLINK("https://cms.ls-nyc.org/matter/dynamic-profile/view/1892535","19-1892535")</f>
        <v>0</v>
      </c>
      <c r="B139" t="s">
        <v>69</v>
      </c>
      <c r="C139" t="s">
        <v>277</v>
      </c>
      <c r="E139" t="s">
        <v>671</v>
      </c>
      <c r="F139" t="s">
        <v>2145</v>
      </c>
      <c r="G139" t="s">
        <v>3737</v>
      </c>
      <c r="H139" t="s">
        <v>5412</v>
      </c>
      <c r="I139" t="s">
        <v>6043</v>
      </c>
      <c r="J139">
        <v>11213</v>
      </c>
      <c r="K139" t="s">
        <v>6075</v>
      </c>
      <c r="L139" t="s">
        <v>6075</v>
      </c>
      <c r="Q139" t="s">
        <v>7322</v>
      </c>
      <c r="S139" t="s">
        <v>7327</v>
      </c>
      <c r="U139" t="s">
        <v>277</v>
      </c>
      <c r="V139">
        <v>0</v>
      </c>
      <c r="W139" t="s">
        <v>7362</v>
      </c>
      <c r="Z139" t="s">
        <v>7513</v>
      </c>
      <c r="AB139" t="s">
        <v>10364</v>
      </c>
      <c r="AC139">
        <v>0</v>
      </c>
      <c r="AF139">
        <v>0</v>
      </c>
      <c r="AG139">
        <v>1</v>
      </c>
      <c r="AH139">
        <v>1</v>
      </c>
      <c r="AI139">
        <v>0</v>
      </c>
      <c r="AL139" t="s">
        <v>12460</v>
      </c>
      <c r="AM139">
        <v>0</v>
      </c>
      <c r="AS139">
        <v>1.3</v>
      </c>
      <c r="AT139" t="s">
        <v>316</v>
      </c>
      <c r="AU139" t="s">
        <v>69</v>
      </c>
    </row>
    <row r="140" spans="1:48">
      <c r="A140" s="1">
        <f>HYPERLINK("https://cms.ls-nyc.org/matter/dynamic-profile/view/1893304","19-1893304")</f>
        <v>0</v>
      </c>
      <c r="B140" t="s">
        <v>90</v>
      </c>
      <c r="C140" t="s">
        <v>313</v>
      </c>
      <c r="E140" t="s">
        <v>672</v>
      </c>
      <c r="F140" t="s">
        <v>646</v>
      </c>
      <c r="G140" t="s">
        <v>3738</v>
      </c>
      <c r="H140" t="s">
        <v>5413</v>
      </c>
      <c r="I140" t="s">
        <v>6043</v>
      </c>
      <c r="J140">
        <v>11212</v>
      </c>
      <c r="K140" t="s">
        <v>6074</v>
      </c>
      <c r="L140" t="s">
        <v>6074</v>
      </c>
      <c r="N140" t="s">
        <v>7279</v>
      </c>
      <c r="O140" t="s">
        <v>7311</v>
      </c>
      <c r="Q140" t="s">
        <v>7322</v>
      </c>
      <c r="R140" t="s">
        <v>6074</v>
      </c>
      <c r="S140" t="s">
        <v>7324</v>
      </c>
      <c r="T140" t="s">
        <v>7336</v>
      </c>
      <c r="U140" t="s">
        <v>277</v>
      </c>
      <c r="V140">
        <v>900</v>
      </c>
      <c r="W140" t="s">
        <v>7362</v>
      </c>
      <c r="X140" t="s">
        <v>7376</v>
      </c>
      <c r="Z140" t="s">
        <v>7467</v>
      </c>
      <c r="AC140">
        <v>38</v>
      </c>
      <c r="AD140" t="s">
        <v>12422</v>
      </c>
      <c r="AE140" t="s">
        <v>6110</v>
      </c>
      <c r="AF140">
        <v>25</v>
      </c>
      <c r="AG140">
        <v>1</v>
      </c>
      <c r="AH140">
        <v>0</v>
      </c>
      <c r="AI140">
        <v>0</v>
      </c>
      <c r="AL140" t="s">
        <v>12460</v>
      </c>
      <c r="AM140">
        <v>0</v>
      </c>
      <c r="AN140" t="s">
        <v>12504</v>
      </c>
      <c r="AS140">
        <v>0</v>
      </c>
      <c r="AU140" t="s">
        <v>180</v>
      </c>
    </row>
    <row r="141" spans="1:48">
      <c r="A141" s="1">
        <f>HYPERLINK("https://cms.ls-nyc.org/matter/dynamic-profile/view/1872878","18-1872878")</f>
        <v>0</v>
      </c>
      <c r="B141" t="s">
        <v>68</v>
      </c>
      <c r="C141" t="s">
        <v>319</v>
      </c>
      <c r="D141" t="s">
        <v>244</v>
      </c>
      <c r="E141" t="s">
        <v>673</v>
      </c>
      <c r="F141" t="s">
        <v>2146</v>
      </c>
      <c r="G141" t="s">
        <v>3739</v>
      </c>
      <c r="H141" t="s">
        <v>5414</v>
      </c>
      <c r="I141" t="s">
        <v>6043</v>
      </c>
      <c r="J141">
        <v>11212</v>
      </c>
      <c r="K141" t="s">
        <v>6074</v>
      </c>
      <c r="L141" t="s">
        <v>6074</v>
      </c>
      <c r="M141" t="s">
        <v>6148</v>
      </c>
      <c r="N141" t="s">
        <v>7274</v>
      </c>
      <c r="O141" t="s">
        <v>7306</v>
      </c>
      <c r="P141" t="s">
        <v>7314</v>
      </c>
      <c r="Q141" t="s">
        <v>7322</v>
      </c>
      <c r="R141" t="s">
        <v>6076</v>
      </c>
      <c r="S141" t="s">
        <v>7324</v>
      </c>
      <c r="U141" t="s">
        <v>231</v>
      </c>
      <c r="V141">
        <v>850</v>
      </c>
      <c r="W141" t="s">
        <v>7362</v>
      </c>
      <c r="X141" t="s">
        <v>7377</v>
      </c>
      <c r="Y141" t="s">
        <v>7386</v>
      </c>
      <c r="Z141" t="s">
        <v>7514</v>
      </c>
      <c r="AA141" t="s">
        <v>9878</v>
      </c>
      <c r="AB141" t="s">
        <v>10365</v>
      </c>
      <c r="AC141">
        <v>2</v>
      </c>
      <c r="AD141" t="s">
        <v>12422</v>
      </c>
      <c r="AE141" t="s">
        <v>6110</v>
      </c>
      <c r="AF141">
        <v>1</v>
      </c>
      <c r="AG141">
        <v>1</v>
      </c>
      <c r="AH141">
        <v>1</v>
      </c>
      <c r="AI141">
        <v>0</v>
      </c>
      <c r="AL141" t="s">
        <v>12460</v>
      </c>
      <c r="AM141">
        <v>0</v>
      </c>
      <c r="AN141" t="s">
        <v>12505</v>
      </c>
      <c r="AS141">
        <v>2.4</v>
      </c>
      <c r="AT141" t="s">
        <v>319</v>
      </c>
      <c r="AU141" t="s">
        <v>13087</v>
      </c>
    </row>
    <row r="142" spans="1:48">
      <c r="A142" s="1">
        <f>HYPERLINK("https://cms.ls-nyc.org/matter/dynamic-profile/view/1883452","18-1883452")</f>
        <v>0</v>
      </c>
      <c r="B142" t="s">
        <v>73</v>
      </c>
      <c r="C142" t="s">
        <v>320</v>
      </c>
      <c r="D142" t="s">
        <v>428</v>
      </c>
      <c r="E142" t="s">
        <v>674</v>
      </c>
      <c r="F142" t="s">
        <v>2147</v>
      </c>
      <c r="G142" t="s">
        <v>3740</v>
      </c>
      <c r="H142" t="s">
        <v>5376</v>
      </c>
      <c r="I142" t="s">
        <v>6043</v>
      </c>
      <c r="J142">
        <v>11212</v>
      </c>
      <c r="K142" t="s">
        <v>6074</v>
      </c>
      <c r="L142" t="s">
        <v>6074</v>
      </c>
      <c r="M142" t="s">
        <v>6149</v>
      </c>
      <c r="N142" t="s">
        <v>7274</v>
      </c>
      <c r="O142" t="s">
        <v>7307</v>
      </c>
      <c r="P142" t="s">
        <v>7314</v>
      </c>
      <c r="Q142" t="s">
        <v>7322</v>
      </c>
      <c r="S142" t="s">
        <v>7324</v>
      </c>
      <c r="U142" t="s">
        <v>320</v>
      </c>
      <c r="V142">
        <v>1350</v>
      </c>
      <c r="W142" t="s">
        <v>7362</v>
      </c>
      <c r="X142" t="s">
        <v>7366</v>
      </c>
      <c r="Y142" t="s">
        <v>7386</v>
      </c>
      <c r="Z142" t="s">
        <v>7515</v>
      </c>
      <c r="AB142" t="s">
        <v>10366</v>
      </c>
      <c r="AC142">
        <v>4</v>
      </c>
      <c r="AF142">
        <v>7</v>
      </c>
      <c r="AG142">
        <v>1</v>
      </c>
      <c r="AH142">
        <v>0</v>
      </c>
      <c r="AI142">
        <v>0</v>
      </c>
      <c r="AK142" t="s">
        <v>12456</v>
      </c>
      <c r="AL142" t="s">
        <v>12460</v>
      </c>
      <c r="AM142">
        <v>0</v>
      </c>
      <c r="AS142">
        <v>1</v>
      </c>
      <c r="AT142" t="s">
        <v>434</v>
      </c>
      <c r="AU142" t="s">
        <v>13084</v>
      </c>
    </row>
    <row r="143" spans="1:48">
      <c r="A143" s="1">
        <f>HYPERLINK("https://cms.ls-nyc.org/matter/dynamic-profile/view/1893301","19-1893301")</f>
        <v>0</v>
      </c>
      <c r="B143" t="s">
        <v>90</v>
      </c>
      <c r="C143" t="s">
        <v>313</v>
      </c>
      <c r="E143" t="s">
        <v>672</v>
      </c>
      <c r="F143" t="s">
        <v>646</v>
      </c>
      <c r="G143" t="s">
        <v>3738</v>
      </c>
      <c r="H143" t="s">
        <v>5413</v>
      </c>
      <c r="I143" t="s">
        <v>6043</v>
      </c>
      <c r="J143">
        <v>11212</v>
      </c>
      <c r="K143" t="s">
        <v>6074</v>
      </c>
      <c r="L143" t="s">
        <v>6074</v>
      </c>
      <c r="N143" t="s">
        <v>7273</v>
      </c>
      <c r="O143" t="s">
        <v>7308</v>
      </c>
      <c r="Q143" t="s">
        <v>7322</v>
      </c>
      <c r="R143" t="s">
        <v>6074</v>
      </c>
      <c r="S143" t="s">
        <v>7324</v>
      </c>
      <c r="T143" t="s">
        <v>7336</v>
      </c>
      <c r="U143" t="s">
        <v>277</v>
      </c>
      <c r="V143">
        <v>900</v>
      </c>
      <c r="W143" t="s">
        <v>7362</v>
      </c>
      <c r="X143" t="s">
        <v>7376</v>
      </c>
      <c r="Z143" t="s">
        <v>7467</v>
      </c>
      <c r="AC143">
        <v>38</v>
      </c>
      <c r="AD143" t="s">
        <v>12422</v>
      </c>
      <c r="AE143" t="s">
        <v>6110</v>
      </c>
      <c r="AF143">
        <v>25</v>
      </c>
      <c r="AG143">
        <v>1</v>
      </c>
      <c r="AH143">
        <v>0</v>
      </c>
      <c r="AI143">
        <v>0</v>
      </c>
      <c r="AL143" t="s">
        <v>12460</v>
      </c>
      <c r="AM143">
        <v>0</v>
      </c>
      <c r="AS143">
        <v>0</v>
      </c>
      <c r="AU143" t="s">
        <v>180</v>
      </c>
    </row>
    <row r="144" spans="1:48">
      <c r="A144" s="1">
        <f>HYPERLINK("https://cms.ls-nyc.org/matter/dynamic-profile/view/1870843","18-1870843")</f>
        <v>0</v>
      </c>
      <c r="B144" t="s">
        <v>91</v>
      </c>
      <c r="C144" t="s">
        <v>321</v>
      </c>
      <c r="D144" t="s">
        <v>245</v>
      </c>
      <c r="E144" t="s">
        <v>675</v>
      </c>
      <c r="F144" t="s">
        <v>1647</v>
      </c>
      <c r="G144" t="s">
        <v>3741</v>
      </c>
      <c r="H144" t="s">
        <v>5415</v>
      </c>
      <c r="I144" t="s">
        <v>6043</v>
      </c>
      <c r="J144">
        <v>11212</v>
      </c>
      <c r="K144" t="s">
        <v>6074</v>
      </c>
      <c r="L144" t="s">
        <v>6074</v>
      </c>
      <c r="M144" t="s">
        <v>6104</v>
      </c>
      <c r="N144" t="s">
        <v>6104</v>
      </c>
      <c r="O144" t="s">
        <v>7306</v>
      </c>
      <c r="P144" t="s">
        <v>7314</v>
      </c>
      <c r="Q144" t="s">
        <v>7322</v>
      </c>
      <c r="R144" t="s">
        <v>6076</v>
      </c>
      <c r="S144" t="s">
        <v>7324</v>
      </c>
      <c r="U144" t="s">
        <v>7344</v>
      </c>
      <c r="V144">
        <v>0</v>
      </c>
      <c r="W144" t="s">
        <v>7362</v>
      </c>
      <c r="Y144" t="s">
        <v>7386</v>
      </c>
      <c r="Z144" t="s">
        <v>7516</v>
      </c>
      <c r="AB144" t="s">
        <v>10367</v>
      </c>
      <c r="AC144">
        <v>4</v>
      </c>
      <c r="AF144">
        <v>0</v>
      </c>
      <c r="AG144">
        <v>2</v>
      </c>
      <c r="AH144">
        <v>4</v>
      </c>
      <c r="AI144">
        <v>0</v>
      </c>
      <c r="AL144" t="s">
        <v>12461</v>
      </c>
      <c r="AM144">
        <v>0</v>
      </c>
      <c r="AS144">
        <v>1.75</v>
      </c>
      <c r="AT144" t="s">
        <v>328</v>
      </c>
      <c r="AU144" t="s">
        <v>13088</v>
      </c>
    </row>
    <row r="145" spans="1:48">
      <c r="A145" s="1">
        <f>HYPERLINK("https://cms.ls-nyc.org/matter/dynamic-profile/view/1893309","19-1893309")</f>
        <v>0</v>
      </c>
      <c r="B145" t="s">
        <v>90</v>
      </c>
      <c r="C145" t="s">
        <v>313</v>
      </c>
      <c r="E145" t="s">
        <v>672</v>
      </c>
      <c r="F145" t="s">
        <v>646</v>
      </c>
      <c r="G145" t="s">
        <v>3738</v>
      </c>
      <c r="H145" t="s">
        <v>5413</v>
      </c>
      <c r="I145" t="s">
        <v>6043</v>
      </c>
      <c r="J145">
        <v>11212</v>
      </c>
      <c r="K145" t="s">
        <v>6074</v>
      </c>
      <c r="L145" t="s">
        <v>6074</v>
      </c>
      <c r="N145" t="s">
        <v>6104</v>
      </c>
      <c r="O145" t="s">
        <v>7307</v>
      </c>
      <c r="Q145" t="s">
        <v>7322</v>
      </c>
      <c r="R145" t="s">
        <v>6074</v>
      </c>
      <c r="S145" t="s">
        <v>7324</v>
      </c>
      <c r="T145" t="s">
        <v>7336</v>
      </c>
      <c r="U145" t="s">
        <v>277</v>
      </c>
      <c r="V145">
        <v>900</v>
      </c>
      <c r="W145" t="s">
        <v>7362</v>
      </c>
      <c r="X145" t="s">
        <v>7376</v>
      </c>
      <c r="Z145" t="s">
        <v>7467</v>
      </c>
      <c r="AC145">
        <v>38</v>
      </c>
      <c r="AD145" t="s">
        <v>12422</v>
      </c>
      <c r="AE145" t="s">
        <v>6110</v>
      </c>
      <c r="AF145">
        <v>25</v>
      </c>
      <c r="AG145">
        <v>1</v>
      </c>
      <c r="AH145">
        <v>0</v>
      </c>
      <c r="AI145">
        <v>0</v>
      </c>
      <c r="AL145" t="s">
        <v>12460</v>
      </c>
      <c r="AM145">
        <v>0</v>
      </c>
      <c r="AN145" t="s">
        <v>12504</v>
      </c>
      <c r="AS145">
        <v>0</v>
      </c>
      <c r="AU145" t="s">
        <v>180</v>
      </c>
    </row>
    <row r="146" spans="1:48">
      <c r="A146" s="1">
        <f>HYPERLINK("https://cms.ls-nyc.org/matter/dynamic-profile/view/1889769","19-1889769")</f>
        <v>0</v>
      </c>
      <c r="B146" t="s">
        <v>74</v>
      </c>
      <c r="C146" t="s">
        <v>286</v>
      </c>
      <c r="E146" t="s">
        <v>676</v>
      </c>
      <c r="F146" t="s">
        <v>2148</v>
      </c>
      <c r="G146" t="s">
        <v>3742</v>
      </c>
      <c r="H146" t="s">
        <v>5416</v>
      </c>
      <c r="I146" t="s">
        <v>6043</v>
      </c>
      <c r="J146">
        <v>11212</v>
      </c>
      <c r="K146" t="s">
        <v>6074</v>
      </c>
      <c r="L146" t="s">
        <v>6074</v>
      </c>
      <c r="M146" t="s">
        <v>6150</v>
      </c>
      <c r="N146" t="s">
        <v>7276</v>
      </c>
      <c r="O146" t="s">
        <v>7308</v>
      </c>
      <c r="Q146" t="s">
        <v>7322</v>
      </c>
      <c r="R146" t="s">
        <v>6076</v>
      </c>
      <c r="S146" t="s">
        <v>7324</v>
      </c>
      <c r="U146" t="s">
        <v>285</v>
      </c>
      <c r="V146">
        <v>1268</v>
      </c>
      <c r="W146" t="s">
        <v>7362</v>
      </c>
      <c r="X146" t="s">
        <v>7366</v>
      </c>
      <c r="Z146" t="s">
        <v>7517</v>
      </c>
      <c r="AA146" t="s">
        <v>9879</v>
      </c>
      <c r="AB146" t="s">
        <v>10368</v>
      </c>
      <c r="AC146">
        <v>31</v>
      </c>
      <c r="AD146" t="s">
        <v>12422</v>
      </c>
      <c r="AE146" t="s">
        <v>12433</v>
      </c>
      <c r="AF146">
        <v>2</v>
      </c>
      <c r="AG146">
        <v>2</v>
      </c>
      <c r="AH146">
        <v>0</v>
      </c>
      <c r="AI146">
        <v>0</v>
      </c>
      <c r="AL146" t="s">
        <v>12460</v>
      </c>
      <c r="AM146">
        <v>0</v>
      </c>
      <c r="AS146">
        <v>14.65</v>
      </c>
      <c r="AT146" t="s">
        <v>501</v>
      </c>
      <c r="AU146" t="s">
        <v>180</v>
      </c>
    </row>
    <row r="147" spans="1:48">
      <c r="A147" s="1">
        <f>HYPERLINK("https://cms.ls-nyc.org/matter/dynamic-profile/view/1895178","19-1895178")</f>
        <v>0</v>
      </c>
      <c r="B147" t="s">
        <v>86</v>
      </c>
      <c r="C147" t="s">
        <v>322</v>
      </c>
      <c r="E147" t="s">
        <v>676</v>
      </c>
      <c r="F147" t="s">
        <v>2148</v>
      </c>
      <c r="G147" t="s">
        <v>3742</v>
      </c>
      <c r="H147" t="s">
        <v>5416</v>
      </c>
      <c r="I147" t="s">
        <v>6043</v>
      </c>
      <c r="J147">
        <v>11212</v>
      </c>
      <c r="K147" t="s">
        <v>6074</v>
      </c>
      <c r="L147" t="s">
        <v>6074</v>
      </c>
      <c r="M147" t="s">
        <v>6150</v>
      </c>
      <c r="N147" t="s">
        <v>7276</v>
      </c>
      <c r="O147" t="s">
        <v>7306</v>
      </c>
      <c r="Q147" t="s">
        <v>7322</v>
      </c>
      <c r="R147" t="s">
        <v>6076</v>
      </c>
      <c r="S147" t="s">
        <v>7327</v>
      </c>
      <c r="U147" t="s">
        <v>285</v>
      </c>
      <c r="V147">
        <v>1268</v>
      </c>
      <c r="W147" t="s">
        <v>7362</v>
      </c>
      <c r="X147" t="s">
        <v>7366</v>
      </c>
      <c r="Z147" t="s">
        <v>7517</v>
      </c>
      <c r="AA147" t="s">
        <v>9879</v>
      </c>
      <c r="AB147" t="s">
        <v>10368</v>
      </c>
      <c r="AC147">
        <v>31</v>
      </c>
      <c r="AD147" t="s">
        <v>12422</v>
      </c>
      <c r="AE147" t="s">
        <v>12433</v>
      </c>
      <c r="AF147">
        <v>2</v>
      </c>
      <c r="AG147">
        <v>2</v>
      </c>
      <c r="AH147">
        <v>0</v>
      </c>
      <c r="AI147">
        <v>0</v>
      </c>
      <c r="AL147" t="s">
        <v>12460</v>
      </c>
      <c r="AM147">
        <v>0</v>
      </c>
      <c r="AS147">
        <v>0.5</v>
      </c>
      <c r="AT147" t="s">
        <v>457</v>
      </c>
      <c r="AU147" t="s">
        <v>180</v>
      </c>
    </row>
    <row r="148" spans="1:48">
      <c r="A148" s="1">
        <f>HYPERLINK("https://cms.ls-nyc.org/matter/dynamic-profile/view/1895289","19-1895289")</f>
        <v>0</v>
      </c>
      <c r="B148" t="s">
        <v>89</v>
      </c>
      <c r="C148" t="s">
        <v>323</v>
      </c>
      <c r="E148" t="s">
        <v>677</v>
      </c>
      <c r="F148" t="s">
        <v>2149</v>
      </c>
      <c r="G148" t="s">
        <v>3743</v>
      </c>
      <c r="H148" t="s">
        <v>5417</v>
      </c>
      <c r="I148" t="s">
        <v>6043</v>
      </c>
      <c r="J148">
        <v>11212</v>
      </c>
      <c r="K148" t="s">
        <v>6074</v>
      </c>
      <c r="L148" t="s">
        <v>6074</v>
      </c>
      <c r="M148" t="s">
        <v>6151</v>
      </c>
      <c r="N148" t="s">
        <v>7278</v>
      </c>
      <c r="O148" t="s">
        <v>7307</v>
      </c>
      <c r="Q148" t="s">
        <v>7322</v>
      </c>
      <c r="R148" t="s">
        <v>6074</v>
      </c>
      <c r="S148" t="s">
        <v>7328</v>
      </c>
      <c r="T148" t="s">
        <v>7336</v>
      </c>
      <c r="U148" t="s">
        <v>318</v>
      </c>
      <c r="V148">
        <v>1515</v>
      </c>
      <c r="W148" t="s">
        <v>7362</v>
      </c>
      <c r="X148" t="s">
        <v>7375</v>
      </c>
      <c r="Z148" t="s">
        <v>7518</v>
      </c>
      <c r="AB148" t="s">
        <v>10369</v>
      </c>
      <c r="AC148">
        <v>16</v>
      </c>
      <c r="AD148" t="s">
        <v>12422</v>
      </c>
      <c r="AE148" t="s">
        <v>12437</v>
      </c>
      <c r="AF148">
        <v>3</v>
      </c>
      <c r="AG148">
        <v>2</v>
      </c>
      <c r="AH148">
        <v>0</v>
      </c>
      <c r="AI148">
        <v>0</v>
      </c>
      <c r="AL148" t="s">
        <v>12460</v>
      </c>
      <c r="AM148">
        <v>0</v>
      </c>
      <c r="AN148" t="s">
        <v>12506</v>
      </c>
      <c r="AS148">
        <v>0</v>
      </c>
      <c r="AU148" t="s">
        <v>180</v>
      </c>
      <c r="AV148" t="s">
        <v>13145</v>
      </c>
    </row>
    <row r="149" spans="1:48">
      <c r="A149" s="1">
        <f>HYPERLINK("https://cms.ls-nyc.org/matter/dynamic-profile/view/1901085","19-1901085")</f>
        <v>0</v>
      </c>
      <c r="B149" t="s">
        <v>89</v>
      </c>
      <c r="C149" t="s">
        <v>324</v>
      </c>
      <c r="E149" t="s">
        <v>677</v>
      </c>
      <c r="F149" t="s">
        <v>2149</v>
      </c>
      <c r="G149" t="s">
        <v>3743</v>
      </c>
      <c r="H149" t="s">
        <v>5417</v>
      </c>
      <c r="I149" t="s">
        <v>6043</v>
      </c>
      <c r="J149">
        <v>11212</v>
      </c>
      <c r="K149" t="s">
        <v>6074</v>
      </c>
      <c r="L149" t="s">
        <v>6075</v>
      </c>
      <c r="M149" t="s">
        <v>6152</v>
      </c>
      <c r="O149" t="s">
        <v>7312</v>
      </c>
      <c r="Q149" t="s">
        <v>7322</v>
      </c>
      <c r="R149" t="s">
        <v>6074</v>
      </c>
      <c r="S149" t="s">
        <v>7329</v>
      </c>
      <c r="T149" t="s">
        <v>7336</v>
      </c>
      <c r="U149" t="s">
        <v>247</v>
      </c>
      <c r="V149">
        <v>1515</v>
      </c>
      <c r="W149" t="s">
        <v>7362</v>
      </c>
      <c r="X149" t="s">
        <v>7375</v>
      </c>
      <c r="Z149" t="s">
        <v>7518</v>
      </c>
      <c r="AB149" t="s">
        <v>10369</v>
      </c>
      <c r="AC149">
        <v>16</v>
      </c>
      <c r="AD149" t="s">
        <v>12422</v>
      </c>
      <c r="AE149" t="s">
        <v>12437</v>
      </c>
      <c r="AF149">
        <v>3</v>
      </c>
      <c r="AG149">
        <v>2</v>
      </c>
      <c r="AH149">
        <v>0</v>
      </c>
      <c r="AI149">
        <v>0</v>
      </c>
      <c r="AL149" t="s">
        <v>12460</v>
      </c>
      <c r="AM149">
        <v>0</v>
      </c>
      <c r="AN149" t="s">
        <v>12507</v>
      </c>
      <c r="AS149">
        <v>0</v>
      </c>
      <c r="AU149" t="s">
        <v>218</v>
      </c>
      <c r="AV149" t="s">
        <v>13145</v>
      </c>
    </row>
    <row r="150" spans="1:48">
      <c r="A150" s="1">
        <f>HYPERLINK("https://cms.ls-nyc.org/matter/dynamic-profile/view/1879820","18-1879820")</f>
        <v>0</v>
      </c>
      <c r="B150" t="s">
        <v>75</v>
      </c>
      <c r="C150" t="s">
        <v>325</v>
      </c>
      <c r="D150" t="s">
        <v>267</v>
      </c>
      <c r="E150" t="s">
        <v>678</v>
      </c>
      <c r="F150" t="s">
        <v>2150</v>
      </c>
      <c r="G150" t="s">
        <v>3744</v>
      </c>
      <c r="I150" t="s">
        <v>6043</v>
      </c>
      <c r="J150">
        <v>11210</v>
      </c>
      <c r="K150" t="s">
        <v>6074</v>
      </c>
      <c r="L150" t="s">
        <v>6074</v>
      </c>
      <c r="M150" t="s">
        <v>6153</v>
      </c>
      <c r="N150" t="s">
        <v>7274</v>
      </c>
      <c r="O150" t="s">
        <v>7308</v>
      </c>
      <c r="P150" t="s">
        <v>7316</v>
      </c>
      <c r="Q150" t="s">
        <v>7322</v>
      </c>
      <c r="R150" t="s">
        <v>6076</v>
      </c>
      <c r="S150" t="s">
        <v>7324</v>
      </c>
      <c r="T150" t="s">
        <v>7339</v>
      </c>
      <c r="U150" t="s">
        <v>271</v>
      </c>
      <c r="V150">
        <v>1900</v>
      </c>
      <c r="W150" t="s">
        <v>7362</v>
      </c>
      <c r="X150" t="s">
        <v>7371</v>
      </c>
      <c r="Y150" t="s">
        <v>7388</v>
      </c>
      <c r="Z150" t="s">
        <v>7488</v>
      </c>
      <c r="AC150">
        <v>169</v>
      </c>
      <c r="AD150" t="s">
        <v>12422</v>
      </c>
      <c r="AE150" t="s">
        <v>12435</v>
      </c>
      <c r="AF150">
        <v>0</v>
      </c>
      <c r="AG150">
        <v>2</v>
      </c>
      <c r="AH150">
        <v>3</v>
      </c>
      <c r="AI150">
        <v>0</v>
      </c>
      <c r="AL150" t="s">
        <v>12460</v>
      </c>
      <c r="AM150">
        <v>0</v>
      </c>
      <c r="AO150" t="s">
        <v>12850</v>
      </c>
      <c r="AP150" t="s">
        <v>7305</v>
      </c>
      <c r="AQ150" t="s">
        <v>12910</v>
      </c>
      <c r="AR150" t="s">
        <v>12925</v>
      </c>
      <c r="AS150">
        <v>12.9</v>
      </c>
      <c r="AT150" t="s">
        <v>267</v>
      </c>
      <c r="AU150" t="s">
        <v>13082</v>
      </c>
    </row>
    <row r="151" spans="1:48">
      <c r="A151" s="1">
        <f>HYPERLINK("https://cms.ls-nyc.org/matter/dynamic-profile/view/1895816","19-1895816")</f>
        <v>0</v>
      </c>
      <c r="B151" t="s">
        <v>84</v>
      </c>
      <c r="C151" t="s">
        <v>315</v>
      </c>
      <c r="E151" t="s">
        <v>679</v>
      </c>
      <c r="F151" t="s">
        <v>2151</v>
      </c>
      <c r="G151" t="s">
        <v>3745</v>
      </c>
      <c r="I151" t="s">
        <v>6043</v>
      </c>
      <c r="J151">
        <v>11210</v>
      </c>
      <c r="K151" t="s">
        <v>6075</v>
      </c>
      <c r="L151" t="s">
        <v>6075</v>
      </c>
      <c r="N151" t="s">
        <v>7274</v>
      </c>
      <c r="Q151" t="s">
        <v>7322</v>
      </c>
      <c r="S151" t="s">
        <v>7324</v>
      </c>
      <c r="U151" t="s">
        <v>315</v>
      </c>
      <c r="V151">
        <v>0</v>
      </c>
      <c r="W151" t="s">
        <v>7362</v>
      </c>
      <c r="Z151" t="s">
        <v>7519</v>
      </c>
      <c r="AB151" t="s">
        <v>10370</v>
      </c>
      <c r="AC151">
        <v>0</v>
      </c>
      <c r="AF151">
        <v>0</v>
      </c>
      <c r="AG151">
        <v>1</v>
      </c>
      <c r="AH151">
        <v>1</v>
      </c>
      <c r="AI151">
        <v>0</v>
      </c>
      <c r="AL151" t="s">
        <v>12460</v>
      </c>
      <c r="AM151">
        <v>0</v>
      </c>
      <c r="AS151">
        <v>4.8</v>
      </c>
      <c r="AT151" t="s">
        <v>424</v>
      </c>
      <c r="AU151" t="s">
        <v>69</v>
      </c>
    </row>
    <row r="152" spans="1:48">
      <c r="A152" s="1">
        <f>HYPERLINK("https://cms.ls-nyc.org/matter/dynamic-profile/view/1886104","18-1886104")</f>
        <v>0</v>
      </c>
      <c r="B152" t="s">
        <v>84</v>
      </c>
      <c r="C152" t="s">
        <v>326</v>
      </c>
      <c r="E152" t="s">
        <v>679</v>
      </c>
      <c r="F152" t="s">
        <v>2151</v>
      </c>
      <c r="G152" t="s">
        <v>3745</v>
      </c>
      <c r="I152" t="s">
        <v>6043</v>
      </c>
      <c r="J152">
        <v>11210</v>
      </c>
      <c r="K152" t="s">
        <v>6074</v>
      </c>
      <c r="L152" t="s">
        <v>6074</v>
      </c>
      <c r="M152" t="s">
        <v>6154</v>
      </c>
      <c r="N152" t="s">
        <v>7276</v>
      </c>
      <c r="O152" t="s">
        <v>7308</v>
      </c>
      <c r="Q152" t="s">
        <v>7322</v>
      </c>
      <c r="R152" t="s">
        <v>6076</v>
      </c>
      <c r="S152" t="s">
        <v>7324</v>
      </c>
      <c r="U152" t="s">
        <v>326</v>
      </c>
      <c r="V152">
        <v>0</v>
      </c>
      <c r="W152" t="s">
        <v>7362</v>
      </c>
      <c r="Z152" t="s">
        <v>7519</v>
      </c>
      <c r="AB152" t="s">
        <v>10370</v>
      </c>
      <c r="AC152">
        <v>0</v>
      </c>
      <c r="AD152" t="s">
        <v>12419</v>
      </c>
      <c r="AF152">
        <v>6</v>
      </c>
      <c r="AG152">
        <v>1</v>
      </c>
      <c r="AH152">
        <v>1</v>
      </c>
      <c r="AI152">
        <v>0</v>
      </c>
      <c r="AM152">
        <v>0</v>
      </c>
      <c r="AS152">
        <v>61</v>
      </c>
      <c r="AT152" t="s">
        <v>445</v>
      </c>
      <c r="AU152" t="s">
        <v>88</v>
      </c>
    </row>
    <row r="153" spans="1:48">
      <c r="A153" s="1">
        <f>HYPERLINK("https://cms.ls-nyc.org/matter/dynamic-profile/view/1866809","18-1866809")</f>
        <v>0</v>
      </c>
      <c r="B153" t="s">
        <v>74</v>
      </c>
      <c r="C153" t="s">
        <v>327</v>
      </c>
      <c r="D153" t="s">
        <v>472</v>
      </c>
      <c r="E153" t="s">
        <v>680</v>
      </c>
      <c r="F153" t="s">
        <v>2152</v>
      </c>
      <c r="G153" t="s">
        <v>3746</v>
      </c>
      <c r="H153" t="s">
        <v>5418</v>
      </c>
      <c r="I153" t="s">
        <v>6043</v>
      </c>
      <c r="J153">
        <v>11208</v>
      </c>
      <c r="K153" t="s">
        <v>6074</v>
      </c>
      <c r="L153" t="s">
        <v>6074</v>
      </c>
      <c r="M153" t="s">
        <v>6155</v>
      </c>
      <c r="N153" t="s">
        <v>7274</v>
      </c>
      <c r="O153" t="s">
        <v>7308</v>
      </c>
      <c r="P153" t="s">
        <v>7319</v>
      </c>
      <c r="Q153" t="s">
        <v>7322</v>
      </c>
      <c r="R153" t="s">
        <v>6076</v>
      </c>
      <c r="S153" t="s">
        <v>7324</v>
      </c>
      <c r="U153" t="s">
        <v>502</v>
      </c>
      <c r="V153">
        <v>1254</v>
      </c>
      <c r="W153" t="s">
        <v>7362</v>
      </c>
      <c r="X153" t="s">
        <v>7378</v>
      </c>
      <c r="Y153" t="s">
        <v>7386</v>
      </c>
      <c r="Z153" t="s">
        <v>7520</v>
      </c>
      <c r="AA153" t="s">
        <v>7149</v>
      </c>
      <c r="AB153" t="s">
        <v>10371</v>
      </c>
      <c r="AC153">
        <v>3</v>
      </c>
      <c r="AD153" t="s">
        <v>6322</v>
      </c>
      <c r="AE153" t="s">
        <v>12434</v>
      </c>
      <c r="AF153">
        <v>10</v>
      </c>
      <c r="AG153">
        <v>2</v>
      </c>
      <c r="AH153">
        <v>1</v>
      </c>
      <c r="AI153">
        <v>0</v>
      </c>
      <c r="AL153" t="s">
        <v>12460</v>
      </c>
      <c r="AM153">
        <v>0</v>
      </c>
      <c r="AS153">
        <v>13.86</v>
      </c>
      <c r="AT153" t="s">
        <v>468</v>
      </c>
      <c r="AU153" t="s">
        <v>13089</v>
      </c>
    </row>
    <row r="154" spans="1:48">
      <c r="A154" s="1">
        <f>HYPERLINK("https://cms.ls-nyc.org/matter/dynamic-profile/view/1871051","18-1871051")</f>
        <v>0</v>
      </c>
      <c r="B154" t="s">
        <v>78</v>
      </c>
      <c r="C154" t="s">
        <v>328</v>
      </c>
      <c r="D154" t="s">
        <v>243</v>
      </c>
      <c r="E154" t="s">
        <v>681</v>
      </c>
      <c r="F154" t="s">
        <v>2153</v>
      </c>
      <c r="G154" t="s">
        <v>3747</v>
      </c>
      <c r="H154" t="s">
        <v>5419</v>
      </c>
      <c r="I154" t="s">
        <v>6043</v>
      </c>
      <c r="J154">
        <v>11208</v>
      </c>
      <c r="K154" t="s">
        <v>6074</v>
      </c>
      <c r="L154" t="s">
        <v>6074</v>
      </c>
      <c r="M154" t="s">
        <v>6156</v>
      </c>
      <c r="N154" t="s">
        <v>7274</v>
      </c>
      <c r="O154" t="s">
        <v>7307</v>
      </c>
      <c r="P154" t="s">
        <v>7315</v>
      </c>
      <c r="Q154" t="s">
        <v>7322</v>
      </c>
      <c r="S154" t="s">
        <v>7324</v>
      </c>
      <c r="U154" t="s">
        <v>7345</v>
      </c>
      <c r="V154">
        <v>0</v>
      </c>
      <c r="W154" t="s">
        <v>7362</v>
      </c>
      <c r="X154" t="s">
        <v>7379</v>
      </c>
      <c r="Y154" t="s">
        <v>7395</v>
      </c>
      <c r="Z154" t="s">
        <v>7521</v>
      </c>
      <c r="AB154" t="s">
        <v>10372</v>
      </c>
      <c r="AC154">
        <v>1</v>
      </c>
      <c r="AD154" t="s">
        <v>12419</v>
      </c>
      <c r="AF154">
        <v>13</v>
      </c>
      <c r="AG154">
        <v>8</v>
      </c>
      <c r="AH154">
        <v>4</v>
      </c>
      <c r="AI154">
        <v>0</v>
      </c>
      <c r="AL154" t="s">
        <v>12460</v>
      </c>
      <c r="AM154">
        <v>0</v>
      </c>
      <c r="AN154" t="s">
        <v>12508</v>
      </c>
      <c r="AS154">
        <v>2.1</v>
      </c>
      <c r="AT154" t="s">
        <v>243</v>
      </c>
      <c r="AU154" t="s">
        <v>13085</v>
      </c>
    </row>
    <row r="155" spans="1:48">
      <c r="A155" s="1">
        <f>HYPERLINK("https://cms.ls-nyc.org/matter/dynamic-profile/view/1882823","18-1882823")</f>
        <v>0</v>
      </c>
      <c r="B155" t="s">
        <v>92</v>
      </c>
      <c r="C155" t="s">
        <v>246</v>
      </c>
      <c r="D155" t="s">
        <v>264</v>
      </c>
      <c r="E155" t="s">
        <v>682</v>
      </c>
      <c r="F155" t="s">
        <v>2154</v>
      </c>
      <c r="G155" t="s">
        <v>3748</v>
      </c>
      <c r="H155">
        <v>7</v>
      </c>
      <c r="I155" t="s">
        <v>6043</v>
      </c>
      <c r="J155">
        <v>11208</v>
      </c>
      <c r="K155" t="s">
        <v>6074</v>
      </c>
      <c r="L155" t="s">
        <v>6074</v>
      </c>
      <c r="M155" t="s">
        <v>6157</v>
      </c>
      <c r="N155" t="s">
        <v>7274</v>
      </c>
      <c r="O155" t="s">
        <v>7308</v>
      </c>
      <c r="P155" t="s">
        <v>7316</v>
      </c>
      <c r="Q155" t="s">
        <v>7322</v>
      </c>
      <c r="R155" t="s">
        <v>6074</v>
      </c>
      <c r="S155" t="s">
        <v>7324</v>
      </c>
      <c r="T155" t="s">
        <v>7336</v>
      </c>
      <c r="U155" t="s">
        <v>238</v>
      </c>
      <c r="V155">
        <v>600</v>
      </c>
      <c r="W155" t="s">
        <v>7362</v>
      </c>
      <c r="X155" t="s">
        <v>7375</v>
      </c>
      <c r="Y155" t="s">
        <v>7386</v>
      </c>
      <c r="Z155" t="s">
        <v>7522</v>
      </c>
      <c r="AB155" t="s">
        <v>10373</v>
      </c>
      <c r="AC155">
        <v>7</v>
      </c>
      <c r="AD155" t="s">
        <v>12419</v>
      </c>
      <c r="AE155" t="s">
        <v>6110</v>
      </c>
      <c r="AF155">
        <v>2</v>
      </c>
      <c r="AG155">
        <v>1</v>
      </c>
      <c r="AH155">
        <v>0</v>
      </c>
      <c r="AI155">
        <v>0</v>
      </c>
      <c r="AL155" t="s">
        <v>12460</v>
      </c>
      <c r="AM155">
        <v>0</v>
      </c>
      <c r="AN155" t="s">
        <v>12509</v>
      </c>
      <c r="AO155" t="s">
        <v>12848</v>
      </c>
      <c r="AP155" t="s">
        <v>12864</v>
      </c>
      <c r="AQ155" t="s">
        <v>12910</v>
      </c>
      <c r="AR155" t="s">
        <v>12926</v>
      </c>
      <c r="AS155">
        <v>0.1</v>
      </c>
      <c r="AT155" t="s">
        <v>264</v>
      </c>
      <c r="AU155" t="s">
        <v>218</v>
      </c>
    </row>
    <row r="156" spans="1:48">
      <c r="A156" s="1">
        <f>HYPERLINK("https://cms.ls-nyc.org/matter/dynamic-profile/view/1892003","19-1892003")</f>
        <v>0</v>
      </c>
      <c r="B156" t="s">
        <v>92</v>
      </c>
      <c r="C156" t="s">
        <v>329</v>
      </c>
      <c r="D156" t="s">
        <v>264</v>
      </c>
      <c r="E156" t="s">
        <v>682</v>
      </c>
      <c r="F156" t="s">
        <v>2154</v>
      </c>
      <c r="G156" t="s">
        <v>3748</v>
      </c>
      <c r="H156">
        <v>7</v>
      </c>
      <c r="I156" t="s">
        <v>6043</v>
      </c>
      <c r="J156">
        <v>11208</v>
      </c>
      <c r="K156" t="s">
        <v>6074</v>
      </c>
      <c r="L156" t="s">
        <v>6074</v>
      </c>
      <c r="M156" t="s">
        <v>6158</v>
      </c>
      <c r="N156" t="s">
        <v>7273</v>
      </c>
      <c r="O156" t="s">
        <v>7308</v>
      </c>
      <c r="P156" t="s">
        <v>7316</v>
      </c>
      <c r="Q156" t="s">
        <v>7322</v>
      </c>
      <c r="R156" t="s">
        <v>6074</v>
      </c>
      <c r="S156" t="s">
        <v>7324</v>
      </c>
      <c r="T156" t="s">
        <v>7336</v>
      </c>
      <c r="U156" t="s">
        <v>502</v>
      </c>
      <c r="V156">
        <v>600</v>
      </c>
      <c r="W156" t="s">
        <v>7362</v>
      </c>
      <c r="X156" t="s">
        <v>7368</v>
      </c>
      <c r="Y156" t="s">
        <v>7386</v>
      </c>
      <c r="Z156" t="s">
        <v>7522</v>
      </c>
      <c r="AB156" t="s">
        <v>10373</v>
      </c>
      <c r="AC156">
        <v>7</v>
      </c>
      <c r="AD156" t="s">
        <v>12419</v>
      </c>
      <c r="AE156" t="s">
        <v>6110</v>
      </c>
      <c r="AF156">
        <v>2</v>
      </c>
      <c r="AG156">
        <v>1</v>
      </c>
      <c r="AH156">
        <v>0</v>
      </c>
      <c r="AI156">
        <v>0</v>
      </c>
      <c r="AL156" t="s">
        <v>12460</v>
      </c>
      <c r="AM156">
        <v>0</v>
      </c>
      <c r="AN156" t="s">
        <v>12510</v>
      </c>
      <c r="AP156" t="s">
        <v>12864</v>
      </c>
      <c r="AS156">
        <v>0.1</v>
      </c>
      <c r="AT156" t="s">
        <v>264</v>
      </c>
      <c r="AU156" t="s">
        <v>218</v>
      </c>
    </row>
    <row r="157" spans="1:48">
      <c r="A157" s="1">
        <f>HYPERLINK("https://cms.ls-nyc.org/matter/dynamic-profile/view/1889315","19-1889315")</f>
        <v>0</v>
      </c>
      <c r="B157" t="s">
        <v>92</v>
      </c>
      <c r="C157" t="s">
        <v>261</v>
      </c>
      <c r="D157" t="s">
        <v>264</v>
      </c>
      <c r="E157" t="s">
        <v>682</v>
      </c>
      <c r="F157" t="s">
        <v>2154</v>
      </c>
      <c r="G157" t="s">
        <v>3748</v>
      </c>
      <c r="H157">
        <v>7</v>
      </c>
      <c r="I157" t="s">
        <v>6043</v>
      </c>
      <c r="J157">
        <v>11208</v>
      </c>
      <c r="K157" t="s">
        <v>6074</v>
      </c>
      <c r="L157" t="s">
        <v>6074</v>
      </c>
      <c r="N157" t="s">
        <v>7275</v>
      </c>
      <c r="O157" t="s">
        <v>7307</v>
      </c>
      <c r="P157" t="s">
        <v>7315</v>
      </c>
      <c r="Q157" t="s">
        <v>7322</v>
      </c>
      <c r="R157" t="s">
        <v>6074</v>
      </c>
      <c r="S157" t="s">
        <v>7324</v>
      </c>
      <c r="T157" t="s">
        <v>7336</v>
      </c>
      <c r="U157" t="s">
        <v>250</v>
      </c>
      <c r="V157">
        <v>600</v>
      </c>
      <c r="W157" t="s">
        <v>7362</v>
      </c>
      <c r="X157" t="s">
        <v>7375</v>
      </c>
      <c r="Y157" t="s">
        <v>7394</v>
      </c>
      <c r="Z157" t="s">
        <v>7522</v>
      </c>
      <c r="AB157" t="s">
        <v>10373</v>
      </c>
      <c r="AC157">
        <v>7</v>
      </c>
      <c r="AD157" t="s">
        <v>12419</v>
      </c>
      <c r="AE157" t="s">
        <v>6110</v>
      </c>
      <c r="AF157">
        <v>2</v>
      </c>
      <c r="AG157">
        <v>1</v>
      </c>
      <c r="AH157">
        <v>0</v>
      </c>
      <c r="AI157">
        <v>0</v>
      </c>
      <c r="AL157" t="s">
        <v>12460</v>
      </c>
      <c r="AM157">
        <v>0</v>
      </c>
      <c r="AS157">
        <v>0.1</v>
      </c>
      <c r="AT157" t="s">
        <v>420</v>
      </c>
      <c r="AU157" t="s">
        <v>180</v>
      </c>
    </row>
    <row r="158" spans="1:48">
      <c r="A158" s="1">
        <f>HYPERLINK("https://cms.ls-nyc.org/matter/dynamic-profile/view/1890391","19-1890391")</f>
        <v>0</v>
      </c>
      <c r="B158" t="s">
        <v>93</v>
      </c>
      <c r="C158" t="s">
        <v>330</v>
      </c>
      <c r="E158" t="s">
        <v>683</v>
      </c>
      <c r="F158" t="s">
        <v>2155</v>
      </c>
      <c r="G158" t="s">
        <v>3749</v>
      </c>
      <c r="H158">
        <v>2</v>
      </c>
      <c r="I158" t="s">
        <v>6043</v>
      </c>
      <c r="J158">
        <v>11208</v>
      </c>
      <c r="K158" t="s">
        <v>6074</v>
      </c>
      <c r="L158" t="s">
        <v>6074</v>
      </c>
      <c r="M158" t="s">
        <v>6159</v>
      </c>
      <c r="N158" t="s">
        <v>7276</v>
      </c>
      <c r="O158" t="s">
        <v>7308</v>
      </c>
      <c r="Q158" t="s">
        <v>7322</v>
      </c>
      <c r="R158" t="s">
        <v>6076</v>
      </c>
      <c r="S158" t="s">
        <v>7324</v>
      </c>
      <c r="T158" t="s">
        <v>7336</v>
      </c>
      <c r="U158" t="s">
        <v>365</v>
      </c>
      <c r="V158">
        <v>2500</v>
      </c>
      <c r="W158" t="s">
        <v>7362</v>
      </c>
      <c r="X158" t="s">
        <v>7373</v>
      </c>
      <c r="Z158" t="s">
        <v>7523</v>
      </c>
      <c r="AB158" t="s">
        <v>10374</v>
      </c>
      <c r="AC158">
        <v>2</v>
      </c>
      <c r="AD158" t="s">
        <v>12419</v>
      </c>
      <c r="AE158" t="s">
        <v>12433</v>
      </c>
      <c r="AF158">
        <v>4</v>
      </c>
      <c r="AG158">
        <v>3</v>
      </c>
      <c r="AH158">
        <v>2</v>
      </c>
      <c r="AI158">
        <v>0</v>
      </c>
      <c r="AL158" t="s">
        <v>12460</v>
      </c>
      <c r="AM158">
        <v>0</v>
      </c>
      <c r="AS158">
        <v>27.8</v>
      </c>
      <c r="AT158" t="s">
        <v>445</v>
      </c>
      <c r="AU158" t="s">
        <v>13082</v>
      </c>
    </row>
    <row r="159" spans="1:48">
      <c r="A159" s="1">
        <f>HYPERLINK("https://cms.ls-nyc.org/matter/dynamic-profile/view/1883185","18-1883185")</f>
        <v>0</v>
      </c>
      <c r="B159" t="s">
        <v>76</v>
      </c>
      <c r="C159" t="s">
        <v>331</v>
      </c>
      <c r="E159" t="s">
        <v>684</v>
      </c>
      <c r="F159" t="s">
        <v>2156</v>
      </c>
      <c r="G159" t="s">
        <v>3750</v>
      </c>
      <c r="H159" t="s">
        <v>5420</v>
      </c>
      <c r="I159" t="s">
        <v>6043</v>
      </c>
      <c r="J159">
        <v>11207</v>
      </c>
      <c r="K159" t="s">
        <v>6074</v>
      </c>
      <c r="L159" t="s">
        <v>6074</v>
      </c>
      <c r="M159" t="s">
        <v>6160</v>
      </c>
      <c r="N159" t="s">
        <v>7274</v>
      </c>
      <c r="O159" t="s">
        <v>7308</v>
      </c>
      <c r="Q159" t="s">
        <v>7322</v>
      </c>
      <c r="R159" t="s">
        <v>6076</v>
      </c>
      <c r="S159" t="s">
        <v>7324</v>
      </c>
      <c r="U159" t="s">
        <v>331</v>
      </c>
      <c r="V159">
        <v>500</v>
      </c>
      <c r="W159" t="s">
        <v>7362</v>
      </c>
      <c r="X159" t="s">
        <v>7373</v>
      </c>
      <c r="Z159" t="s">
        <v>7524</v>
      </c>
      <c r="AB159" t="s">
        <v>10375</v>
      </c>
      <c r="AC159">
        <v>4</v>
      </c>
      <c r="AD159" t="s">
        <v>12419</v>
      </c>
      <c r="AE159" t="s">
        <v>6110</v>
      </c>
      <c r="AF159">
        <v>1</v>
      </c>
      <c r="AG159">
        <v>1</v>
      </c>
      <c r="AH159">
        <v>0</v>
      </c>
      <c r="AI159">
        <v>0</v>
      </c>
      <c r="AL159" t="s">
        <v>12460</v>
      </c>
      <c r="AM159">
        <v>0</v>
      </c>
      <c r="AN159" t="s">
        <v>12511</v>
      </c>
      <c r="AS159">
        <v>24.4</v>
      </c>
      <c r="AT159" t="s">
        <v>386</v>
      </c>
      <c r="AU159" t="s">
        <v>180</v>
      </c>
    </row>
    <row r="160" spans="1:48">
      <c r="A160" s="1">
        <f>HYPERLINK("https://cms.ls-nyc.org/matter/dynamic-profile/view/1893101","19-1893101")</f>
        <v>0</v>
      </c>
      <c r="B160" t="s">
        <v>71</v>
      </c>
      <c r="C160" t="s">
        <v>332</v>
      </c>
      <c r="D160" t="s">
        <v>334</v>
      </c>
      <c r="E160" t="s">
        <v>685</v>
      </c>
      <c r="F160" t="s">
        <v>2157</v>
      </c>
      <c r="G160" t="s">
        <v>3751</v>
      </c>
      <c r="H160">
        <v>1</v>
      </c>
      <c r="I160" t="s">
        <v>6043</v>
      </c>
      <c r="J160">
        <v>11207</v>
      </c>
      <c r="K160" t="s">
        <v>6074</v>
      </c>
      <c r="L160" t="s">
        <v>6075</v>
      </c>
      <c r="M160" t="s">
        <v>6161</v>
      </c>
      <c r="N160" t="s">
        <v>7274</v>
      </c>
      <c r="O160" t="s">
        <v>7307</v>
      </c>
      <c r="P160" t="s">
        <v>7315</v>
      </c>
      <c r="Q160" t="s">
        <v>7322</v>
      </c>
      <c r="S160" t="s">
        <v>7324</v>
      </c>
      <c r="U160" t="s">
        <v>332</v>
      </c>
      <c r="V160">
        <v>1200</v>
      </c>
      <c r="W160" t="s">
        <v>7362</v>
      </c>
      <c r="Y160" t="s">
        <v>7386</v>
      </c>
      <c r="Z160" t="s">
        <v>7461</v>
      </c>
      <c r="AC160">
        <v>2</v>
      </c>
      <c r="AD160" t="s">
        <v>6322</v>
      </c>
      <c r="AF160">
        <v>11</v>
      </c>
      <c r="AG160">
        <v>3</v>
      </c>
      <c r="AH160">
        <v>0</v>
      </c>
      <c r="AI160">
        <v>0</v>
      </c>
      <c r="AL160" t="s">
        <v>12466</v>
      </c>
      <c r="AM160">
        <v>0</v>
      </c>
      <c r="AS160">
        <v>0.5</v>
      </c>
      <c r="AT160" t="s">
        <v>332</v>
      </c>
      <c r="AU160" t="s">
        <v>13084</v>
      </c>
    </row>
    <row r="161" spans="1:48">
      <c r="A161" s="1">
        <f>HYPERLINK("https://cms.ls-nyc.org/matter/dynamic-profile/view/1875938","18-1875938")</f>
        <v>0</v>
      </c>
      <c r="B161" t="s">
        <v>68</v>
      </c>
      <c r="C161" t="s">
        <v>301</v>
      </c>
      <c r="D161" t="s">
        <v>432</v>
      </c>
      <c r="E161" t="s">
        <v>686</v>
      </c>
      <c r="F161" t="s">
        <v>2158</v>
      </c>
      <c r="G161" t="s">
        <v>3752</v>
      </c>
      <c r="H161" t="s">
        <v>5421</v>
      </c>
      <c r="I161" t="s">
        <v>6043</v>
      </c>
      <c r="J161">
        <v>11207</v>
      </c>
      <c r="K161" t="s">
        <v>6074</v>
      </c>
      <c r="L161" t="s">
        <v>6074</v>
      </c>
      <c r="M161" t="s">
        <v>6162</v>
      </c>
      <c r="N161" t="s">
        <v>7276</v>
      </c>
      <c r="O161" t="s">
        <v>7306</v>
      </c>
      <c r="P161" t="s">
        <v>7314</v>
      </c>
      <c r="Q161" t="s">
        <v>7322</v>
      </c>
      <c r="R161" t="s">
        <v>6076</v>
      </c>
      <c r="S161" t="s">
        <v>7324</v>
      </c>
      <c r="T161" t="s">
        <v>7341</v>
      </c>
      <c r="U161" t="s">
        <v>301</v>
      </c>
      <c r="V161">
        <v>1500</v>
      </c>
      <c r="W161" t="s">
        <v>7362</v>
      </c>
      <c r="X161" t="s">
        <v>7378</v>
      </c>
      <c r="Y161" t="s">
        <v>7386</v>
      </c>
      <c r="Z161" t="s">
        <v>7525</v>
      </c>
      <c r="AB161" t="s">
        <v>10376</v>
      </c>
      <c r="AC161">
        <v>22</v>
      </c>
      <c r="AD161" t="s">
        <v>12422</v>
      </c>
      <c r="AE161" t="s">
        <v>12433</v>
      </c>
      <c r="AF161">
        <v>3</v>
      </c>
      <c r="AG161">
        <v>2</v>
      </c>
      <c r="AH161">
        <v>1</v>
      </c>
      <c r="AI161">
        <v>0</v>
      </c>
      <c r="AL161" t="s">
        <v>12460</v>
      </c>
      <c r="AM161">
        <v>0</v>
      </c>
      <c r="AS161">
        <v>2.8</v>
      </c>
      <c r="AT161" t="s">
        <v>432</v>
      </c>
      <c r="AU161" t="s">
        <v>13090</v>
      </c>
    </row>
    <row r="162" spans="1:48">
      <c r="A162" s="1">
        <f>HYPERLINK("https://cms.ls-nyc.org/matter/dynamic-profile/view/1880901","18-1880901")</f>
        <v>0</v>
      </c>
      <c r="B162" t="s">
        <v>76</v>
      </c>
      <c r="C162" t="s">
        <v>333</v>
      </c>
      <c r="D162" t="s">
        <v>344</v>
      </c>
      <c r="E162" t="s">
        <v>687</v>
      </c>
      <c r="F162" t="s">
        <v>2159</v>
      </c>
      <c r="G162" t="s">
        <v>3753</v>
      </c>
      <c r="H162" t="s">
        <v>5422</v>
      </c>
      <c r="I162" t="s">
        <v>6043</v>
      </c>
      <c r="J162">
        <v>11207</v>
      </c>
      <c r="K162" t="s">
        <v>6074</v>
      </c>
      <c r="L162" t="s">
        <v>6074</v>
      </c>
      <c r="M162" t="s">
        <v>6163</v>
      </c>
      <c r="N162" t="s">
        <v>7276</v>
      </c>
      <c r="O162" t="s">
        <v>7307</v>
      </c>
      <c r="P162" t="s">
        <v>7315</v>
      </c>
      <c r="Q162" t="s">
        <v>7322</v>
      </c>
      <c r="R162" t="s">
        <v>6076</v>
      </c>
      <c r="S162" t="s">
        <v>7324</v>
      </c>
      <c r="U162" t="s">
        <v>344</v>
      </c>
      <c r="V162">
        <v>1100</v>
      </c>
      <c r="W162" t="s">
        <v>7362</v>
      </c>
      <c r="X162" t="s">
        <v>7378</v>
      </c>
      <c r="Y162" t="s">
        <v>7386</v>
      </c>
      <c r="Z162" t="s">
        <v>7526</v>
      </c>
      <c r="AB162" t="s">
        <v>10377</v>
      </c>
      <c r="AC162">
        <v>6</v>
      </c>
      <c r="AD162" t="s">
        <v>12422</v>
      </c>
      <c r="AE162" t="s">
        <v>6110</v>
      </c>
      <c r="AF162">
        <v>5</v>
      </c>
      <c r="AG162">
        <v>2</v>
      </c>
      <c r="AH162">
        <v>0</v>
      </c>
      <c r="AI162">
        <v>0</v>
      </c>
      <c r="AL162" t="s">
        <v>12460</v>
      </c>
      <c r="AM162">
        <v>0</v>
      </c>
      <c r="AS162">
        <v>6.6</v>
      </c>
      <c r="AT162" t="s">
        <v>426</v>
      </c>
      <c r="AU162" t="s">
        <v>13091</v>
      </c>
    </row>
    <row r="163" spans="1:48">
      <c r="A163" s="1">
        <f>HYPERLINK("https://cms.ls-nyc.org/matter/dynamic-profile/view/1896403","19-1896403")</f>
        <v>0</v>
      </c>
      <c r="B163" t="s">
        <v>68</v>
      </c>
      <c r="C163" t="s">
        <v>302</v>
      </c>
      <c r="E163" t="s">
        <v>688</v>
      </c>
      <c r="F163" t="s">
        <v>2160</v>
      </c>
      <c r="G163" t="s">
        <v>3754</v>
      </c>
      <c r="H163" t="s">
        <v>5371</v>
      </c>
      <c r="I163" t="s">
        <v>6043</v>
      </c>
      <c r="J163">
        <v>11207</v>
      </c>
      <c r="K163" t="s">
        <v>6074</v>
      </c>
      <c r="L163" t="s">
        <v>6074</v>
      </c>
      <c r="M163" t="s">
        <v>6164</v>
      </c>
      <c r="N163" t="s">
        <v>7276</v>
      </c>
      <c r="Q163" t="s">
        <v>7322</v>
      </c>
      <c r="R163" t="s">
        <v>6076</v>
      </c>
      <c r="S163" t="s">
        <v>7324</v>
      </c>
      <c r="U163" t="s">
        <v>445</v>
      </c>
      <c r="V163">
        <v>1699</v>
      </c>
      <c r="W163" t="s">
        <v>7362</v>
      </c>
      <c r="X163" t="s">
        <v>7373</v>
      </c>
      <c r="Z163" t="s">
        <v>7527</v>
      </c>
      <c r="AB163" t="s">
        <v>10378</v>
      </c>
      <c r="AC163">
        <v>168</v>
      </c>
      <c r="AD163" t="s">
        <v>12421</v>
      </c>
      <c r="AE163" t="s">
        <v>12439</v>
      </c>
      <c r="AF163">
        <v>23</v>
      </c>
      <c r="AG163">
        <v>1</v>
      </c>
      <c r="AH163">
        <v>0</v>
      </c>
      <c r="AI163">
        <v>0</v>
      </c>
      <c r="AL163" t="s">
        <v>12460</v>
      </c>
      <c r="AM163">
        <v>0</v>
      </c>
      <c r="AS163">
        <v>8.5</v>
      </c>
      <c r="AT163" t="s">
        <v>564</v>
      </c>
      <c r="AU163" t="s">
        <v>13079</v>
      </c>
      <c r="AV163" t="s">
        <v>13145</v>
      </c>
    </row>
    <row r="164" spans="1:48">
      <c r="A164" s="1">
        <f>HYPERLINK("https://cms.ls-nyc.org/matter/dynamic-profile/view/1894214","19-1894214")</f>
        <v>0</v>
      </c>
      <c r="B164" t="s">
        <v>69</v>
      </c>
      <c r="C164" t="s">
        <v>334</v>
      </c>
      <c r="D164" t="s">
        <v>254</v>
      </c>
      <c r="E164" t="s">
        <v>689</v>
      </c>
      <c r="F164" t="s">
        <v>2161</v>
      </c>
      <c r="G164" t="s">
        <v>3755</v>
      </c>
      <c r="H164" t="s">
        <v>5416</v>
      </c>
      <c r="I164" t="s">
        <v>6043</v>
      </c>
      <c r="J164">
        <v>11206</v>
      </c>
      <c r="K164" t="s">
        <v>6074</v>
      </c>
      <c r="L164" t="s">
        <v>6074</v>
      </c>
      <c r="M164" t="s">
        <v>6165</v>
      </c>
      <c r="N164" t="s">
        <v>7276</v>
      </c>
      <c r="P164" t="s">
        <v>7314</v>
      </c>
      <c r="Q164" t="s">
        <v>7322</v>
      </c>
      <c r="S164" t="s">
        <v>7324</v>
      </c>
      <c r="U164" t="s">
        <v>334</v>
      </c>
      <c r="V164">
        <v>260</v>
      </c>
      <c r="W164" t="s">
        <v>7362</v>
      </c>
      <c r="Y164" t="s">
        <v>7386</v>
      </c>
      <c r="Z164" t="s">
        <v>7467</v>
      </c>
      <c r="AC164">
        <v>0</v>
      </c>
      <c r="AF164">
        <v>13</v>
      </c>
      <c r="AG164">
        <v>1</v>
      </c>
      <c r="AH164">
        <v>0</v>
      </c>
      <c r="AI164">
        <v>0</v>
      </c>
      <c r="AL164" t="s">
        <v>12461</v>
      </c>
      <c r="AM164">
        <v>0</v>
      </c>
      <c r="AS164">
        <v>1.7</v>
      </c>
      <c r="AT164" t="s">
        <v>254</v>
      </c>
      <c r="AU164" t="s">
        <v>69</v>
      </c>
    </row>
    <row r="165" spans="1:48">
      <c r="A165" s="1">
        <f>HYPERLINK("https://cms.ls-nyc.org/matter/dynamic-profile/view/1899697","19-1899697")</f>
        <v>0</v>
      </c>
      <c r="B165" t="s">
        <v>70</v>
      </c>
      <c r="C165" t="s">
        <v>316</v>
      </c>
      <c r="E165" t="s">
        <v>690</v>
      </c>
      <c r="F165" t="s">
        <v>2162</v>
      </c>
      <c r="G165" t="s">
        <v>3756</v>
      </c>
      <c r="H165" t="s">
        <v>5372</v>
      </c>
      <c r="I165" t="s">
        <v>6043</v>
      </c>
      <c r="J165">
        <v>11206</v>
      </c>
      <c r="K165" t="s">
        <v>6075</v>
      </c>
      <c r="L165" t="s">
        <v>6075</v>
      </c>
      <c r="M165" t="s">
        <v>6166</v>
      </c>
      <c r="N165" t="s">
        <v>7276</v>
      </c>
      <c r="O165" t="s">
        <v>7308</v>
      </c>
      <c r="Q165" t="s">
        <v>7322</v>
      </c>
      <c r="R165" t="s">
        <v>6076</v>
      </c>
      <c r="S165" t="s">
        <v>7324</v>
      </c>
      <c r="T165" t="s">
        <v>7339</v>
      </c>
      <c r="U165" t="s">
        <v>316</v>
      </c>
      <c r="V165">
        <v>0</v>
      </c>
      <c r="W165" t="s">
        <v>7362</v>
      </c>
      <c r="Z165" t="s">
        <v>7528</v>
      </c>
      <c r="AC165">
        <v>0</v>
      </c>
      <c r="AF165">
        <v>3</v>
      </c>
      <c r="AG165">
        <v>1</v>
      </c>
      <c r="AH165">
        <v>2</v>
      </c>
      <c r="AI165">
        <v>0</v>
      </c>
      <c r="AL165" t="s">
        <v>12460</v>
      </c>
      <c r="AM165">
        <v>0</v>
      </c>
      <c r="AS165">
        <v>1.3</v>
      </c>
      <c r="AT165" t="s">
        <v>496</v>
      </c>
      <c r="AU165" t="s">
        <v>69</v>
      </c>
    </row>
    <row r="166" spans="1:48">
      <c r="A166" s="1">
        <f>HYPERLINK("https://cms.ls-nyc.org/matter/dynamic-profile/view/1893914","19-1893914")</f>
        <v>0</v>
      </c>
      <c r="B166" t="s">
        <v>69</v>
      </c>
      <c r="C166" t="s">
        <v>335</v>
      </c>
      <c r="E166" t="s">
        <v>691</v>
      </c>
      <c r="F166" t="s">
        <v>633</v>
      </c>
      <c r="G166" t="s">
        <v>3757</v>
      </c>
      <c r="H166" t="s">
        <v>5423</v>
      </c>
      <c r="I166" t="s">
        <v>6043</v>
      </c>
      <c r="J166">
        <v>11206</v>
      </c>
      <c r="K166" t="s">
        <v>6075</v>
      </c>
      <c r="L166" t="s">
        <v>6075</v>
      </c>
      <c r="O166" t="s">
        <v>7308</v>
      </c>
      <c r="Q166" t="s">
        <v>7322</v>
      </c>
      <c r="S166" t="s">
        <v>7327</v>
      </c>
      <c r="U166" t="s">
        <v>335</v>
      </c>
      <c r="V166">
        <v>0</v>
      </c>
      <c r="W166" t="s">
        <v>7362</v>
      </c>
      <c r="Z166" t="s">
        <v>7529</v>
      </c>
      <c r="AB166" t="s">
        <v>10379</v>
      </c>
      <c r="AC166">
        <v>0</v>
      </c>
      <c r="AF166">
        <v>0</v>
      </c>
      <c r="AG166">
        <v>1</v>
      </c>
      <c r="AH166">
        <v>0</v>
      </c>
      <c r="AI166">
        <v>0</v>
      </c>
      <c r="AL166" t="s">
        <v>12460</v>
      </c>
      <c r="AM166">
        <v>0</v>
      </c>
      <c r="AS166">
        <v>3.7</v>
      </c>
      <c r="AT166" t="s">
        <v>317</v>
      </c>
      <c r="AU166" t="s">
        <v>69</v>
      </c>
    </row>
    <row r="167" spans="1:48">
      <c r="A167" s="1">
        <f>HYPERLINK("https://cms.ls-nyc.org/matter/dynamic-profile/view/1889349","19-1889349")</f>
        <v>0</v>
      </c>
      <c r="B167" t="s">
        <v>76</v>
      </c>
      <c r="C167" t="s">
        <v>261</v>
      </c>
      <c r="E167" t="s">
        <v>692</v>
      </c>
      <c r="F167" t="s">
        <v>1563</v>
      </c>
      <c r="G167" t="s">
        <v>3758</v>
      </c>
      <c r="H167" t="s">
        <v>5386</v>
      </c>
      <c r="I167" t="s">
        <v>6043</v>
      </c>
      <c r="J167">
        <v>11203</v>
      </c>
      <c r="K167" t="s">
        <v>6074</v>
      </c>
      <c r="L167" t="s">
        <v>6074</v>
      </c>
      <c r="M167" t="s">
        <v>6167</v>
      </c>
      <c r="N167" t="s">
        <v>7274</v>
      </c>
      <c r="O167" t="s">
        <v>7306</v>
      </c>
      <c r="Q167" t="s">
        <v>7322</v>
      </c>
      <c r="R167" t="s">
        <v>6076</v>
      </c>
      <c r="S167" t="s">
        <v>7324</v>
      </c>
      <c r="T167" t="s">
        <v>7336</v>
      </c>
      <c r="U167" t="s">
        <v>252</v>
      </c>
      <c r="V167">
        <v>2500</v>
      </c>
      <c r="W167" t="s">
        <v>7362</v>
      </c>
      <c r="X167" t="s">
        <v>7371</v>
      </c>
      <c r="Z167" t="s">
        <v>7530</v>
      </c>
      <c r="AA167" t="s">
        <v>6110</v>
      </c>
      <c r="AB167" t="s">
        <v>10380</v>
      </c>
      <c r="AC167">
        <v>2</v>
      </c>
      <c r="AD167" t="s">
        <v>12419</v>
      </c>
      <c r="AE167" t="s">
        <v>6110</v>
      </c>
      <c r="AF167">
        <v>1</v>
      </c>
      <c r="AG167">
        <v>3</v>
      </c>
      <c r="AH167">
        <v>0</v>
      </c>
      <c r="AI167">
        <v>0</v>
      </c>
      <c r="AL167" t="s">
        <v>12460</v>
      </c>
      <c r="AM167">
        <v>0</v>
      </c>
      <c r="AN167" t="s">
        <v>12512</v>
      </c>
      <c r="AS167">
        <v>0</v>
      </c>
      <c r="AU167" t="s">
        <v>218</v>
      </c>
    </row>
    <row r="168" spans="1:48">
      <c r="A168" s="1">
        <f>HYPERLINK("https://cms.ls-nyc.org/matter/dynamic-profile/view/1876469","18-1876469")</f>
        <v>0</v>
      </c>
      <c r="B168" t="s">
        <v>70</v>
      </c>
      <c r="C168" t="s">
        <v>336</v>
      </c>
      <c r="D168" t="s">
        <v>418</v>
      </c>
      <c r="E168" t="s">
        <v>693</v>
      </c>
      <c r="F168" t="s">
        <v>2163</v>
      </c>
      <c r="G168" t="s">
        <v>3759</v>
      </c>
      <c r="H168" t="s">
        <v>5424</v>
      </c>
      <c r="I168" t="s">
        <v>6043</v>
      </c>
      <c r="J168">
        <v>11203</v>
      </c>
      <c r="K168" t="s">
        <v>6074</v>
      </c>
      <c r="L168" t="s">
        <v>6074</v>
      </c>
      <c r="M168" t="s">
        <v>6168</v>
      </c>
      <c r="N168" t="s">
        <v>7276</v>
      </c>
      <c r="O168" t="s">
        <v>7308</v>
      </c>
      <c r="P168" t="s">
        <v>7316</v>
      </c>
      <c r="Q168" t="s">
        <v>7322</v>
      </c>
      <c r="R168" t="s">
        <v>6074</v>
      </c>
      <c r="S168" t="s">
        <v>7324</v>
      </c>
      <c r="T168" t="s">
        <v>7336</v>
      </c>
      <c r="U168" t="s">
        <v>336</v>
      </c>
      <c r="V168">
        <v>1708.5</v>
      </c>
      <c r="W168" t="s">
        <v>7362</v>
      </c>
      <c r="X168" t="s">
        <v>7368</v>
      </c>
      <c r="Y168" t="s">
        <v>7388</v>
      </c>
      <c r="Z168" t="s">
        <v>7531</v>
      </c>
      <c r="AB168" t="s">
        <v>10381</v>
      </c>
      <c r="AC168">
        <v>50</v>
      </c>
      <c r="AD168" t="s">
        <v>12422</v>
      </c>
      <c r="AE168" t="s">
        <v>6110</v>
      </c>
      <c r="AF168">
        <v>3</v>
      </c>
      <c r="AG168">
        <v>1</v>
      </c>
      <c r="AH168">
        <v>0</v>
      </c>
      <c r="AI168">
        <v>0</v>
      </c>
      <c r="AL168" t="s">
        <v>12460</v>
      </c>
      <c r="AM168">
        <v>0</v>
      </c>
      <c r="AP168" t="s">
        <v>12862</v>
      </c>
      <c r="AQ168" t="s">
        <v>12909</v>
      </c>
      <c r="AR168" t="s">
        <v>12927</v>
      </c>
      <c r="AS168">
        <v>41.5</v>
      </c>
      <c r="AT168" t="s">
        <v>380</v>
      </c>
      <c r="AU168" t="s">
        <v>13084</v>
      </c>
    </row>
    <row r="169" spans="1:48">
      <c r="A169" s="1">
        <f>HYPERLINK("https://cms.ls-nyc.org/matter/dynamic-profile/view/1892536","19-1892536")</f>
        <v>0</v>
      </c>
      <c r="B169" t="s">
        <v>69</v>
      </c>
      <c r="C169" t="s">
        <v>277</v>
      </c>
      <c r="E169" t="s">
        <v>694</v>
      </c>
      <c r="F169" t="s">
        <v>2162</v>
      </c>
      <c r="G169" t="s">
        <v>3760</v>
      </c>
      <c r="H169" t="s">
        <v>5425</v>
      </c>
      <c r="I169" t="s">
        <v>6043</v>
      </c>
      <c r="J169">
        <v>11203</v>
      </c>
      <c r="K169" t="s">
        <v>6075</v>
      </c>
      <c r="L169" t="s">
        <v>6075</v>
      </c>
      <c r="Q169" t="s">
        <v>7322</v>
      </c>
      <c r="S169" t="s">
        <v>7327</v>
      </c>
      <c r="U169" t="s">
        <v>277</v>
      </c>
      <c r="V169">
        <v>0</v>
      </c>
      <c r="W169" t="s">
        <v>7362</v>
      </c>
      <c r="Z169" t="s">
        <v>7532</v>
      </c>
      <c r="AB169" t="s">
        <v>10382</v>
      </c>
      <c r="AC169">
        <v>0</v>
      </c>
      <c r="AF169">
        <v>0</v>
      </c>
      <c r="AG169">
        <v>1</v>
      </c>
      <c r="AH169">
        <v>0</v>
      </c>
      <c r="AI169">
        <v>0</v>
      </c>
      <c r="AL169" t="s">
        <v>12460</v>
      </c>
      <c r="AM169">
        <v>0</v>
      </c>
      <c r="AS169">
        <v>4.3</v>
      </c>
      <c r="AT169" t="s">
        <v>375</v>
      </c>
      <c r="AU169" t="s">
        <v>69</v>
      </c>
    </row>
    <row r="170" spans="1:48">
      <c r="A170" s="1">
        <f>HYPERLINK("https://cms.ls-nyc.org/matter/dynamic-profile/view/1893757","19-1893757")</f>
        <v>0</v>
      </c>
      <c r="B170" t="s">
        <v>69</v>
      </c>
      <c r="C170" t="s">
        <v>275</v>
      </c>
      <c r="E170" t="s">
        <v>695</v>
      </c>
      <c r="F170" t="s">
        <v>2164</v>
      </c>
      <c r="G170" t="s">
        <v>3760</v>
      </c>
      <c r="H170" t="s">
        <v>5426</v>
      </c>
      <c r="I170" t="s">
        <v>6043</v>
      </c>
      <c r="J170">
        <v>11203</v>
      </c>
      <c r="K170" t="s">
        <v>6075</v>
      </c>
      <c r="L170" t="s">
        <v>6075</v>
      </c>
      <c r="Q170" t="s">
        <v>7322</v>
      </c>
      <c r="S170" t="s">
        <v>7327</v>
      </c>
      <c r="U170" t="s">
        <v>275</v>
      </c>
      <c r="V170">
        <v>0</v>
      </c>
      <c r="W170" t="s">
        <v>7362</v>
      </c>
      <c r="Z170" t="s">
        <v>7533</v>
      </c>
      <c r="AB170" t="s">
        <v>10383</v>
      </c>
      <c r="AC170">
        <v>0</v>
      </c>
      <c r="AF170">
        <v>0</v>
      </c>
      <c r="AG170">
        <v>1</v>
      </c>
      <c r="AH170">
        <v>0</v>
      </c>
      <c r="AI170">
        <v>0</v>
      </c>
      <c r="AM170">
        <v>0</v>
      </c>
      <c r="AS170">
        <v>2</v>
      </c>
      <c r="AT170" t="s">
        <v>375</v>
      </c>
      <c r="AU170" t="s">
        <v>69</v>
      </c>
    </row>
    <row r="171" spans="1:48">
      <c r="A171" s="1">
        <f>HYPERLINK("https://cms.ls-nyc.org/matter/dynamic-profile/view/1896003","19-1896003")</f>
        <v>0</v>
      </c>
      <c r="B171" t="s">
        <v>94</v>
      </c>
      <c r="C171" t="s">
        <v>270</v>
      </c>
      <c r="E171" t="s">
        <v>696</v>
      </c>
      <c r="F171" t="s">
        <v>2165</v>
      </c>
      <c r="G171" t="s">
        <v>3761</v>
      </c>
      <c r="H171" t="s">
        <v>5427</v>
      </c>
      <c r="I171" t="s">
        <v>6044</v>
      </c>
      <c r="J171">
        <v>11106</v>
      </c>
      <c r="K171" t="s">
        <v>6074</v>
      </c>
      <c r="L171" t="s">
        <v>6074</v>
      </c>
      <c r="M171" t="s">
        <v>6169</v>
      </c>
      <c r="N171" t="s">
        <v>7276</v>
      </c>
      <c r="O171" t="s">
        <v>7307</v>
      </c>
      <c r="Q171" t="s">
        <v>7322</v>
      </c>
      <c r="R171" t="s">
        <v>6074</v>
      </c>
      <c r="S171" t="s">
        <v>7324</v>
      </c>
      <c r="U171" t="s">
        <v>270</v>
      </c>
      <c r="V171">
        <v>871</v>
      </c>
      <c r="W171" t="s">
        <v>7361</v>
      </c>
      <c r="Z171" t="s">
        <v>7534</v>
      </c>
      <c r="AA171" t="s">
        <v>9880</v>
      </c>
      <c r="AC171">
        <v>19</v>
      </c>
      <c r="AF171">
        <v>5</v>
      </c>
      <c r="AG171">
        <v>1</v>
      </c>
      <c r="AH171">
        <v>3</v>
      </c>
      <c r="AI171">
        <v>0</v>
      </c>
      <c r="AL171" t="s">
        <v>12460</v>
      </c>
      <c r="AM171">
        <v>0</v>
      </c>
      <c r="AS171">
        <v>0.8</v>
      </c>
      <c r="AT171" t="s">
        <v>564</v>
      </c>
      <c r="AU171" t="s">
        <v>13078</v>
      </c>
    </row>
    <row r="172" spans="1:48">
      <c r="A172" s="1">
        <f>HYPERLINK("https://cms.ls-nyc.org/matter/dynamic-profile/view/1873972","18-1873972")</f>
        <v>0</v>
      </c>
      <c r="B172" t="s">
        <v>95</v>
      </c>
      <c r="C172" t="s">
        <v>231</v>
      </c>
      <c r="D172" t="s">
        <v>262</v>
      </c>
      <c r="E172" t="s">
        <v>697</v>
      </c>
      <c r="F172" t="s">
        <v>2166</v>
      </c>
      <c r="G172" t="s">
        <v>3762</v>
      </c>
      <c r="H172">
        <v>18</v>
      </c>
      <c r="I172" t="s">
        <v>6044</v>
      </c>
      <c r="J172">
        <v>11103</v>
      </c>
      <c r="K172" t="s">
        <v>6074</v>
      </c>
      <c r="L172" t="s">
        <v>6074</v>
      </c>
      <c r="M172" t="s">
        <v>6170</v>
      </c>
      <c r="N172" t="s">
        <v>6104</v>
      </c>
      <c r="O172" t="s">
        <v>7306</v>
      </c>
      <c r="P172" t="s">
        <v>7314</v>
      </c>
      <c r="Q172" t="s">
        <v>7323</v>
      </c>
      <c r="R172" t="s">
        <v>6076</v>
      </c>
      <c r="S172" t="s">
        <v>7324</v>
      </c>
      <c r="T172" t="s">
        <v>7336</v>
      </c>
      <c r="U172" t="s">
        <v>231</v>
      </c>
      <c r="V172">
        <v>1300</v>
      </c>
      <c r="W172" t="s">
        <v>7361</v>
      </c>
      <c r="X172" t="s">
        <v>7369</v>
      </c>
      <c r="Y172" t="s">
        <v>7386</v>
      </c>
      <c r="Z172" t="s">
        <v>7535</v>
      </c>
      <c r="AB172" t="s">
        <v>10384</v>
      </c>
      <c r="AC172">
        <v>24</v>
      </c>
      <c r="AD172" t="s">
        <v>12422</v>
      </c>
      <c r="AE172" t="s">
        <v>6110</v>
      </c>
      <c r="AF172">
        <v>1</v>
      </c>
      <c r="AG172">
        <v>1</v>
      </c>
      <c r="AH172">
        <v>1</v>
      </c>
      <c r="AI172">
        <v>0</v>
      </c>
      <c r="AJ172" t="s">
        <v>12443</v>
      </c>
      <c r="AK172" t="s">
        <v>12455</v>
      </c>
      <c r="AL172" t="s">
        <v>12467</v>
      </c>
      <c r="AM172">
        <v>0</v>
      </c>
      <c r="AS172">
        <v>1.3</v>
      </c>
      <c r="AT172" t="s">
        <v>262</v>
      </c>
      <c r="AU172" t="s">
        <v>95</v>
      </c>
    </row>
    <row r="173" spans="1:48">
      <c r="A173" s="1">
        <f>HYPERLINK("https://cms.ls-nyc.org/matter/dynamic-profile/view/1892386","19-1892386")</f>
        <v>0</v>
      </c>
      <c r="B173" t="s">
        <v>54</v>
      </c>
      <c r="C173" t="s">
        <v>337</v>
      </c>
      <c r="D173" t="s">
        <v>277</v>
      </c>
      <c r="E173" t="s">
        <v>698</v>
      </c>
      <c r="F173" t="s">
        <v>2167</v>
      </c>
      <c r="G173" t="s">
        <v>3763</v>
      </c>
      <c r="H173" t="s">
        <v>5428</v>
      </c>
      <c r="I173" t="s">
        <v>6044</v>
      </c>
      <c r="J173">
        <v>11103</v>
      </c>
      <c r="K173" t="s">
        <v>6074</v>
      </c>
      <c r="L173" t="s">
        <v>6074</v>
      </c>
      <c r="N173" t="s">
        <v>6104</v>
      </c>
      <c r="O173" t="s">
        <v>7306</v>
      </c>
      <c r="P173" t="s">
        <v>7314</v>
      </c>
      <c r="Q173" t="s">
        <v>7322</v>
      </c>
      <c r="R173" t="s">
        <v>6076</v>
      </c>
      <c r="S173" t="s">
        <v>7324</v>
      </c>
      <c r="U173" t="s">
        <v>359</v>
      </c>
      <c r="V173">
        <v>0</v>
      </c>
      <c r="W173" t="s">
        <v>7361</v>
      </c>
      <c r="X173" t="s">
        <v>7376</v>
      </c>
      <c r="Y173" t="s">
        <v>7386</v>
      </c>
      <c r="Z173" t="s">
        <v>7536</v>
      </c>
      <c r="AA173" t="s">
        <v>9856</v>
      </c>
      <c r="AB173" t="s">
        <v>9856</v>
      </c>
      <c r="AC173">
        <v>0</v>
      </c>
      <c r="AD173" t="s">
        <v>6322</v>
      </c>
      <c r="AE173" t="s">
        <v>6110</v>
      </c>
      <c r="AF173">
        <v>0</v>
      </c>
      <c r="AG173">
        <v>1</v>
      </c>
      <c r="AH173">
        <v>0</v>
      </c>
      <c r="AI173">
        <v>0</v>
      </c>
      <c r="AL173" t="s">
        <v>12460</v>
      </c>
      <c r="AM173">
        <v>0</v>
      </c>
      <c r="AS173">
        <v>0.05</v>
      </c>
      <c r="AT173" t="s">
        <v>277</v>
      </c>
      <c r="AU173" t="s">
        <v>54</v>
      </c>
    </row>
    <row r="174" spans="1:48">
      <c r="A174" s="1">
        <f>HYPERLINK("https://cms.ls-nyc.org/matter/dynamic-profile/view/1891492","19-1891492")</f>
        <v>0</v>
      </c>
      <c r="B174" t="s">
        <v>56</v>
      </c>
      <c r="C174" t="s">
        <v>338</v>
      </c>
      <c r="D174" t="s">
        <v>424</v>
      </c>
      <c r="E174" t="s">
        <v>699</v>
      </c>
      <c r="F174" t="s">
        <v>2168</v>
      </c>
      <c r="G174" t="s">
        <v>3764</v>
      </c>
      <c r="I174" t="s">
        <v>6044</v>
      </c>
      <c r="J174">
        <v>11102</v>
      </c>
      <c r="K174" t="s">
        <v>6074</v>
      </c>
      <c r="L174" t="s">
        <v>6074</v>
      </c>
      <c r="M174" t="s">
        <v>6171</v>
      </c>
      <c r="N174" t="s">
        <v>7274</v>
      </c>
      <c r="O174" t="s">
        <v>7308</v>
      </c>
      <c r="P174" t="s">
        <v>7316</v>
      </c>
      <c r="Q174" t="s">
        <v>7322</v>
      </c>
      <c r="R174" t="s">
        <v>6076</v>
      </c>
      <c r="S174" t="s">
        <v>7324</v>
      </c>
      <c r="T174" t="s">
        <v>7336</v>
      </c>
      <c r="U174" t="s">
        <v>278</v>
      </c>
      <c r="V174">
        <v>1557</v>
      </c>
      <c r="W174" t="s">
        <v>7361</v>
      </c>
      <c r="X174" t="s">
        <v>7374</v>
      </c>
      <c r="Y174" t="s">
        <v>7388</v>
      </c>
      <c r="Z174" t="s">
        <v>7433</v>
      </c>
      <c r="AA174" t="s">
        <v>9881</v>
      </c>
      <c r="AB174" t="s">
        <v>10385</v>
      </c>
      <c r="AC174">
        <v>6</v>
      </c>
      <c r="AD174" t="s">
        <v>12422</v>
      </c>
      <c r="AE174" t="s">
        <v>12435</v>
      </c>
      <c r="AF174">
        <v>1</v>
      </c>
      <c r="AG174">
        <v>1</v>
      </c>
      <c r="AH174">
        <v>3</v>
      </c>
      <c r="AI174">
        <v>0</v>
      </c>
      <c r="AM174">
        <v>0</v>
      </c>
      <c r="AO174" t="s">
        <v>12847</v>
      </c>
      <c r="AP174" t="s">
        <v>12858</v>
      </c>
      <c r="AQ174" t="s">
        <v>12909</v>
      </c>
      <c r="AR174" t="s">
        <v>12928</v>
      </c>
      <c r="AS174">
        <v>17.6</v>
      </c>
      <c r="AT174" t="s">
        <v>280</v>
      </c>
      <c r="AU174" t="s">
        <v>56</v>
      </c>
    </row>
    <row r="175" spans="1:48">
      <c r="A175" s="1">
        <f>HYPERLINK("https://cms.ls-nyc.org/matter/dynamic-profile/view/1888625","19-1888625")</f>
        <v>0</v>
      </c>
      <c r="B175" t="s">
        <v>52</v>
      </c>
      <c r="C175" t="s">
        <v>339</v>
      </c>
      <c r="D175" t="s">
        <v>259</v>
      </c>
      <c r="E175" t="s">
        <v>700</v>
      </c>
      <c r="F175" t="s">
        <v>1448</v>
      </c>
      <c r="G175" t="s">
        <v>3765</v>
      </c>
      <c r="H175" t="s">
        <v>5429</v>
      </c>
      <c r="I175" t="s">
        <v>6044</v>
      </c>
      <c r="J175">
        <v>11102</v>
      </c>
      <c r="K175" t="s">
        <v>6074</v>
      </c>
      <c r="L175" t="s">
        <v>6074</v>
      </c>
      <c r="M175" t="s">
        <v>6110</v>
      </c>
      <c r="N175" t="s">
        <v>6104</v>
      </c>
      <c r="O175" t="s">
        <v>7306</v>
      </c>
      <c r="P175" t="s">
        <v>7314</v>
      </c>
      <c r="Q175" t="s">
        <v>7323</v>
      </c>
      <c r="R175" t="s">
        <v>6076</v>
      </c>
      <c r="S175" t="s">
        <v>7324</v>
      </c>
      <c r="T175" t="s">
        <v>7336</v>
      </c>
      <c r="U175" t="s">
        <v>339</v>
      </c>
      <c r="V175">
        <v>2227.5</v>
      </c>
      <c r="W175" t="s">
        <v>7361</v>
      </c>
      <c r="X175" t="s">
        <v>7369</v>
      </c>
      <c r="Y175" t="s">
        <v>7386</v>
      </c>
      <c r="Z175" t="s">
        <v>7537</v>
      </c>
      <c r="AB175" t="s">
        <v>10386</v>
      </c>
      <c r="AC175">
        <v>60</v>
      </c>
      <c r="AD175" t="s">
        <v>12422</v>
      </c>
      <c r="AE175" t="s">
        <v>6110</v>
      </c>
      <c r="AF175">
        <v>2</v>
      </c>
      <c r="AG175">
        <v>1</v>
      </c>
      <c r="AH175">
        <v>4</v>
      </c>
      <c r="AI175">
        <v>0</v>
      </c>
      <c r="AJ175" t="s">
        <v>12443</v>
      </c>
      <c r="AK175" t="s">
        <v>12455</v>
      </c>
      <c r="AL175" t="s">
        <v>12460</v>
      </c>
      <c r="AM175">
        <v>0</v>
      </c>
      <c r="AS175">
        <v>1.4</v>
      </c>
      <c r="AT175" t="s">
        <v>284</v>
      </c>
      <c r="AU175" t="s">
        <v>52</v>
      </c>
    </row>
    <row r="176" spans="1:48">
      <c r="A176" s="1">
        <f>HYPERLINK("https://cms.ls-nyc.org/matter/dynamic-profile/view/1873975","18-1873975")</f>
        <v>0</v>
      </c>
      <c r="B176" t="s">
        <v>53</v>
      </c>
      <c r="C176" t="s">
        <v>231</v>
      </c>
      <c r="D176" t="s">
        <v>344</v>
      </c>
      <c r="E176" t="s">
        <v>620</v>
      </c>
      <c r="F176" t="s">
        <v>2169</v>
      </c>
      <c r="G176" t="s">
        <v>3766</v>
      </c>
      <c r="H176" t="s">
        <v>5430</v>
      </c>
      <c r="I176" t="s">
        <v>6045</v>
      </c>
      <c r="J176">
        <v>11101</v>
      </c>
      <c r="K176" t="s">
        <v>6074</v>
      </c>
      <c r="L176" t="s">
        <v>6074</v>
      </c>
      <c r="M176" t="s">
        <v>6172</v>
      </c>
      <c r="N176" t="s">
        <v>7274</v>
      </c>
      <c r="O176" t="s">
        <v>7306</v>
      </c>
      <c r="P176" t="s">
        <v>7314</v>
      </c>
      <c r="Q176" t="s">
        <v>7322</v>
      </c>
      <c r="R176" t="s">
        <v>6076</v>
      </c>
      <c r="S176" t="s">
        <v>7324</v>
      </c>
      <c r="T176" t="s">
        <v>7336</v>
      </c>
      <c r="U176" t="s">
        <v>231</v>
      </c>
      <c r="V176">
        <v>652</v>
      </c>
      <c r="W176" t="s">
        <v>7361</v>
      </c>
      <c r="X176" t="s">
        <v>7366</v>
      </c>
      <c r="Y176" t="s">
        <v>7386</v>
      </c>
      <c r="Z176" t="s">
        <v>7538</v>
      </c>
      <c r="AA176" t="s">
        <v>9856</v>
      </c>
      <c r="AB176" t="s">
        <v>10387</v>
      </c>
      <c r="AC176">
        <v>306</v>
      </c>
      <c r="AD176" t="s">
        <v>12426</v>
      </c>
      <c r="AE176" t="s">
        <v>6110</v>
      </c>
      <c r="AF176">
        <v>1</v>
      </c>
      <c r="AG176">
        <v>1</v>
      </c>
      <c r="AH176">
        <v>0</v>
      </c>
      <c r="AI176">
        <v>0</v>
      </c>
      <c r="AL176" t="s">
        <v>12460</v>
      </c>
      <c r="AM176">
        <v>0</v>
      </c>
      <c r="AS176">
        <v>1</v>
      </c>
      <c r="AT176" t="s">
        <v>344</v>
      </c>
      <c r="AU176" t="s">
        <v>48</v>
      </c>
    </row>
    <row r="177" spans="1:48">
      <c r="A177" s="1">
        <f>HYPERLINK("https://cms.ls-nyc.org/matter/dynamic-profile/view/1888545","19-1888545")</f>
        <v>0</v>
      </c>
      <c r="B177" t="s">
        <v>54</v>
      </c>
      <c r="C177" t="s">
        <v>339</v>
      </c>
      <c r="D177" t="s">
        <v>286</v>
      </c>
      <c r="E177" t="s">
        <v>701</v>
      </c>
      <c r="F177" t="s">
        <v>2170</v>
      </c>
      <c r="G177" t="s">
        <v>3767</v>
      </c>
      <c r="H177" t="s">
        <v>5431</v>
      </c>
      <c r="I177" t="s">
        <v>6045</v>
      </c>
      <c r="J177">
        <v>11101</v>
      </c>
      <c r="K177" t="s">
        <v>6074</v>
      </c>
      <c r="L177" t="s">
        <v>6074</v>
      </c>
      <c r="M177" t="s">
        <v>6173</v>
      </c>
      <c r="N177" t="s">
        <v>7274</v>
      </c>
      <c r="O177" t="s">
        <v>7307</v>
      </c>
      <c r="P177" t="s">
        <v>7314</v>
      </c>
      <c r="Q177" t="s">
        <v>7322</v>
      </c>
      <c r="R177" t="s">
        <v>6076</v>
      </c>
      <c r="S177" t="s">
        <v>7324</v>
      </c>
      <c r="T177" t="s">
        <v>7336</v>
      </c>
      <c r="U177" t="s">
        <v>339</v>
      </c>
      <c r="V177">
        <v>500</v>
      </c>
      <c r="W177" t="s">
        <v>7361</v>
      </c>
      <c r="X177" t="s">
        <v>7366</v>
      </c>
      <c r="Y177" t="s">
        <v>7386</v>
      </c>
      <c r="Z177" t="s">
        <v>7539</v>
      </c>
      <c r="AB177" t="s">
        <v>10388</v>
      </c>
      <c r="AC177">
        <v>2</v>
      </c>
      <c r="AD177" t="s">
        <v>12419</v>
      </c>
      <c r="AE177" t="s">
        <v>6110</v>
      </c>
      <c r="AF177">
        <v>13</v>
      </c>
      <c r="AG177">
        <v>1</v>
      </c>
      <c r="AH177">
        <v>0</v>
      </c>
      <c r="AI177">
        <v>0</v>
      </c>
      <c r="AL177" t="s">
        <v>12460</v>
      </c>
      <c r="AM177">
        <v>0</v>
      </c>
      <c r="AS177">
        <v>0.75</v>
      </c>
      <c r="AT177" t="s">
        <v>286</v>
      </c>
      <c r="AU177" t="s">
        <v>189</v>
      </c>
    </row>
    <row r="178" spans="1:48">
      <c r="A178" s="1">
        <f>HYPERLINK("https://cms.ls-nyc.org/matter/dynamic-profile/view/1890884","19-1890884")</f>
        <v>0</v>
      </c>
      <c r="B178" t="s">
        <v>60</v>
      </c>
      <c r="C178" t="s">
        <v>251</v>
      </c>
      <c r="E178" t="s">
        <v>702</v>
      </c>
      <c r="F178" t="s">
        <v>2171</v>
      </c>
      <c r="G178" t="s">
        <v>3768</v>
      </c>
      <c r="H178">
        <v>205</v>
      </c>
      <c r="I178" t="s">
        <v>6045</v>
      </c>
      <c r="J178">
        <v>11101</v>
      </c>
      <c r="K178" t="s">
        <v>6074</v>
      </c>
      <c r="L178" t="s">
        <v>6074</v>
      </c>
      <c r="M178" t="s">
        <v>6174</v>
      </c>
      <c r="N178" t="s">
        <v>7274</v>
      </c>
      <c r="O178" t="s">
        <v>7308</v>
      </c>
      <c r="Q178" t="s">
        <v>7322</v>
      </c>
      <c r="R178" t="s">
        <v>6076</v>
      </c>
      <c r="S178" t="s">
        <v>7324</v>
      </c>
      <c r="T178" t="s">
        <v>7336</v>
      </c>
      <c r="U178" t="s">
        <v>251</v>
      </c>
      <c r="V178">
        <v>0</v>
      </c>
      <c r="W178" t="s">
        <v>7361</v>
      </c>
      <c r="X178" t="s">
        <v>7366</v>
      </c>
      <c r="Z178" t="s">
        <v>7540</v>
      </c>
      <c r="AB178" t="s">
        <v>10389</v>
      </c>
      <c r="AC178">
        <v>92</v>
      </c>
      <c r="AD178" t="s">
        <v>12419</v>
      </c>
      <c r="AE178" t="s">
        <v>6110</v>
      </c>
      <c r="AF178">
        <v>5</v>
      </c>
      <c r="AG178">
        <v>2</v>
      </c>
      <c r="AH178">
        <v>2</v>
      </c>
      <c r="AI178">
        <v>0</v>
      </c>
      <c r="AL178" t="s">
        <v>12460</v>
      </c>
      <c r="AM178">
        <v>0</v>
      </c>
      <c r="AS178">
        <v>19.9</v>
      </c>
      <c r="AT178" t="s">
        <v>324</v>
      </c>
      <c r="AU178" t="s">
        <v>48</v>
      </c>
    </row>
    <row r="179" spans="1:48">
      <c r="A179" s="1">
        <f>HYPERLINK("https://cms.ls-nyc.org/matter/dynamic-profile/view/1876282","18-1876282")</f>
        <v>0</v>
      </c>
      <c r="B179" t="s">
        <v>55</v>
      </c>
      <c r="C179" t="s">
        <v>253</v>
      </c>
      <c r="D179" t="s">
        <v>417</v>
      </c>
      <c r="E179" t="s">
        <v>703</v>
      </c>
      <c r="F179" t="s">
        <v>2172</v>
      </c>
      <c r="G179" t="s">
        <v>3769</v>
      </c>
      <c r="H179">
        <v>405</v>
      </c>
      <c r="I179" t="s">
        <v>6045</v>
      </c>
      <c r="J179">
        <v>11101</v>
      </c>
      <c r="K179" t="s">
        <v>6074</v>
      </c>
      <c r="L179" t="s">
        <v>6074</v>
      </c>
      <c r="M179" t="s">
        <v>6175</v>
      </c>
      <c r="N179" t="s">
        <v>7276</v>
      </c>
      <c r="O179" t="s">
        <v>7308</v>
      </c>
      <c r="P179" t="s">
        <v>7316</v>
      </c>
      <c r="Q179" t="s">
        <v>7322</v>
      </c>
      <c r="R179" t="s">
        <v>6076</v>
      </c>
      <c r="S179" t="s">
        <v>7324</v>
      </c>
      <c r="T179" t="s">
        <v>7336</v>
      </c>
      <c r="U179" t="s">
        <v>253</v>
      </c>
      <c r="V179">
        <v>913</v>
      </c>
      <c r="W179" t="s">
        <v>7361</v>
      </c>
      <c r="X179" t="s">
        <v>7366</v>
      </c>
      <c r="Y179" t="s">
        <v>7388</v>
      </c>
      <c r="Z179" t="s">
        <v>7541</v>
      </c>
      <c r="AA179" t="s">
        <v>9882</v>
      </c>
      <c r="AB179" t="s">
        <v>10390</v>
      </c>
      <c r="AC179">
        <v>143</v>
      </c>
      <c r="AD179" t="s">
        <v>6322</v>
      </c>
      <c r="AE179" t="s">
        <v>12433</v>
      </c>
      <c r="AF179">
        <v>1</v>
      </c>
      <c r="AG179">
        <v>1</v>
      </c>
      <c r="AH179">
        <v>2</v>
      </c>
      <c r="AI179">
        <v>0</v>
      </c>
      <c r="AL179" t="s">
        <v>12460</v>
      </c>
      <c r="AM179">
        <v>0</v>
      </c>
      <c r="AO179" t="s">
        <v>12846</v>
      </c>
      <c r="AP179" t="s">
        <v>12865</v>
      </c>
      <c r="AQ179" t="s">
        <v>12909</v>
      </c>
      <c r="AR179" t="s">
        <v>12929</v>
      </c>
      <c r="AS179">
        <v>24.05</v>
      </c>
      <c r="AT179" t="s">
        <v>420</v>
      </c>
      <c r="AU179" t="s">
        <v>189</v>
      </c>
    </row>
    <row r="180" spans="1:48">
      <c r="A180" s="1">
        <f>HYPERLINK("https://cms.ls-nyc.org/matter/dynamic-profile/view/1887450","19-1887450")</f>
        <v>0</v>
      </c>
      <c r="B180" t="s">
        <v>56</v>
      </c>
      <c r="C180" t="s">
        <v>340</v>
      </c>
      <c r="D180" t="s">
        <v>294</v>
      </c>
      <c r="E180" t="s">
        <v>704</v>
      </c>
      <c r="F180" t="s">
        <v>2173</v>
      </c>
      <c r="G180" t="s">
        <v>3770</v>
      </c>
      <c r="H180">
        <v>18</v>
      </c>
      <c r="I180" t="s">
        <v>6045</v>
      </c>
      <c r="J180">
        <v>11101</v>
      </c>
      <c r="K180" t="s">
        <v>6074</v>
      </c>
      <c r="L180" t="s">
        <v>6074</v>
      </c>
      <c r="M180" t="s">
        <v>6176</v>
      </c>
      <c r="N180" t="s">
        <v>7276</v>
      </c>
      <c r="O180" t="s">
        <v>7308</v>
      </c>
      <c r="P180" t="s">
        <v>7316</v>
      </c>
      <c r="Q180" t="s">
        <v>7322</v>
      </c>
      <c r="R180" t="s">
        <v>6076</v>
      </c>
      <c r="S180" t="s">
        <v>7324</v>
      </c>
      <c r="T180" t="s">
        <v>7338</v>
      </c>
      <c r="U180" t="s">
        <v>340</v>
      </c>
      <c r="V180">
        <v>871</v>
      </c>
      <c r="W180" t="s">
        <v>7361</v>
      </c>
      <c r="X180" t="s">
        <v>7366</v>
      </c>
      <c r="Y180" t="s">
        <v>7388</v>
      </c>
      <c r="Z180" t="s">
        <v>7542</v>
      </c>
      <c r="AA180" t="s">
        <v>9883</v>
      </c>
      <c r="AB180" t="s">
        <v>10391</v>
      </c>
      <c r="AC180">
        <v>20</v>
      </c>
      <c r="AD180" t="s">
        <v>12422</v>
      </c>
      <c r="AE180" t="s">
        <v>6110</v>
      </c>
      <c r="AF180">
        <v>1</v>
      </c>
      <c r="AG180">
        <v>1</v>
      </c>
      <c r="AH180">
        <v>2</v>
      </c>
      <c r="AI180">
        <v>0</v>
      </c>
      <c r="AL180" t="s">
        <v>12460</v>
      </c>
      <c r="AM180">
        <v>0</v>
      </c>
      <c r="AO180" t="s">
        <v>12847</v>
      </c>
      <c r="AP180" t="s">
        <v>12858</v>
      </c>
      <c r="AQ180" t="s">
        <v>12909</v>
      </c>
      <c r="AR180" t="s">
        <v>12930</v>
      </c>
      <c r="AS180">
        <v>20.15</v>
      </c>
      <c r="AT180" t="s">
        <v>367</v>
      </c>
      <c r="AU180" t="s">
        <v>56</v>
      </c>
    </row>
    <row r="181" spans="1:48">
      <c r="A181" s="1">
        <f>HYPERLINK("https://cms.ls-nyc.org/matter/dynamic-profile/view/1900499","19-1900499")</f>
        <v>0</v>
      </c>
      <c r="B181" t="s">
        <v>52</v>
      </c>
      <c r="C181" t="s">
        <v>241</v>
      </c>
      <c r="E181" t="s">
        <v>705</v>
      </c>
      <c r="F181" t="s">
        <v>1245</v>
      </c>
      <c r="G181" t="s">
        <v>3771</v>
      </c>
      <c r="H181" t="s">
        <v>5432</v>
      </c>
      <c r="I181" t="s">
        <v>6046</v>
      </c>
      <c r="J181">
        <v>11101</v>
      </c>
      <c r="K181" t="s">
        <v>6074</v>
      </c>
      <c r="L181" t="s">
        <v>6075</v>
      </c>
      <c r="M181" t="s">
        <v>6177</v>
      </c>
      <c r="N181" t="s">
        <v>7276</v>
      </c>
      <c r="O181" t="s">
        <v>7308</v>
      </c>
      <c r="Q181" t="s">
        <v>7322</v>
      </c>
      <c r="R181" t="s">
        <v>6076</v>
      </c>
      <c r="S181" t="s">
        <v>7324</v>
      </c>
      <c r="T181" t="s">
        <v>7338</v>
      </c>
      <c r="U181" t="s">
        <v>241</v>
      </c>
      <c r="V181">
        <v>1193.64</v>
      </c>
      <c r="W181" t="s">
        <v>7361</v>
      </c>
      <c r="X181" t="s">
        <v>7366</v>
      </c>
      <c r="Z181" t="s">
        <v>7543</v>
      </c>
      <c r="AB181" t="s">
        <v>10392</v>
      </c>
      <c r="AC181">
        <v>140</v>
      </c>
      <c r="AD181" t="s">
        <v>12422</v>
      </c>
      <c r="AE181" t="s">
        <v>12433</v>
      </c>
      <c r="AF181">
        <v>1</v>
      </c>
      <c r="AG181">
        <v>2</v>
      </c>
      <c r="AH181">
        <v>0</v>
      </c>
      <c r="AI181">
        <v>0</v>
      </c>
      <c r="AL181" t="s">
        <v>12460</v>
      </c>
      <c r="AM181">
        <v>0</v>
      </c>
      <c r="AS181">
        <v>11</v>
      </c>
      <c r="AT181" t="s">
        <v>460</v>
      </c>
      <c r="AU181" t="s">
        <v>94</v>
      </c>
    </row>
    <row r="182" spans="1:48">
      <c r="A182" s="1">
        <f>HYPERLINK("https://cms.ls-nyc.org/matter/dynamic-profile/view/1875678","18-1875678")</f>
        <v>0</v>
      </c>
      <c r="B182" t="s">
        <v>96</v>
      </c>
      <c r="C182" t="s">
        <v>233</v>
      </c>
      <c r="E182" t="s">
        <v>706</v>
      </c>
      <c r="F182" t="s">
        <v>2174</v>
      </c>
      <c r="G182" t="s">
        <v>3772</v>
      </c>
      <c r="H182" t="s">
        <v>5433</v>
      </c>
      <c r="I182" t="s">
        <v>6047</v>
      </c>
      <c r="J182">
        <v>10468</v>
      </c>
      <c r="K182" t="s">
        <v>6074</v>
      </c>
      <c r="L182" t="s">
        <v>6074</v>
      </c>
      <c r="N182" t="s">
        <v>7279</v>
      </c>
      <c r="O182" t="s">
        <v>7311</v>
      </c>
      <c r="Q182" t="s">
        <v>7322</v>
      </c>
      <c r="R182" t="s">
        <v>6074</v>
      </c>
      <c r="S182" t="s">
        <v>7324</v>
      </c>
      <c r="U182" t="s">
        <v>355</v>
      </c>
      <c r="V182">
        <v>1100</v>
      </c>
      <c r="W182" t="s">
        <v>7363</v>
      </c>
      <c r="X182" t="s">
        <v>7376</v>
      </c>
      <c r="Z182" t="s">
        <v>7544</v>
      </c>
      <c r="AB182" t="s">
        <v>10393</v>
      </c>
      <c r="AC182">
        <v>58</v>
      </c>
      <c r="AD182" t="s">
        <v>12422</v>
      </c>
      <c r="AE182" t="s">
        <v>12434</v>
      </c>
      <c r="AF182">
        <v>38</v>
      </c>
      <c r="AG182">
        <v>2</v>
      </c>
      <c r="AH182">
        <v>0</v>
      </c>
      <c r="AI182">
        <v>0</v>
      </c>
      <c r="AL182" t="s">
        <v>12460</v>
      </c>
      <c r="AM182">
        <v>0</v>
      </c>
      <c r="AS182">
        <v>0.1</v>
      </c>
      <c r="AT182" t="s">
        <v>389</v>
      </c>
      <c r="AU182" t="s">
        <v>13092</v>
      </c>
    </row>
    <row r="183" spans="1:48">
      <c r="A183" s="1">
        <f>HYPERLINK("https://cms.ls-nyc.org/matter/dynamic-profile/view/1875674","18-1875674")</f>
        <v>0</v>
      </c>
      <c r="B183" t="s">
        <v>96</v>
      </c>
      <c r="C183" t="s">
        <v>233</v>
      </c>
      <c r="E183" t="s">
        <v>706</v>
      </c>
      <c r="F183" t="s">
        <v>2174</v>
      </c>
      <c r="G183" t="s">
        <v>3772</v>
      </c>
      <c r="H183" t="s">
        <v>5433</v>
      </c>
      <c r="I183" t="s">
        <v>6047</v>
      </c>
      <c r="J183">
        <v>10468</v>
      </c>
      <c r="K183" t="s">
        <v>6074</v>
      </c>
      <c r="L183" t="s">
        <v>6074</v>
      </c>
      <c r="M183" t="s">
        <v>6178</v>
      </c>
      <c r="N183" t="s">
        <v>7273</v>
      </c>
      <c r="O183" t="s">
        <v>7308</v>
      </c>
      <c r="Q183" t="s">
        <v>7322</v>
      </c>
      <c r="R183" t="s">
        <v>6074</v>
      </c>
      <c r="S183" t="s">
        <v>7324</v>
      </c>
      <c r="U183" t="s">
        <v>472</v>
      </c>
      <c r="V183">
        <v>1100</v>
      </c>
      <c r="W183" t="s">
        <v>7363</v>
      </c>
      <c r="X183" t="s">
        <v>7376</v>
      </c>
      <c r="Z183" t="s">
        <v>7544</v>
      </c>
      <c r="AB183" t="s">
        <v>10393</v>
      </c>
      <c r="AC183">
        <v>0</v>
      </c>
      <c r="AD183" t="s">
        <v>12422</v>
      </c>
      <c r="AE183" t="s">
        <v>12434</v>
      </c>
      <c r="AF183">
        <v>38</v>
      </c>
      <c r="AG183">
        <v>2</v>
      </c>
      <c r="AH183">
        <v>0</v>
      </c>
      <c r="AI183">
        <v>0</v>
      </c>
      <c r="AL183" t="s">
        <v>12460</v>
      </c>
      <c r="AM183">
        <v>0</v>
      </c>
      <c r="AS183">
        <v>0</v>
      </c>
      <c r="AU183" t="s">
        <v>13092</v>
      </c>
    </row>
    <row r="184" spans="1:48">
      <c r="A184" s="1">
        <f>HYPERLINK("https://cms.ls-nyc.org/matter/dynamic-profile/view/1894599","19-1894599")</f>
        <v>0</v>
      </c>
      <c r="B184" t="s">
        <v>97</v>
      </c>
      <c r="C184" t="s">
        <v>338</v>
      </c>
      <c r="E184" t="s">
        <v>707</v>
      </c>
      <c r="F184" t="s">
        <v>2175</v>
      </c>
      <c r="G184" t="s">
        <v>3773</v>
      </c>
      <c r="H184" t="s">
        <v>5434</v>
      </c>
      <c r="I184" t="s">
        <v>6047</v>
      </c>
      <c r="J184">
        <v>10467</v>
      </c>
      <c r="K184" t="s">
        <v>6074</v>
      </c>
      <c r="L184" t="s">
        <v>6074</v>
      </c>
      <c r="N184" t="s">
        <v>6104</v>
      </c>
      <c r="O184" t="s">
        <v>7306</v>
      </c>
      <c r="Q184" t="s">
        <v>7322</v>
      </c>
      <c r="R184" t="s">
        <v>6076</v>
      </c>
      <c r="S184" t="s">
        <v>7324</v>
      </c>
      <c r="U184" t="s">
        <v>338</v>
      </c>
      <c r="V184">
        <v>0</v>
      </c>
      <c r="W184" t="s">
        <v>7363</v>
      </c>
      <c r="X184" t="s">
        <v>7376</v>
      </c>
      <c r="Z184" t="s">
        <v>7545</v>
      </c>
      <c r="AB184" t="s">
        <v>10394</v>
      </c>
      <c r="AC184">
        <v>49</v>
      </c>
      <c r="AD184" t="s">
        <v>12422</v>
      </c>
      <c r="AE184" t="s">
        <v>6110</v>
      </c>
      <c r="AF184">
        <v>0</v>
      </c>
      <c r="AG184">
        <v>1</v>
      </c>
      <c r="AH184">
        <v>0</v>
      </c>
      <c r="AI184">
        <v>0</v>
      </c>
      <c r="AL184" t="s">
        <v>12461</v>
      </c>
      <c r="AM184">
        <v>0</v>
      </c>
      <c r="AS184">
        <v>1.5</v>
      </c>
      <c r="AT184" t="s">
        <v>235</v>
      </c>
      <c r="AU184" t="s">
        <v>97</v>
      </c>
    </row>
    <row r="185" spans="1:48">
      <c r="A185" s="1">
        <f>HYPERLINK("https://cms.ls-nyc.org/matter/dynamic-profile/view/1895116","19-1895116")</f>
        <v>0</v>
      </c>
      <c r="B185" t="s">
        <v>98</v>
      </c>
      <c r="C185" t="s">
        <v>322</v>
      </c>
      <c r="E185" t="s">
        <v>708</v>
      </c>
      <c r="F185" t="s">
        <v>818</v>
      </c>
      <c r="G185" t="s">
        <v>3774</v>
      </c>
      <c r="I185" t="s">
        <v>6047</v>
      </c>
      <c r="J185">
        <v>10467</v>
      </c>
      <c r="K185" t="s">
        <v>6074</v>
      </c>
      <c r="L185" t="s">
        <v>6074</v>
      </c>
      <c r="M185" t="s">
        <v>6101</v>
      </c>
      <c r="N185" t="s">
        <v>7284</v>
      </c>
      <c r="O185" t="s">
        <v>7309</v>
      </c>
      <c r="Q185" t="s">
        <v>7323</v>
      </c>
      <c r="R185" t="s">
        <v>6076</v>
      </c>
      <c r="S185" t="s">
        <v>7330</v>
      </c>
      <c r="U185" t="s">
        <v>268</v>
      </c>
      <c r="V185">
        <v>670</v>
      </c>
      <c r="W185" t="s">
        <v>7363</v>
      </c>
      <c r="X185" t="s">
        <v>7369</v>
      </c>
      <c r="Z185" t="s">
        <v>7546</v>
      </c>
      <c r="AA185" t="s">
        <v>9884</v>
      </c>
      <c r="AC185">
        <v>300</v>
      </c>
      <c r="AD185" t="s">
        <v>12427</v>
      </c>
      <c r="AE185" t="s">
        <v>6110</v>
      </c>
      <c r="AF185">
        <v>-1</v>
      </c>
      <c r="AG185">
        <v>1</v>
      </c>
      <c r="AH185">
        <v>0</v>
      </c>
      <c r="AI185">
        <v>0</v>
      </c>
      <c r="AL185" t="s">
        <v>12460</v>
      </c>
      <c r="AM185">
        <v>0</v>
      </c>
      <c r="AS185">
        <v>7.6</v>
      </c>
      <c r="AT185" t="s">
        <v>324</v>
      </c>
      <c r="AU185" t="s">
        <v>13093</v>
      </c>
      <c r="AV185" t="s">
        <v>13146</v>
      </c>
    </row>
    <row r="186" spans="1:48">
      <c r="A186" s="1">
        <f>HYPERLINK("https://cms.ls-nyc.org/matter/dynamic-profile/view/1885322","18-1885322")</f>
        <v>0</v>
      </c>
      <c r="B186" t="s">
        <v>99</v>
      </c>
      <c r="C186" t="s">
        <v>341</v>
      </c>
      <c r="D186" t="s">
        <v>341</v>
      </c>
      <c r="E186" t="s">
        <v>684</v>
      </c>
      <c r="F186" t="s">
        <v>2176</v>
      </c>
      <c r="G186" t="s">
        <v>3775</v>
      </c>
      <c r="I186" t="s">
        <v>6047</v>
      </c>
      <c r="J186">
        <v>10467</v>
      </c>
      <c r="K186" t="s">
        <v>6074</v>
      </c>
      <c r="L186" t="s">
        <v>6074</v>
      </c>
      <c r="M186" t="s">
        <v>6110</v>
      </c>
      <c r="N186" t="s">
        <v>7278</v>
      </c>
      <c r="O186" t="s">
        <v>7306</v>
      </c>
      <c r="P186" t="s">
        <v>7314</v>
      </c>
      <c r="Q186" t="s">
        <v>7322</v>
      </c>
      <c r="R186" t="s">
        <v>6076</v>
      </c>
      <c r="S186" t="s">
        <v>7324</v>
      </c>
      <c r="T186" t="s">
        <v>7336</v>
      </c>
      <c r="U186" t="s">
        <v>341</v>
      </c>
      <c r="V186">
        <v>0</v>
      </c>
      <c r="W186" t="s">
        <v>7363</v>
      </c>
      <c r="X186" t="s">
        <v>7376</v>
      </c>
      <c r="Y186" t="s">
        <v>7386</v>
      </c>
      <c r="Z186" t="s">
        <v>7547</v>
      </c>
      <c r="AA186" t="s">
        <v>6101</v>
      </c>
      <c r="AC186">
        <v>0</v>
      </c>
      <c r="AD186" t="s">
        <v>6322</v>
      </c>
      <c r="AE186" t="s">
        <v>6110</v>
      </c>
      <c r="AF186">
        <v>0</v>
      </c>
      <c r="AG186">
        <v>1</v>
      </c>
      <c r="AH186">
        <v>0</v>
      </c>
      <c r="AI186">
        <v>0</v>
      </c>
      <c r="AL186" t="s">
        <v>12460</v>
      </c>
      <c r="AM186">
        <v>0</v>
      </c>
      <c r="AS186">
        <v>1.25</v>
      </c>
      <c r="AT186" t="s">
        <v>341</v>
      </c>
      <c r="AU186" t="s">
        <v>99</v>
      </c>
    </row>
    <row r="187" spans="1:48">
      <c r="A187" s="1">
        <f>HYPERLINK("https://cms.ls-nyc.org/matter/dynamic-profile/view/1871332","18-1871332")</f>
        <v>0</v>
      </c>
      <c r="B187" t="s">
        <v>100</v>
      </c>
      <c r="C187" t="s">
        <v>342</v>
      </c>
      <c r="D187" t="s">
        <v>350</v>
      </c>
      <c r="E187" t="s">
        <v>593</v>
      </c>
      <c r="F187" t="s">
        <v>2177</v>
      </c>
      <c r="G187" t="s">
        <v>3776</v>
      </c>
      <c r="H187" t="s">
        <v>5417</v>
      </c>
      <c r="I187" t="s">
        <v>6047</v>
      </c>
      <c r="J187">
        <v>10462</v>
      </c>
      <c r="K187" t="s">
        <v>6074</v>
      </c>
      <c r="L187" t="s">
        <v>6075</v>
      </c>
      <c r="M187" t="s">
        <v>6179</v>
      </c>
      <c r="N187" t="s">
        <v>7276</v>
      </c>
      <c r="O187" t="s">
        <v>7308</v>
      </c>
      <c r="P187" t="s">
        <v>7316</v>
      </c>
      <c r="Q187" t="s">
        <v>7322</v>
      </c>
      <c r="R187" t="s">
        <v>6076</v>
      </c>
      <c r="S187" t="s">
        <v>7324</v>
      </c>
      <c r="T187" t="s">
        <v>7337</v>
      </c>
      <c r="U187" t="s">
        <v>342</v>
      </c>
      <c r="V187">
        <v>1676.46</v>
      </c>
      <c r="W187" t="s">
        <v>7363</v>
      </c>
      <c r="Y187" t="s">
        <v>7388</v>
      </c>
      <c r="Z187" t="s">
        <v>7548</v>
      </c>
      <c r="AA187" t="s">
        <v>9885</v>
      </c>
      <c r="AB187" t="s">
        <v>10395</v>
      </c>
      <c r="AC187">
        <v>50</v>
      </c>
      <c r="AF187">
        <v>15</v>
      </c>
      <c r="AG187">
        <v>2</v>
      </c>
      <c r="AH187">
        <v>4</v>
      </c>
      <c r="AI187">
        <v>0</v>
      </c>
      <c r="AL187" t="s">
        <v>12468</v>
      </c>
      <c r="AM187">
        <v>0</v>
      </c>
      <c r="AN187" t="s">
        <v>12513</v>
      </c>
      <c r="AS187">
        <v>34.75</v>
      </c>
      <c r="AT187" t="s">
        <v>404</v>
      </c>
      <c r="AU187" t="s">
        <v>13094</v>
      </c>
    </row>
    <row r="188" spans="1:48">
      <c r="A188" s="1">
        <f>HYPERLINK("https://cms.ls-nyc.org/matter/dynamic-profile/view/1898191","19-1898191")</f>
        <v>0</v>
      </c>
      <c r="B188" t="s">
        <v>98</v>
      </c>
      <c r="C188" t="s">
        <v>343</v>
      </c>
      <c r="D188" t="s">
        <v>343</v>
      </c>
      <c r="E188" t="s">
        <v>709</v>
      </c>
      <c r="F188" t="s">
        <v>2178</v>
      </c>
      <c r="G188" t="s">
        <v>3777</v>
      </c>
      <c r="H188" t="s">
        <v>5435</v>
      </c>
      <c r="I188" t="s">
        <v>6047</v>
      </c>
      <c r="J188">
        <v>10461</v>
      </c>
      <c r="K188" t="s">
        <v>6074</v>
      </c>
      <c r="L188" t="s">
        <v>6074</v>
      </c>
      <c r="M188" t="s">
        <v>6101</v>
      </c>
      <c r="N188" t="s">
        <v>7278</v>
      </c>
      <c r="O188" t="s">
        <v>7306</v>
      </c>
      <c r="P188" t="s">
        <v>7314</v>
      </c>
      <c r="Q188" t="s">
        <v>7322</v>
      </c>
      <c r="R188" t="s">
        <v>6076</v>
      </c>
      <c r="S188" t="s">
        <v>7324</v>
      </c>
      <c r="U188" t="s">
        <v>343</v>
      </c>
      <c r="V188">
        <v>2400</v>
      </c>
      <c r="W188" t="s">
        <v>7363</v>
      </c>
      <c r="X188" t="s">
        <v>7376</v>
      </c>
      <c r="Y188" t="s">
        <v>7386</v>
      </c>
      <c r="Z188" t="s">
        <v>7549</v>
      </c>
      <c r="AB188" t="s">
        <v>10396</v>
      </c>
      <c r="AC188">
        <v>0</v>
      </c>
      <c r="AD188" t="s">
        <v>12419</v>
      </c>
      <c r="AE188" t="s">
        <v>6110</v>
      </c>
      <c r="AF188">
        <v>3</v>
      </c>
      <c r="AG188">
        <v>1</v>
      </c>
      <c r="AH188">
        <v>0</v>
      </c>
      <c r="AI188">
        <v>0</v>
      </c>
      <c r="AL188" t="s">
        <v>12460</v>
      </c>
      <c r="AM188">
        <v>0</v>
      </c>
      <c r="AS188">
        <v>0.3</v>
      </c>
      <c r="AT188" t="s">
        <v>343</v>
      </c>
      <c r="AU188" t="s">
        <v>13093</v>
      </c>
    </row>
    <row r="189" spans="1:48">
      <c r="A189" s="1">
        <f>HYPERLINK("https://cms.ls-nyc.org/matter/dynamic-profile/view/1876939","18-1876939")</f>
        <v>0</v>
      </c>
      <c r="B189" t="s">
        <v>101</v>
      </c>
      <c r="C189" t="s">
        <v>281</v>
      </c>
      <c r="D189" t="s">
        <v>555</v>
      </c>
      <c r="E189" t="s">
        <v>710</v>
      </c>
      <c r="F189" t="s">
        <v>2179</v>
      </c>
      <c r="G189" t="s">
        <v>3778</v>
      </c>
      <c r="H189">
        <v>3</v>
      </c>
      <c r="I189" t="s">
        <v>6047</v>
      </c>
      <c r="J189">
        <v>10460</v>
      </c>
      <c r="K189" t="s">
        <v>6074</v>
      </c>
      <c r="L189" t="s">
        <v>6074</v>
      </c>
      <c r="M189" t="s">
        <v>6180</v>
      </c>
      <c r="N189" t="s">
        <v>7274</v>
      </c>
      <c r="O189" t="s">
        <v>7306</v>
      </c>
      <c r="P189" t="s">
        <v>7314</v>
      </c>
      <c r="Q189" t="s">
        <v>7322</v>
      </c>
      <c r="R189" t="s">
        <v>6076</v>
      </c>
      <c r="S189" t="s">
        <v>7324</v>
      </c>
      <c r="T189" t="s">
        <v>7336</v>
      </c>
      <c r="U189" t="s">
        <v>355</v>
      </c>
      <c r="V189">
        <v>0</v>
      </c>
      <c r="W189" t="s">
        <v>7363</v>
      </c>
      <c r="X189" t="s">
        <v>7376</v>
      </c>
      <c r="Y189" t="s">
        <v>7386</v>
      </c>
      <c r="Z189" t="s">
        <v>7550</v>
      </c>
      <c r="AB189" t="s">
        <v>10397</v>
      </c>
      <c r="AC189">
        <v>30</v>
      </c>
      <c r="AD189" t="s">
        <v>6322</v>
      </c>
      <c r="AE189" t="s">
        <v>6110</v>
      </c>
      <c r="AF189">
        <v>7</v>
      </c>
      <c r="AG189">
        <v>3</v>
      </c>
      <c r="AH189">
        <v>0</v>
      </c>
      <c r="AI189">
        <v>0</v>
      </c>
      <c r="AL189" t="s">
        <v>12461</v>
      </c>
      <c r="AM189">
        <v>0</v>
      </c>
      <c r="AS189">
        <v>0.1</v>
      </c>
      <c r="AT189" t="s">
        <v>555</v>
      </c>
      <c r="AU189" t="s">
        <v>13095</v>
      </c>
    </row>
    <row r="190" spans="1:48">
      <c r="A190" s="1">
        <f>HYPERLINK("https://cms.ls-nyc.org/matter/dynamic-profile/view/1885679","18-1885679")</f>
        <v>0</v>
      </c>
      <c r="B190" t="s">
        <v>102</v>
      </c>
      <c r="C190" t="s">
        <v>344</v>
      </c>
      <c r="E190" t="s">
        <v>586</v>
      </c>
      <c r="F190" t="s">
        <v>2180</v>
      </c>
      <c r="G190" t="s">
        <v>3779</v>
      </c>
      <c r="H190" t="s">
        <v>5436</v>
      </c>
      <c r="I190" t="s">
        <v>6047</v>
      </c>
      <c r="J190">
        <v>10460</v>
      </c>
      <c r="K190" t="s">
        <v>6074</v>
      </c>
      <c r="L190" t="s">
        <v>6074</v>
      </c>
      <c r="M190" t="s">
        <v>6181</v>
      </c>
      <c r="N190" t="s">
        <v>7273</v>
      </c>
      <c r="O190" t="s">
        <v>7308</v>
      </c>
      <c r="Q190" t="s">
        <v>7322</v>
      </c>
      <c r="R190" t="s">
        <v>6074</v>
      </c>
      <c r="S190" t="s">
        <v>7324</v>
      </c>
      <c r="U190" t="s">
        <v>457</v>
      </c>
      <c r="V190">
        <v>0</v>
      </c>
      <c r="W190" t="s">
        <v>7363</v>
      </c>
      <c r="X190" t="s">
        <v>7376</v>
      </c>
      <c r="Z190" t="s">
        <v>7551</v>
      </c>
      <c r="AB190" t="s">
        <v>10398</v>
      </c>
      <c r="AC190">
        <v>168</v>
      </c>
      <c r="AD190" t="s">
        <v>12425</v>
      </c>
      <c r="AE190" t="s">
        <v>12434</v>
      </c>
      <c r="AF190">
        <v>3</v>
      </c>
      <c r="AG190">
        <v>2</v>
      </c>
      <c r="AH190">
        <v>1</v>
      </c>
      <c r="AI190">
        <v>0</v>
      </c>
      <c r="AL190" t="s">
        <v>12460</v>
      </c>
      <c r="AM190">
        <v>0</v>
      </c>
      <c r="AS190">
        <v>0</v>
      </c>
      <c r="AU190" t="s">
        <v>13092</v>
      </c>
    </row>
    <row r="191" spans="1:48">
      <c r="A191" s="1">
        <f>HYPERLINK("https://cms.ls-nyc.org/matter/dynamic-profile/view/1885683","18-1885683")</f>
        <v>0</v>
      </c>
      <c r="B191" t="s">
        <v>102</v>
      </c>
      <c r="C191" t="s">
        <v>344</v>
      </c>
      <c r="E191" t="s">
        <v>711</v>
      </c>
      <c r="F191" t="s">
        <v>2181</v>
      </c>
      <c r="G191" t="s">
        <v>3779</v>
      </c>
      <c r="H191" t="s">
        <v>5373</v>
      </c>
      <c r="I191" t="s">
        <v>6047</v>
      </c>
      <c r="J191">
        <v>10460</v>
      </c>
      <c r="K191" t="s">
        <v>6074</v>
      </c>
      <c r="L191" t="s">
        <v>6074</v>
      </c>
      <c r="M191" t="s">
        <v>6182</v>
      </c>
      <c r="N191" t="s">
        <v>7273</v>
      </c>
      <c r="O191" t="s">
        <v>7308</v>
      </c>
      <c r="Q191" t="s">
        <v>7322</v>
      </c>
      <c r="R191" t="s">
        <v>6074</v>
      </c>
      <c r="S191" t="s">
        <v>7324</v>
      </c>
      <c r="U191" t="s">
        <v>457</v>
      </c>
      <c r="V191">
        <v>1100</v>
      </c>
      <c r="W191" t="s">
        <v>7363</v>
      </c>
      <c r="X191" t="s">
        <v>7376</v>
      </c>
      <c r="Z191" t="s">
        <v>7552</v>
      </c>
      <c r="AB191" t="s">
        <v>10399</v>
      </c>
      <c r="AC191">
        <v>168</v>
      </c>
      <c r="AD191" t="s">
        <v>12422</v>
      </c>
      <c r="AE191" t="s">
        <v>7305</v>
      </c>
      <c r="AF191">
        <v>4</v>
      </c>
      <c r="AG191">
        <v>2</v>
      </c>
      <c r="AH191">
        <v>0</v>
      </c>
      <c r="AI191">
        <v>0</v>
      </c>
      <c r="AL191" t="s">
        <v>12460</v>
      </c>
      <c r="AM191">
        <v>0</v>
      </c>
      <c r="AS191">
        <v>0</v>
      </c>
      <c r="AU191" t="s">
        <v>13092</v>
      </c>
    </row>
    <row r="192" spans="1:48">
      <c r="A192" s="1">
        <f>HYPERLINK("https://cms.ls-nyc.org/matter/dynamic-profile/view/1871917","18-1871917")</f>
        <v>0</v>
      </c>
      <c r="B192" t="s">
        <v>101</v>
      </c>
      <c r="C192" t="s">
        <v>328</v>
      </c>
      <c r="D192" t="s">
        <v>255</v>
      </c>
      <c r="E192" t="s">
        <v>712</v>
      </c>
      <c r="F192" t="s">
        <v>2182</v>
      </c>
      <c r="G192" t="s">
        <v>3780</v>
      </c>
      <c r="H192">
        <v>36</v>
      </c>
      <c r="I192" t="s">
        <v>6047</v>
      </c>
      <c r="J192">
        <v>10460</v>
      </c>
      <c r="K192" t="s">
        <v>6074</v>
      </c>
      <c r="L192" t="s">
        <v>6074</v>
      </c>
      <c r="M192" t="s">
        <v>6183</v>
      </c>
      <c r="N192" t="s">
        <v>7276</v>
      </c>
      <c r="O192" t="s">
        <v>7306</v>
      </c>
      <c r="P192" t="s">
        <v>7314</v>
      </c>
      <c r="Q192" t="s">
        <v>7322</v>
      </c>
      <c r="R192" t="s">
        <v>6076</v>
      </c>
      <c r="S192" t="s">
        <v>7324</v>
      </c>
      <c r="T192" t="s">
        <v>7339</v>
      </c>
      <c r="U192" t="s">
        <v>467</v>
      </c>
      <c r="V192">
        <v>1200</v>
      </c>
      <c r="W192" t="s">
        <v>7363</v>
      </c>
      <c r="X192" t="s">
        <v>7380</v>
      </c>
      <c r="Y192" t="s">
        <v>7386</v>
      </c>
      <c r="Z192" t="s">
        <v>7553</v>
      </c>
      <c r="AC192">
        <v>36</v>
      </c>
      <c r="AD192" t="s">
        <v>12422</v>
      </c>
      <c r="AE192" t="s">
        <v>12438</v>
      </c>
      <c r="AF192">
        <v>2</v>
      </c>
      <c r="AG192">
        <v>1</v>
      </c>
      <c r="AH192">
        <v>2</v>
      </c>
      <c r="AI192">
        <v>0</v>
      </c>
      <c r="AL192" t="s">
        <v>12460</v>
      </c>
      <c r="AM192">
        <v>0</v>
      </c>
      <c r="AN192" t="s">
        <v>12514</v>
      </c>
      <c r="AP192" t="s">
        <v>7305</v>
      </c>
      <c r="AR192" t="s">
        <v>12931</v>
      </c>
      <c r="AS192">
        <v>2.85</v>
      </c>
      <c r="AT192" t="s">
        <v>289</v>
      </c>
      <c r="AU192" t="s">
        <v>13095</v>
      </c>
    </row>
    <row r="193" spans="1:47">
      <c r="A193" s="1">
        <f>HYPERLINK("https://cms.ls-nyc.org/matter/dynamic-profile/view/1880802","18-1880802")</f>
        <v>0</v>
      </c>
      <c r="B193" t="s">
        <v>103</v>
      </c>
      <c r="C193" t="s">
        <v>256</v>
      </c>
      <c r="E193" t="s">
        <v>582</v>
      </c>
      <c r="F193" t="s">
        <v>2183</v>
      </c>
      <c r="G193" t="s">
        <v>3781</v>
      </c>
      <c r="H193" t="s">
        <v>5437</v>
      </c>
      <c r="I193" t="s">
        <v>6047</v>
      </c>
      <c r="J193">
        <v>10460</v>
      </c>
      <c r="K193" t="s">
        <v>6074</v>
      </c>
      <c r="L193" t="s">
        <v>6074</v>
      </c>
      <c r="M193" t="s">
        <v>6184</v>
      </c>
      <c r="N193" t="s">
        <v>7276</v>
      </c>
      <c r="O193" t="s">
        <v>7308</v>
      </c>
      <c r="Q193" t="s">
        <v>7322</v>
      </c>
      <c r="S193" t="s">
        <v>7324</v>
      </c>
      <c r="U193" t="s">
        <v>256</v>
      </c>
      <c r="V193">
        <v>1325</v>
      </c>
      <c r="W193" t="s">
        <v>7363</v>
      </c>
      <c r="X193" t="s">
        <v>7305</v>
      </c>
      <c r="Z193" t="s">
        <v>7554</v>
      </c>
      <c r="AB193" t="s">
        <v>10400</v>
      </c>
      <c r="AC193">
        <v>44</v>
      </c>
      <c r="AD193" t="s">
        <v>6322</v>
      </c>
      <c r="AE193" t="s">
        <v>12434</v>
      </c>
      <c r="AF193">
        <v>3</v>
      </c>
      <c r="AG193">
        <v>2</v>
      </c>
      <c r="AH193">
        <v>3</v>
      </c>
      <c r="AI193">
        <v>0</v>
      </c>
      <c r="AL193" t="s">
        <v>12460</v>
      </c>
      <c r="AM193">
        <v>0</v>
      </c>
      <c r="AS193">
        <v>19.3</v>
      </c>
      <c r="AT193" t="s">
        <v>381</v>
      </c>
      <c r="AU193" t="s">
        <v>13096</v>
      </c>
    </row>
    <row r="194" spans="1:47">
      <c r="A194" s="1">
        <f>HYPERLINK("https://cms.ls-nyc.org/matter/dynamic-profile/view/1884474","18-1884474")</f>
        <v>0</v>
      </c>
      <c r="B194" t="s">
        <v>104</v>
      </c>
      <c r="C194" t="s">
        <v>345</v>
      </c>
      <c r="D194" t="s">
        <v>234</v>
      </c>
      <c r="E194" t="s">
        <v>713</v>
      </c>
      <c r="F194" t="s">
        <v>2174</v>
      </c>
      <c r="G194" t="s">
        <v>3782</v>
      </c>
      <c r="H194" t="s">
        <v>5438</v>
      </c>
      <c r="I194" t="s">
        <v>6047</v>
      </c>
      <c r="J194">
        <v>10460</v>
      </c>
      <c r="K194" t="s">
        <v>6074</v>
      </c>
      <c r="L194" t="s">
        <v>6074</v>
      </c>
      <c r="N194" t="s">
        <v>7276</v>
      </c>
      <c r="O194" t="s">
        <v>7307</v>
      </c>
      <c r="P194" t="s">
        <v>7314</v>
      </c>
      <c r="Q194" t="s">
        <v>7322</v>
      </c>
      <c r="S194" t="s">
        <v>7324</v>
      </c>
      <c r="U194" t="s">
        <v>292</v>
      </c>
      <c r="V194">
        <v>1268</v>
      </c>
      <c r="W194" t="s">
        <v>7363</v>
      </c>
      <c r="X194" t="s">
        <v>7305</v>
      </c>
      <c r="Y194" t="s">
        <v>7386</v>
      </c>
      <c r="Z194" t="s">
        <v>7555</v>
      </c>
      <c r="AB194" t="s">
        <v>10401</v>
      </c>
      <c r="AC194">
        <v>12</v>
      </c>
      <c r="AD194" t="s">
        <v>6322</v>
      </c>
      <c r="AE194" t="s">
        <v>7305</v>
      </c>
      <c r="AF194">
        <v>4</v>
      </c>
      <c r="AG194">
        <v>1</v>
      </c>
      <c r="AH194">
        <v>2</v>
      </c>
      <c r="AI194">
        <v>0</v>
      </c>
      <c r="AL194" t="s">
        <v>12460</v>
      </c>
      <c r="AM194">
        <v>0</v>
      </c>
      <c r="AS194">
        <v>0.9</v>
      </c>
      <c r="AT194" t="s">
        <v>266</v>
      </c>
      <c r="AU194" t="s">
        <v>13079</v>
      </c>
    </row>
    <row r="195" spans="1:47">
      <c r="A195" s="1">
        <f>HYPERLINK("https://cms.ls-nyc.org/matter/dynamic-profile/view/1893733","19-1893733")</f>
        <v>0</v>
      </c>
      <c r="B195" t="s">
        <v>105</v>
      </c>
      <c r="C195" t="s">
        <v>275</v>
      </c>
      <c r="D195" t="s">
        <v>247</v>
      </c>
      <c r="E195" t="s">
        <v>714</v>
      </c>
      <c r="F195" t="s">
        <v>2184</v>
      </c>
      <c r="G195" t="s">
        <v>3783</v>
      </c>
      <c r="H195" t="s">
        <v>5435</v>
      </c>
      <c r="I195" t="s">
        <v>6047</v>
      </c>
      <c r="J195">
        <v>10459</v>
      </c>
      <c r="K195" t="s">
        <v>6074</v>
      </c>
      <c r="L195" t="s">
        <v>6074</v>
      </c>
      <c r="M195" t="s">
        <v>6185</v>
      </c>
      <c r="N195" t="s">
        <v>7274</v>
      </c>
      <c r="O195" t="s">
        <v>7307</v>
      </c>
      <c r="P195" t="s">
        <v>7314</v>
      </c>
      <c r="Q195" t="s">
        <v>7322</v>
      </c>
      <c r="R195" t="s">
        <v>6076</v>
      </c>
      <c r="S195" t="s">
        <v>7324</v>
      </c>
      <c r="T195" t="s">
        <v>7341</v>
      </c>
      <c r="U195" t="s">
        <v>247</v>
      </c>
      <c r="V195">
        <v>1160</v>
      </c>
      <c r="W195" t="s">
        <v>7363</v>
      </c>
      <c r="X195" t="s">
        <v>7376</v>
      </c>
      <c r="Y195" t="s">
        <v>7386</v>
      </c>
      <c r="Z195" t="s">
        <v>7556</v>
      </c>
      <c r="AB195" t="s">
        <v>10402</v>
      </c>
      <c r="AC195">
        <v>0</v>
      </c>
      <c r="AD195" t="s">
        <v>12422</v>
      </c>
      <c r="AE195" t="s">
        <v>12435</v>
      </c>
      <c r="AF195">
        <v>12</v>
      </c>
      <c r="AG195">
        <v>2</v>
      </c>
      <c r="AH195">
        <v>1</v>
      </c>
      <c r="AI195">
        <v>0</v>
      </c>
      <c r="AL195" t="s">
        <v>12460</v>
      </c>
      <c r="AM195">
        <v>0</v>
      </c>
      <c r="AS195">
        <v>1</v>
      </c>
      <c r="AT195" t="s">
        <v>275</v>
      </c>
      <c r="AU195" t="s">
        <v>105</v>
      </c>
    </row>
    <row r="196" spans="1:47">
      <c r="A196" s="1">
        <f>HYPERLINK("https://cms.ls-nyc.org/matter/dynamic-profile/view/1888503","19-1888503")</f>
        <v>0</v>
      </c>
      <c r="B196" t="s">
        <v>106</v>
      </c>
      <c r="C196" t="s">
        <v>292</v>
      </c>
      <c r="D196" t="s">
        <v>469</v>
      </c>
      <c r="E196" t="s">
        <v>686</v>
      </c>
      <c r="F196" t="s">
        <v>2185</v>
      </c>
      <c r="G196" t="s">
        <v>3784</v>
      </c>
      <c r="H196" t="s">
        <v>5364</v>
      </c>
      <c r="I196" t="s">
        <v>6047</v>
      </c>
      <c r="J196">
        <v>10459</v>
      </c>
      <c r="K196" t="s">
        <v>6074</v>
      </c>
      <c r="L196" t="s">
        <v>6074</v>
      </c>
      <c r="N196" t="s">
        <v>7278</v>
      </c>
      <c r="O196" t="s">
        <v>7307</v>
      </c>
      <c r="P196" t="s">
        <v>7315</v>
      </c>
      <c r="Q196" t="s">
        <v>7322</v>
      </c>
      <c r="R196" t="s">
        <v>6076</v>
      </c>
      <c r="S196" t="s">
        <v>7324</v>
      </c>
      <c r="U196" t="s">
        <v>292</v>
      </c>
      <c r="V196">
        <v>1750</v>
      </c>
      <c r="W196" t="s">
        <v>7363</v>
      </c>
      <c r="X196" t="s">
        <v>7376</v>
      </c>
      <c r="Y196" t="s">
        <v>7386</v>
      </c>
      <c r="Z196" t="s">
        <v>7557</v>
      </c>
      <c r="AB196" t="s">
        <v>10403</v>
      </c>
      <c r="AC196">
        <v>20</v>
      </c>
      <c r="AD196" t="s">
        <v>12419</v>
      </c>
      <c r="AE196" t="s">
        <v>6110</v>
      </c>
      <c r="AF196">
        <v>1</v>
      </c>
      <c r="AG196">
        <v>1</v>
      </c>
      <c r="AH196">
        <v>0</v>
      </c>
      <c r="AI196">
        <v>0</v>
      </c>
      <c r="AL196" t="s">
        <v>12460</v>
      </c>
      <c r="AM196">
        <v>0</v>
      </c>
      <c r="AS196">
        <v>2.5</v>
      </c>
      <c r="AT196" t="s">
        <v>469</v>
      </c>
      <c r="AU196" t="s">
        <v>106</v>
      </c>
    </row>
    <row r="197" spans="1:47">
      <c r="A197" s="1">
        <f>HYPERLINK("https://cms.ls-nyc.org/matter/dynamic-profile/view/1886582","18-1886582")</f>
        <v>0</v>
      </c>
      <c r="B197" t="s">
        <v>107</v>
      </c>
      <c r="C197" t="s">
        <v>346</v>
      </c>
      <c r="E197" t="s">
        <v>640</v>
      </c>
      <c r="F197" t="s">
        <v>1308</v>
      </c>
      <c r="G197" t="s">
        <v>3785</v>
      </c>
      <c r="H197" t="s">
        <v>5439</v>
      </c>
      <c r="I197" t="s">
        <v>6047</v>
      </c>
      <c r="J197">
        <v>10458</v>
      </c>
      <c r="K197" t="s">
        <v>6074</v>
      </c>
      <c r="L197" t="s">
        <v>6074</v>
      </c>
      <c r="M197" t="s">
        <v>6186</v>
      </c>
      <c r="N197" t="s">
        <v>7276</v>
      </c>
      <c r="O197" t="s">
        <v>7308</v>
      </c>
      <c r="Q197" t="s">
        <v>7322</v>
      </c>
      <c r="S197" t="s">
        <v>7324</v>
      </c>
      <c r="T197" t="s">
        <v>7336</v>
      </c>
      <c r="U197" t="s">
        <v>346</v>
      </c>
      <c r="V197">
        <v>972</v>
      </c>
      <c r="W197" t="s">
        <v>7363</v>
      </c>
      <c r="X197" t="s">
        <v>7373</v>
      </c>
      <c r="Z197" t="s">
        <v>7558</v>
      </c>
      <c r="AB197" t="s">
        <v>10404</v>
      </c>
      <c r="AC197">
        <v>0</v>
      </c>
      <c r="AD197" t="s">
        <v>12422</v>
      </c>
      <c r="AE197" t="s">
        <v>12438</v>
      </c>
      <c r="AF197">
        <v>30</v>
      </c>
      <c r="AG197">
        <v>1</v>
      </c>
      <c r="AH197">
        <v>1</v>
      </c>
      <c r="AI197">
        <v>0</v>
      </c>
      <c r="AL197" t="s">
        <v>12460</v>
      </c>
      <c r="AM197">
        <v>0</v>
      </c>
      <c r="AS197">
        <v>29.35</v>
      </c>
      <c r="AT197" t="s">
        <v>470</v>
      </c>
      <c r="AU197" t="s">
        <v>13094</v>
      </c>
    </row>
    <row r="198" spans="1:47">
      <c r="A198" s="1">
        <f>HYPERLINK("https://cms.ls-nyc.org/matter/dynamic-profile/view/1882654","18-1882654")</f>
        <v>0</v>
      </c>
      <c r="B198" t="s">
        <v>98</v>
      </c>
      <c r="C198" t="s">
        <v>296</v>
      </c>
      <c r="E198" t="s">
        <v>715</v>
      </c>
      <c r="F198" t="s">
        <v>2186</v>
      </c>
      <c r="G198" t="s">
        <v>3786</v>
      </c>
      <c r="H198" t="s">
        <v>5440</v>
      </c>
      <c r="I198" t="s">
        <v>6047</v>
      </c>
      <c r="J198">
        <v>10457</v>
      </c>
      <c r="K198" t="s">
        <v>6074</v>
      </c>
      <c r="L198" t="s">
        <v>6074</v>
      </c>
      <c r="M198" t="s">
        <v>6187</v>
      </c>
      <c r="N198" t="s">
        <v>7279</v>
      </c>
      <c r="O198" t="s">
        <v>7311</v>
      </c>
      <c r="Q198" t="s">
        <v>7322</v>
      </c>
      <c r="R198" t="s">
        <v>6074</v>
      </c>
      <c r="S198" t="s">
        <v>7324</v>
      </c>
      <c r="U198" t="s">
        <v>472</v>
      </c>
      <c r="V198">
        <v>1089</v>
      </c>
      <c r="W198" t="s">
        <v>7363</v>
      </c>
      <c r="X198" t="s">
        <v>7368</v>
      </c>
      <c r="Z198" t="s">
        <v>7559</v>
      </c>
      <c r="AB198" t="s">
        <v>10405</v>
      </c>
      <c r="AC198">
        <v>47</v>
      </c>
      <c r="AD198" t="s">
        <v>12422</v>
      </c>
      <c r="AE198" t="s">
        <v>12434</v>
      </c>
      <c r="AF198">
        <v>24</v>
      </c>
      <c r="AG198">
        <v>1</v>
      </c>
      <c r="AH198">
        <v>0</v>
      </c>
      <c r="AI198">
        <v>0</v>
      </c>
      <c r="AL198" t="s">
        <v>12460</v>
      </c>
      <c r="AM198">
        <v>0</v>
      </c>
      <c r="AS198">
        <v>8.4</v>
      </c>
      <c r="AT198" t="s">
        <v>363</v>
      </c>
      <c r="AU198" t="s">
        <v>13092</v>
      </c>
    </row>
    <row r="199" spans="1:47">
      <c r="A199" s="1">
        <f>HYPERLINK("https://cms.ls-nyc.org/matter/dynamic-profile/view/1882688","18-1882688")</f>
        <v>0</v>
      </c>
      <c r="B199" t="s">
        <v>98</v>
      </c>
      <c r="C199" t="s">
        <v>296</v>
      </c>
      <c r="E199" t="s">
        <v>581</v>
      </c>
      <c r="F199" t="s">
        <v>2187</v>
      </c>
      <c r="G199" t="s">
        <v>3786</v>
      </c>
      <c r="H199" t="s">
        <v>5373</v>
      </c>
      <c r="I199" t="s">
        <v>6047</v>
      </c>
      <c r="J199">
        <v>10457</v>
      </c>
      <c r="K199" t="s">
        <v>6074</v>
      </c>
      <c r="L199" t="s">
        <v>6074</v>
      </c>
      <c r="M199" t="s">
        <v>6187</v>
      </c>
      <c r="N199" t="s">
        <v>7279</v>
      </c>
      <c r="O199" t="s">
        <v>7311</v>
      </c>
      <c r="Q199" t="s">
        <v>7322</v>
      </c>
      <c r="R199" t="s">
        <v>6074</v>
      </c>
      <c r="S199" t="s">
        <v>7324</v>
      </c>
      <c r="U199" t="s">
        <v>472</v>
      </c>
      <c r="V199">
        <v>1180</v>
      </c>
      <c r="W199" t="s">
        <v>7363</v>
      </c>
      <c r="X199" t="s">
        <v>7376</v>
      </c>
      <c r="Z199" t="s">
        <v>7560</v>
      </c>
      <c r="AB199" t="s">
        <v>10406</v>
      </c>
      <c r="AC199">
        <v>47</v>
      </c>
      <c r="AD199" t="s">
        <v>12422</v>
      </c>
      <c r="AE199" t="s">
        <v>12434</v>
      </c>
      <c r="AF199">
        <v>15</v>
      </c>
      <c r="AG199">
        <v>1</v>
      </c>
      <c r="AH199">
        <v>0</v>
      </c>
      <c r="AI199">
        <v>0</v>
      </c>
      <c r="AL199" t="s">
        <v>12460</v>
      </c>
      <c r="AM199">
        <v>0</v>
      </c>
      <c r="AS199">
        <v>0</v>
      </c>
      <c r="AU199" t="s">
        <v>13092</v>
      </c>
    </row>
    <row r="200" spans="1:47">
      <c r="A200" s="1">
        <f>HYPERLINK("https://cms.ls-nyc.org/matter/dynamic-profile/view/1882734","18-1882734")</f>
        <v>0</v>
      </c>
      <c r="B200" t="s">
        <v>98</v>
      </c>
      <c r="C200" t="s">
        <v>296</v>
      </c>
      <c r="E200" t="s">
        <v>716</v>
      </c>
      <c r="F200" t="s">
        <v>2188</v>
      </c>
      <c r="G200" t="s">
        <v>3786</v>
      </c>
      <c r="H200" t="s">
        <v>5395</v>
      </c>
      <c r="I200" t="s">
        <v>6047</v>
      </c>
      <c r="J200">
        <v>10457</v>
      </c>
      <c r="K200" t="s">
        <v>6074</v>
      </c>
      <c r="L200" t="s">
        <v>6074</v>
      </c>
      <c r="M200" t="s">
        <v>6188</v>
      </c>
      <c r="N200" t="s">
        <v>7279</v>
      </c>
      <c r="O200" t="s">
        <v>7311</v>
      </c>
      <c r="Q200" t="s">
        <v>7322</v>
      </c>
      <c r="R200" t="s">
        <v>6074</v>
      </c>
      <c r="S200" t="s">
        <v>7324</v>
      </c>
      <c r="U200" t="s">
        <v>472</v>
      </c>
      <c r="V200">
        <v>1160</v>
      </c>
      <c r="W200" t="s">
        <v>7363</v>
      </c>
      <c r="X200" t="s">
        <v>7376</v>
      </c>
      <c r="Z200" t="s">
        <v>7561</v>
      </c>
      <c r="AA200" t="s">
        <v>9886</v>
      </c>
      <c r="AC200">
        <v>47</v>
      </c>
      <c r="AD200" t="s">
        <v>12422</v>
      </c>
      <c r="AE200" t="s">
        <v>6110</v>
      </c>
      <c r="AF200">
        <v>10</v>
      </c>
      <c r="AG200">
        <v>1</v>
      </c>
      <c r="AH200">
        <v>0</v>
      </c>
      <c r="AI200">
        <v>0</v>
      </c>
      <c r="AL200" t="s">
        <v>12461</v>
      </c>
      <c r="AM200">
        <v>0</v>
      </c>
      <c r="AS200">
        <v>0.6</v>
      </c>
      <c r="AT200" t="s">
        <v>421</v>
      </c>
      <c r="AU200" t="s">
        <v>13092</v>
      </c>
    </row>
    <row r="201" spans="1:47">
      <c r="A201" s="1">
        <f>HYPERLINK("https://cms.ls-nyc.org/matter/dynamic-profile/view/1897359","19-1897359")</f>
        <v>0</v>
      </c>
      <c r="B201" t="s">
        <v>108</v>
      </c>
      <c r="C201" t="s">
        <v>347</v>
      </c>
      <c r="E201" t="s">
        <v>717</v>
      </c>
      <c r="F201" t="s">
        <v>2189</v>
      </c>
      <c r="G201" t="s">
        <v>3786</v>
      </c>
      <c r="H201" t="s">
        <v>5433</v>
      </c>
      <c r="I201" t="s">
        <v>6047</v>
      </c>
      <c r="J201">
        <v>10457</v>
      </c>
      <c r="K201" t="s">
        <v>6074</v>
      </c>
      <c r="L201" t="s">
        <v>6074</v>
      </c>
      <c r="N201" t="s">
        <v>7279</v>
      </c>
      <c r="O201" t="s">
        <v>7306</v>
      </c>
      <c r="Q201" t="s">
        <v>7322</v>
      </c>
      <c r="R201" t="s">
        <v>6076</v>
      </c>
      <c r="S201" t="s">
        <v>7324</v>
      </c>
      <c r="U201" t="s">
        <v>343</v>
      </c>
      <c r="V201">
        <v>1750</v>
      </c>
      <c r="W201" t="s">
        <v>7363</v>
      </c>
      <c r="AB201" t="s">
        <v>10407</v>
      </c>
      <c r="AC201">
        <v>0</v>
      </c>
      <c r="AD201" t="s">
        <v>12422</v>
      </c>
      <c r="AF201">
        <v>0</v>
      </c>
      <c r="AG201">
        <v>2</v>
      </c>
      <c r="AH201">
        <v>1</v>
      </c>
      <c r="AI201">
        <v>0</v>
      </c>
      <c r="AL201" t="s">
        <v>12461</v>
      </c>
      <c r="AM201">
        <v>0</v>
      </c>
      <c r="AS201">
        <v>1.2</v>
      </c>
      <c r="AT201" t="s">
        <v>280</v>
      </c>
      <c r="AU201" t="s">
        <v>108</v>
      </c>
    </row>
    <row r="202" spans="1:47">
      <c r="A202" s="1">
        <f>HYPERLINK("https://cms.ls-nyc.org/matter/dynamic-profile/view/0824075","17-0824075")</f>
        <v>0</v>
      </c>
      <c r="B202" t="s">
        <v>96</v>
      </c>
      <c r="C202" t="s">
        <v>348</v>
      </c>
      <c r="E202" t="s">
        <v>586</v>
      </c>
      <c r="F202" t="s">
        <v>2190</v>
      </c>
      <c r="G202" t="s">
        <v>3787</v>
      </c>
      <c r="H202" t="s">
        <v>5441</v>
      </c>
      <c r="I202" t="s">
        <v>6047</v>
      </c>
      <c r="J202">
        <v>10457</v>
      </c>
      <c r="K202" t="s">
        <v>6074</v>
      </c>
      <c r="L202" t="s">
        <v>6075</v>
      </c>
      <c r="M202" t="s">
        <v>6189</v>
      </c>
      <c r="N202" t="s">
        <v>7285</v>
      </c>
      <c r="O202" t="s">
        <v>7311</v>
      </c>
      <c r="Q202" t="s">
        <v>7322</v>
      </c>
      <c r="R202" t="s">
        <v>6074</v>
      </c>
      <c r="S202" t="s">
        <v>7324</v>
      </c>
      <c r="U202" t="s">
        <v>249</v>
      </c>
      <c r="V202">
        <v>0</v>
      </c>
      <c r="W202" t="s">
        <v>7363</v>
      </c>
      <c r="X202" t="s">
        <v>7381</v>
      </c>
      <c r="Z202" t="s">
        <v>7562</v>
      </c>
      <c r="AB202" t="s">
        <v>9856</v>
      </c>
      <c r="AC202">
        <v>100</v>
      </c>
      <c r="AD202" t="s">
        <v>12422</v>
      </c>
      <c r="AF202">
        <v>0</v>
      </c>
      <c r="AG202">
        <v>1</v>
      </c>
      <c r="AH202">
        <v>0</v>
      </c>
      <c r="AI202">
        <v>0</v>
      </c>
      <c r="AL202" t="s">
        <v>12461</v>
      </c>
      <c r="AM202">
        <v>0</v>
      </c>
      <c r="AN202" t="s">
        <v>12515</v>
      </c>
      <c r="AS202">
        <v>0</v>
      </c>
      <c r="AU202" t="s">
        <v>13097</v>
      </c>
    </row>
    <row r="203" spans="1:47">
      <c r="A203" s="1">
        <f>HYPERLINK("https://cms.ls-nyc.org/matter/dynamic-profile/view/1862841","18-1862841")</f>
        <v>0</v>
      </c>
      <c r="B203" t="s">
        <v>96</v>
      </c>
      <c r="C203" t="s">
        <v>349</v>
      </c>
      <c r="E203" t="s">
        <v>586</v>
      </c>
      <c r="F203" t="s">
        <v>2190</v>
      </c>
      <c r="G203" t="s">
        <v>3787</v>
      </c>
      <c r="H203" t="s">
        <v>5441</v>
      </c>
      <c r="I203" t="s">
        <v>6047</v>
      </c>
      <c r="J203">
        <v>10457</v>
      </c>
      <c r="K203" t="s">
        <v>6074</v>
      </c>
      <c r="L203" t="s">
        <v>6075</v>
      </c>
      <c r="M203" t="s">
        <v>6190</v>
      </c>
      <c r="N203" t="s">
        <v>7285</v>
      </c>
      <c r="O203" t="s">
        <v>7311</v>
      </c>
      <c r="Q203" t="s">
        <v>7322</v>
      </c>
      <c r="R203" t="s">
        <v>6074</v>
      </c>
      <c r="S203" t="s">
        <v>7324</v>
      </c>
      <c r="U203" t="s">
        <v>7346</v>
      </c>
      <c r="V203">
        <v>0</v>
      </c>
      <c r="W203" t="s">
        <v>7363</v>
      </c>
      <c r="X203" t="s">
        <v>7368</v>
      </c>
      <c r="Z203" t="s">
        <v>7562</v>
      </c>
      <c r="AB203" t="s">
        <v>9856</v>
      </c>
      <c r="AC203">
        <v>100</v>
      </c>
      <c r="AD203" t="s">
        <v>12422</v>
      </c>
      <c r="AF203">
        <v>0</v>
      </c>
      <c r="AG203">
        <v>1</v>
      </c>
      <c r="AH203">
        <v>0</v>
      </c>
      <c r="AI203">
        <v>0</v>
      </c>
      <c r="AL203" t="s">
        <v>12461</v>
      </c>
      <c r="AM203">
        <v>0</v>
      </c>
      <c r="AN203" t="s">
        <v>12516</v>
      </c>
      <c r="AS203">
        <v>0.4</v>
      </c>
      <c r="AT203" t="s">
        <v>349</v>
      </c>
      <c r="AU203" t="s">
        <v>13092</v>
      </c>
    </row>
    <row r="204" spans="1:47">
      <c r="A204" s="1">
        <f>HYPERLINK("https://cms.ls-nyc.org/matter/dynamic-profile/view/1882097","18-1882097")</f>
        <v>0</v>
      </c>
      <c r="B204" t="s">
        <v>98</v>
      </c>
      <c r="C204" t="s">
        <v>350</v>
      </c>
      <c r="E204" t="s">
        <v>715</v>
      </c>
      <c r="F204" t="s">
        <v>2186</v>
      </c>
      <c r="G204" t="s">
        <v>3786</v>
      </c>
      <c r="H204" t="s">
        <v>5440</v>
      </c>
      <c r="I204" t="s">
        <v>6047</v>
      </c>
      <c r="J204">
        <v>10457</v>
      </c>
      <c r="K204" t="s">
        <v>6074</v>
      </c>
      <c r="L204" t="s">
        <v>6074</v>
      </c>
      <c r="M204" t="s">
        <v>6191</v>
      </c>
      <c r="N204" t="s">
        <v>7273</v>
      </c>
      <c r="O204" t="s">
        <v>7308</v>
      </c>
      <c r="Q204" t="s">
        <v>7322</v>
      </c>
      <c r="R204" t="s">
        <v>6074</v>
      </c>
      <c r="S204" t="s">
        <v>7324</v>
      </c>
      <c r="U204" t="s">
        <v>472</v>
      </c>
      <c r="V204">
        <v>0</v>
      </c>
      <c r="W204" t="s">
        <v>7363</v>
      </c>
      <c r="X204" t="s">
        <v>7376</v>
      </c>
      <c r="Z204" t="s">
        <v>7559</v>
      </c>
      <c r="AB204" t="s">
        <v>10405</v>
      </c>
      <c r="AC204">
        <v>47</v>
      </c>
      <c r="AD204" t="s">
        <v>12422</v>
      </c>
      <c r="AE204" t="s">
        <v>12434</v>
      </c>
      <c r="AF204">
        <v>0</v>
      </c>
      <c r="AG204">
        <v>1</v>
      </c>
      <c r="AH204">
        <v>0</v>
      </c>
      <c r="AI204">
        <v>0</v>
      </c>
      <c r="AL204" t="s">
        <v>12460</v>
      </c>
      <c r="AM204">
        <v>0</v>
      </c>
      <c r="AS204">
        <v>310.69</v>
      </c>
      <c r="AT204" t="s">
        <v>496</v>
      </c>
      <c r="AU204" t="s">
        <v>106</v>
      </c>
    </row>
    <row r="205" spans="1:47">
      <c r="A205" s="1">
        <f>HYPERLINK("https://cms.ls-nyc.org/matter/dynamic-profile/view/1882687","18-1882687")</f>
        <v>0</v>
      </c>
      <c r="B205" t="s">
        <v>98</v>
      </c>
      <c r="C205" t="s">
        <v>296</v>
      </c>
      <c r="E205" t="s">
        <v>581</v>
      </c>
      <c r="F205" t="s">
        <v>2187</v>
      </c>
      <c r="G205" t="s">
        <v>3786</v>
      </c>
      <c r="H205" t="s">
        <v>5373</v>
      </c>
      <c r="I205" t="s">
        <v>6047</v>
      </c>
      <c r="J205">
        <v>10457</v>
      </c>
      <c r="K205" t="s">
        <v>6074</v>
      </c>
      <c r="L205" t="s">
        <v>6074</v>
      </c>
      <c r="M205" t="s">
        <v>6191</v>
      </c>
      <c r="N205" t="s">
        <v>7273</v>
      </c>
      <c r="O205" t="s">
        <v>7308</v>
      </c>
      <c r="Q205" t="s">
        <v>7322</v>
      </c>
      <c r="R205" t="s">
        <v>6074</v>
      </c>
      <c r="S205" t="s">
        <v>7324</v>
      </c>
      <c r="U205" t="s">
        <v>472</v>
      </c>
      <c r="V205">
        <v>1180</v>
      </c>
      <c r="W205" t="s">
        <v>7363</v>
      </c>
      <c r="X205" t="s">
        <v>7376</v>
      </c>
      <c r="Z205" t="s">
        <v>7560</v>
      </c>
      <c r="AB205" t="s">
        <v>10406</v>
      </c>
      <c r="AC205">
        <v>47</v>
      </c>
      <c r="AD205" t="s">
        <v>12422</v>
      </c>
      <c r="AE205" t="s">
        <v>12434</v>
      </c>
      <c r="AF205">
        <v>15</v>
      </c>
      <c r="AG205">
        <v>1</v>
      </c>
      <c r="AH205">
        <v>0</v>
      </c>
      <c r="AI205">
        <v>0</v>
      </c>
      <c r="AL205" t="s">
        <v>12460</v>
      </c>
      <c r="AM205">
        <v>0</v>
      </c>
      <c r="AS205">
        <v>0</v>
      </c>
      <c r="AU205" t="s">
        <v>13092</v>
      </c>
    </row>
    <row r="206" spans="1:47">
      <c r="A206" s="1">
        <f>HYPERLINK("https://cms.ls-nyc.org/matter/dynamic-profile/view/1882733","18-1882733")</f>
        <v>0</v>
      </c>
      <c r="B206" t="s">
        <v>98</v>
      </c>
      <c r="C206" t="s">
        <v>296</v>
      </c>
      <c r="E206" t="s">
        <v>716</v>
      </c>
      <c r="F206" t="s">
        <v>2188</v>
      </c>
      <c r="G206" t="s">
        <v>3786</v>
      </c>
      <c r="H206" t="s">
        <v>5395</v>
      </c>
      <c r="I206" t="s">
        <v>6047</v>
      </c>
      <c r="J206">
        <v>10457</v>
      </c>
      <c r="K206" t="s">
        <v>6074</v>
      </c>
      <c r="L206" t="s">
        <v>6074</v>
      </c>
      <c r="M206" t="s">
        <v>6191</v>
      </c>
      <c r="N206" t="s">
        <v>7273</v>
      </c>
      <c r="O206" t="s">
        <v>7308</v>
      </c>
      <c r="Q206" t="s">
        <v>7322</v>
      </c>
      <c r="R206" t="s">
        <v>6074</v>
      </c>
      <c r="S206" t="s">
        <v>7324</v>
      </c>
      <c r="U206" t="s">
        <v>472</v>
      </c>
      <c r="V206">
        <v>1160</v>
      </c>
      <c r="W206" t="s">
        <v>7363</v>
      </c>
      <c r="X206" t="s">
        <v>7376</v>
      </c>
      <c r="Z206" t="s">
        <v>7561</v>
      </c>
      <c r="AA206" t="s">
        <v>9886</v>
      </c>
      <c r="AC206">
        <v>47</v>
      </c>
      <c r="AD206" t="s">
        <v>12422</v>
      </c>
      <c r="AE206" t="s">
        <v>6110</v>
      </c>
      <c r="AF206">
        <v>10</v>
      </c>
      <c r="AG206">
        <v>1</v>
      </c>
      <c r="AH206">
        <v>0</v>
      </c>
      <c r="AI206">
        <v>0</v>
      </c>
      <c r="AL206" t="s">
        <v>12461</v>
      </c>
      <c r="AM206">
        <v>0</v>
      </c>
      <c r="AS206">
        <v>0.3</v>
      </c>
      <c r="AT206" t="s">
        <v>346</v>
      </c>
      <c r="AU206" t="s">
        <v>13092</v>
      </c>
    </row>
    <row r="207" spans="1:47">
      <c r="A207" s="1">
        <f>HYPERLINK("https://cms.ls-nyc.org/matter/dynamic-profile/view/1886131","18-1886131")</f>
        <v>0</v>
      </c>
      <c r="B207" t="s">
        <v>98</v>
      </c>
      <c r="C207" t="s">
        <v>326</v>
      </c>
      <c r="E207" t="s">
        <v>718</v>
      </c>
      <c r="F207" t="s">
        <v>2191</v>
      </c>
      <c r="G207" t="s">
        <v>3786</v>
      </c>
      <c r="H207" t="s">
        <v>5442</v>
      </c>
      <c r="I207" t="s">
        <v>6047</v>
      </c>
      <c r="J207">
        <v>10457</v>
      </c>
      <c r="K207" t="s">
        <v>6074</v>
      </c>
      <c r="L207" t="s">
        <v>6074</v>
      </c>
      <c r="M207" t="s">
        <v>6191</v>
      </c>
      <c r="N207" t="s">
        <v>7273</v>
      </c>
      <c r="O207" t="s">
        <v>7308</v>
      </c>
      <c r="Q207" t="s">
        <v>7322</v>
      </c>
      <c r="R207" t="s">
        <v>6074</v>
      </c>
      <c r="S207" t="s">
        <v>7324</v>
      </c>
      <c r="U207" t="s">
        <v>472</v>
      </c>
      <c r="V207">
        <v>186</v>
      </c>
      <c r="W207" t="s">
        <v>7363</v>
      </c>
      <c r="X207" t="s">
        <v>7376</v>
      </c>
      <c r="Z207" t="s">
        <v>7563</v>
      </c>
      <c r="AB207" t="s">
        <v>10408</v>
      </c>
      <c r="AC207">
        <v>48</v>
      </c>
      <c r="AD207" t="s">
        <v>6322</v>
      </c>
      <c r="AE207" t="s">
        <v>12434</v>
      </c>
      <c r="AF207">
        <v>5</v>
      </c>
      <c r="AG207">
        <v>1</v>
      </c>
      <c r="AH207">
        <v>0</v>
      </c>
      <c r="AI207">
        <v>0</v>
      </c>
      <c r="AL207" t="s">
        <v>12461</v>
      </c>
      <c r="AM207">
        <v>0</v>
      </c>
      <c r="AS207">
        <v>1</v>
      </c>
      <c r="AT207" t="s">
        <v>326</v>
      </c>
      <c r="AU207" t="s">
        <v>106</v>
      </c>
    </row>
    <row r="208" spans="1:47">
      <c r="A208" s="1">
        <f>HYPERLINK("https://cms.ls-nyc.org/matter/dynamic-profile/view/1889974","19-1889974")</f>
        <v>0</v>
      </c>
      <c r="B208" t="s">
        <v>109</v>
      </c>
      <c r="C208" t="s">
        <v>351</v>
      </c>
      <c r="D208" t="s">
        <v>235</v>
      </c>
      <c r="E208" t="s">
        <v>569</v>
      </c>
      <c r="F208" t="s">
        <v>2192</v>
      </c>
      <c r="G208" t="s">
        <v>3788</v>
      </c>
      <c r="H208" t="s">
        <v>5443</v>
      </c>
      <c r="I208" t="s">
        <v>6047</v>
      </c>
      <c r="J208">
        <v>10457</v>
      </c>
      <c r="K208" t="s">
        <v>6074</v>
      </c>
      <c r="L208" t="s">
        <v>6074</v>
      </c>
      <c r="N208" t="s">
        <v>6104</v>
      </c>
      <c r="O208" t="s">
        <v>7306</v>
      </c>
      <c r="P208" t="s">
        <v>7314</v>
      </c>
      <c r="Q208" t="s">
        <v>7322</v>
      </c>
      <c r="R208" t="s">
        <v>6076</v>
      </c>
      <c r="S208" t="s">
        <v>7324</v>
      </c>
      <c r="U208" t="s">
        <v>287</v>
      </c>
      <c r="V208">
        <v>700</v>
      </c>
      <c r="W208" t="s">
        <v>7363</v>
      </c>
      <c r="Y208" t="s">
        <v>7386</v>
      </c>
      <c r="Z208" t="s">
        <v>7564</v>
      </c>
      <c r="AB208" t="s">
        <v>10409</v>
      </c>
      <c r="AC208">
        <v>3</v>
      </c>
      <c r="AD208" t="s">
        <v>6322</v>
      </c>
      <c r="AE208" t="s">
        <v>6110</v>
      </c>
      <c r="AF208">
        <v>1</v>
      </c>
      <c r="AG208">
        <v>1</v>
      </c>
      <c r="AH208">
        <v>0</v>
      </c>
      <c r="AI208">
        <v>0</v>
      </c>
      <c r="AL208" t="s">
        <v>12460</v>
      </c>
      <c r="AM208">
        <v>0</v>
      </c>
      <c r="AS208">
        <v>1.5</v>
      </c>
      <c r="AT208" t="s">
        <v>287</v>
      </c>
      <c r="AU208" t="s">
        <v>13091</v>
      </c>
    </row>
    <row r="209" spans="1:48">
      <c r="A209" s="1">
        <f>HYPERLINK("https://cms.ls-nyc.org/matter/dynamic-profile/view/1890025","19-1890025")</f>
        <v>0</v>
      </c>
      <c r="B209" t="s">
        <v>110</v>
      </c>
      <c r="C209" t="s">
        <v>285</v>
      </c>
      <c r="E209" t="s">
        <v>581</v>
      </c>
      <c r="F209" t="s">
        <v>2158</v>
      </c>
      <c r="G209" t="s">
        <v>3789</v>
      </c>
      <c r="H209">
        <v>402</v>
      </c>
      <c r="I209" t="s">
        <v>6047</v>
      </c>
      <c r="J209">
        <v>10457</v>
      </c>
      <c r="K209" t="s">
        <v>6074</v>
      </c>
      <c r="L209" t="s">
        <v>6074</v>
      </c>
      <c r="N209" t="s">
        <v>7278</v>
      </c>
      <c r="O209" t="s">
        <v>7306</v>
      </c>
      <c r="Q209" t="s">
        <v>7322</v>
      </c>
      <c r="S209" t="s">
        <v>7324</v>
      </c>
      <c r="U209" t="s">
        <v>285</v>
      </c>
      <c r="V209">
        <v>400</v>
      </c>
      <c r="W209" t="s">
        <v>7363</v>
      </c>
      <c r="Z209" t="s">
        <v>7565</v>
      </c>
      <c r="AB209" t="s">
        <v>10410</v>
      </c>
      <c r="AC209">
        <v>0</v>
      </c>
      <c r="AF209">
        <v>12</v>
      </c>
      <c r="AG209">
        <v>2</v>
      </c>
      <c r="AH209">
        <v>0</v>
      </c>
      <c r="AI209">
        <v>0</v>
      </c>
      <c r="AL209" t="s">
        <v>12460</v>
      </c>
      <c r="AM209">
        <v>0</v>
      </c>
      <c r="AS209">
        <v>0</v>
      </c>
      <c r="AU209" t="s">
        <v>13098</v>
      </c>
    </row>
    <row r="210" spans="1:48">
      <c r="A210" s="1">
        <f>HYPERLINK("https://cms.ls-nyc.org/matter/dynamic-profile/view/1873338","18-1873338")</f>
        <v>0</v>
      </c>
      <c r="B210" t="s">
        <v>111</v>
      </c>
      <c r="C210" t="s">
        <v>232</v>
      </c>
      <c r="D210" t="s">
        <v>355</v>
      </c>
      <c r="E210" t="s">
        <v>719</v>
      </c>
      <c r="F210" t="s">
        <v>1209</v>
      </c>
      <c r="G210" t="s">
        <v>3790</v>
      </c>
      <c r="H210">
        <v>105</v>
      </c>
      <c r="I210" t="s">
        <v>6047</v>
      </c>
      <c r="J210">
        <v>10455</v>
      </c>
      <c r="K210" t="s">
        <v>6074</v>
      </c>
      <c r="L210" t="s">
        <v>6074</v>
      </c>
      <c r="N210" t="s">
        <v>6104</v>
      </c>
      <c r="O210" t="s">
        <v>7306</v>
      </c>
      <c r="P210" t="s">
        <v>7314</v>
      </c>
      <c r="Q210" t="s">
        <v>7322</v>
      </c>
      <c r="R210" t="s">
        <v>6076</v>
      </c>
      <c r="S210" t="s">
        <v>7324</v>
      </c>
      <c r="U210" t="s">
        <v>355</v>
      </c>
      <c r="V210">
        <v>417</v>
      </c>
      <c r="W210" t="s">
        <v>7363</v>
      </c>
      <c r="X210" t="s">
        <v>7376</v>
      </c>
      <c r="Y210" t="s">
        <v>7386</v>
      </c>
      <c r="Z210" t="s">
        <v>7566</v>
      </c>
      <c r="AC210">
        <v>0</v>
      </c>
      <c r="AF210">
        <v>8</v>
      </c>
      <c r="AG210">
        <v>1</v>
      </c>
      <c r="AH210">
        <v>0</v>
      </c>
      <c r="AI210">
        <v>0</v>
      </c>
      <c r="AL210" t="s">
        <v>12461</v>
      </c>
      <c r="AM210">
        <v>0</v>
      </c>
      <c r="AS210">
        <v>0.25</v>
      </c>
      <c r="AT210" t="s">
        <v>355</v>
      </c>
      <c r="AU210" t="s">
        <v>13095</v>
      </c>
    </row>
    <row r="211" spans="1:48">
      <c r="A211" s="1">
        <f>HYPERLINK("https://cms.ls-nyc.org/matter/dynamic-profile/view/1887394","19-1887394")</f>
        <v>0</v>
      </c>
      <c r="B211" t="s">
        <v>96</v>
      </c>
      <c r="C211" t="s">
        <v>267</v>
      </c>
      <c r="E211" t="s">
        <v>720</v>
      </c>
      <c r="F211" t="s">
        <v>2122</v>
      </c>
      <c r="G211" t="s">
        <v>3791</v>
      </c>
      <c r="H211">
        <v>41</v>
      </c>
      <c r="I211" t="s">
        <v>6047</v>
      </c>
      <c r="J211">
        <v>10453</v>
      </c>
      <c r="K211" t="s">
        <v>6074</v>
      </c>
      <c r="L211" t="s">
        <v>6074</v>
      </c>
      <c r="M211" t="s">
        <v>6192</v>
      </c>
      <c r="N211" t="s">
        <v>7279</v>
      </c>
      <c r="O211" t="s">
        <v>7311</v>
      </c>
      <c r="Q211" t="s">
        <v>7322</v>
      </c>
      <c r="R211" t="s">
        <v>6074</v>
      </c>
      <c r="S211" t="s">
        <v>7324</v>
      </c>
      <c r="U211" t="s">
        <v>457</v>
      </c>
      <c r="V211">
        <v>1175.29</v>
      </c>
      <c r="W211" t="s">
        <v>7363</v>
      </c>
      <c r="X211" t="s">
        <v>7375</v>
      </c>
      <c r="Z211" t="s">
        <v>7567</v>
      </c>
      <c r="AB211" t="s">
        <v>10411</v>
      </c>
      <c r="AC211">
        <v>46</v>
      </c>
      <c r="AD211" t="s">
        <v>12422</v>
      </c>
      <c r="AE211" t="s">
        <v>12437</v>
      </c>
      <c r="AF211">
        <v>8</v>
      </c>
      <c r="AG211">
        <v>1</v>
      </c>
      <c r="AH211">
        <v>0</v>
      </c>
      <c r="AI211">
        <v>0</v>
      </c>
      <c r="AL211" t="s">
        <v>12460</v>
      </c>
      <c r="AM211">
        <v>0</v>
      </c>
      <c r="AS211">
        <v>0</v>
      </c>
      <c r="AU211" t="s">
        <v>13099</v>
      </c>
    </row>
    <row r="212" spans="1:48">
      <c r="A212" s="1">
        <f>HYPERLINK("https://cms.ls-nyc.org/matter/dynamic-profile/view/1889950","19-1889950")</f>
        <v>0</v>
      </c>
      <c r="B212" t="s">
        <v>96</v>
      </c>
      <c r="C212" t="s">
        <v>351</v>
      </c>
      <c r="E212" t="s">
        <v>721</v>
      </c>
      <c r="F212" t="s">
        <v>2193</v>
      </c>
      <c r="G212" t="s">
        <v>3792</v>
      </c>
      <c r="H212" t="s">
        <v>5444</v>
      </c>
      <c r="I212" t="s">
        <v>6047</v>
      </c>
      <c r="J212">
        <v>10453</v>
      </c>
      <c r="K212" t="s">
        <v>6074</v>
      </c>
      <c r="L212" t="s">
        <v>6074</v>
      </c>
      <c r="N212" t="s">
        <v>7279</v>
      </c>
      <c r="O212" t="s">
        <v>7311</v>
      </c>
      <c r="Q212" t="s">
        <v>7322</v>
      </c>
      <c r="R212" t="s">
        <v>6074</v>
      </c>
      <c r="S212" t="s">
        <v>7324</v>
      </c>
      <c r="U212" t="s">
        <v>457</v>
      </c>
      <c r="V212">
        <v>1273</v>
      </c>
      <c r="W212" t="s">
        <v>7363</v>
      </c>
      <c r="X212" t="s">
        <v>7376</v>
      </c>
      <c r="Z212" t="s">
        <v>7568</v>
      </c>
      <c r="AC212">
        <v>167</v>
      </c>
      <c r="AD212" t="s">
        <v>12422</v>
      </c>
      <c r="AE212" t="s">
        <v>6110</v>
      </c>
      <c r="AF212">
        <v>11</v>
      </c>
      <c r="AG212">
        <v>2</v>
      </c>
      <c r="AH212">
        <v>2</v>
      </c>
      <c r="AI212">
        <v>0</v>
      </c>
      <c r="AL212" t="s">
        <v>12461</v>
      </c>
      <c r="AM212">
        <v>0</v>
      </c>
      <c r="AS212">
        <v>0</v>
      </c>
      <c r="AU212" t="s">
        <v>13092</v>
      </c>
    </row>
    <row r="213" spans="1:48">
      <c r="A213" s="1">
        <f>HYPERLINK("https://cms.ls-nyc.org/matter/dynamic-profile/view/1890574","19-1890574")</f>
        <v>0</v>
      </c>
      <c r="B213" t="s">
        <v>112</v>
      </c>
      <c r="C213" t="s">
        <v>341</v>
      </c>
      <c r="E213" t="s">
        <v>722</v>
      </c>
      <c r="F213" t="s">
        <v>2104</v>
      </c>
      <c r="G213" t="s">
        <v>3793</v>
      </c>
      <c r="H213" t="s">
        <v>5398</v>
      </c>
      <c r="I213" t="s">
        <v>6047</v>
      </c>
      <c r="J213">
        <v>10453</v>
      </c>
      <c r="K213" t="s">
        <v>6074</v>
      </c>
      <c r="L213" t="s">
        <v>6074</v>
      </c>
      <c r="N213" t="s">
        <v>7279</v>
      </c>
      <c r="O213" t="s">
        <v>7311</v>
      </c>
      <c r="Q213" t="s">
        <v>7322</v>
      </c>
      <c r="R213" t="s">
        <v>6074</v>
      </c>
      <c r="S213" t="s">
        <v>7324</v>
      </c>
      <c r="U213" t="s">
        <v>457</v>
      </c>
      <c r="V213">
        <v>800</v>
      </c>
      <c r="W213" t="s">
        <v>7363</v>
      </c>
      <c r="X213" t="s">
        <v>7376</v>
      </c>
      <c r="Z213" t="s">
        <v>7569</v>
      </c>
      <c r="AB213" t="s">
        <v>10412</v>
      </c>
      <c r="AC213">
        <v>44</v>
      </c>
      <c r="AD213" t="s">
        <v>12422</v>
      </c>
      <c r="AE213" t="s">
        <v>6110</v>
      </c>
      <c r="AF213">
        <v>1</v>
      </c>
      <c r="AG213">
        <v>2</v>
      </c>
      <c r="AH213">
        <v>0</v>
      </c>
      <c r="AI213">
        <v>0</v>
      </c>
      <c r="AL213" t="s">
        <v>12460</v>
      </c>
      <c r="AM213">
        <v>0</v>
      </c>
      <c r="AS213">
        <v>0</v>
      </c>
      <c r="AU213" t="s">
        <v>13095</v>
      </c>
    </row>
    <row r="214" spans="1:48">
      <c r="A214" s="1">
        <f>HYPERLINK("https://cms.ls-nyc.org/matter/dynamic-profile/view/1897103","19-1897103")</f>
        <v>0</v>
      </c>
      <c r="B214" t="s">
        <v>111</v>
      </c>
      <c r="C214" t="s">
        <v>302</v>
      </c>
      <c r="E214" t="s">
        <v>723</v>
      </c>
      <c r="F214" t="s">
        <v>2194</v>
      </c>
      <c r="G214" t="s">
        <v>3794</v>
      </c>
      <c r="H214" t="s">
        <v>5445</v>
      </c>
      <c r="I214" t="s">
        <v>6047</v>
      </c>
      <c r="J214">
        <v>10453</v>
      </c>
      <c r="K214" t="s">
        <v>6074</v>
      </c>
      <c r="L214" t="s">
        <v>6074</v>
      </c>
      <c r="M214" t="s">
        <v>6193</v>
      </c>
      <c r="N214" t="s">
        <v>7274</v>
      </c>
      <c r="O214" t="s">
        <v>7306</v>
      </c>
      <c r="Q214" t="s">
        <v>7322</v>
      </c>
      <c r="R214" t="s">
        <v>6076</v>
      </c>
      <c r="S214" t="s">
        <v>7324</v>
      </c>
      <c r="U214" t="s">
        <v>280</v>
      </c>
      <c r="V214">
        <v>210</v>
      </c>
      <c r="W214" t="s">
        <v>7363</v>
      </c>
      <c r="X214" t="s">
        <v>7373</v>
      </c>
      <c r="Z214" t="s">
        <v>7570</v>
      </c>
      <c r="AB214" t="s">
        <v>10413</v>
      </c>
      <c r="AC214">
        <v>148</v>
      </c>
      <c r="AD214" t="s">
        <v>12427</v>
      </c>
      <c r="AE214" t="s">
        <v>6110</v>
      </c>
      <c r="AF214">
        <v>4</v>
      </c>
      <c r="AG214">
        <v>1</v>
      </c>
      <c r="AH214">
        <v>0</v>
      </c>
      <c r="AI214">
        <v>0</v>
      </c>
      <c r="AL214" t="s">
        <v>12461</v>
      </c>
      <c r="AM214">
        <v>0</v>
      </c>
      <c r="AS214">
        <v>2.2</v>
      </c>
      <c r="AT214" t="s">
        <v>446</v>
      </c>
      <c r="AU214" t="s">
        <v>13095</v>
      </c>
      <c r="AV214" t="s">
        <v>13145</v>
      </c>
    </row>
    <row r="215" spans="1:48">
      <c r="A215" s="1">
        <f>HYPERLINK("https://cms.ls-nyc.org/matter/dynamic-profile/view/1876436","18-1876436")</f>
        <v>0</v>
      </c>
      <c r="B215" t="s">
        <v>105</v>
      </c>
      <c r="C215" t="s">
        <v>336</v>
      </c>
      <c r="D215" t="s">
        <v>247</v>
      </c>
      <c r="E215" t="s">
        <v>571</v>
      </c>
      <c r="F215" t="s">
        <v>2195</v>
      </c>
      <c r="G215" t="s">
        <v>3795</v>
      </c>
      <c r="H215" t="s">
        <v>5446</v>
      </c>
      <c r="I215" t="s">
        <v>6047</v>
      </c>
      <c r="J215">
        <v>10453</v>
      </c>
      <c r="K215" t="s">
        <v>6074</v>
      </c>
      <c r="L215" t="s">
        <v>6074</v>
      </c>
      <c r="N215" t="s">
        <v>7273</v>
      </c>
      <c r="O215" t="s">
        <v>7306</v>
      </c>
      <c r="P215" t="s">
        <v>7314</v>
      </c>
      <c r="Q215" t="s">
        <v>7322</v>
      </c>
      <c r="R215" t="s">
        <v>6076</v>
      </c>
      <c r="S215" t="s">
        <v>7324</v>
      </c>
      <c r="U215" t="s">
        <v>472</v>
      </c>
      <c r="V215">
        <v>1020</v>
      </c>
      <c r="W215" t="s">
        <v>7363</v>
      </c>
      <c r="X215" t="s">
        <v>7376</v>
      </c>
      <c r="Y215" t="s">
        <v>7386</v>
      </c>
      <c r="Z215" t="s">
        <v>7571</v>
      </c>
      <c r="AB215" t="s">
        <v>10414</v>
      </c>
      <c r="AC215">
        <v>0</v>
      </c>
      <c r="AD215" t="s">
        <v>12422</v>
      </c>
      <c r="AE215" t="s">
        <v>6110</v>
      </c>
      <c r="AF215">
        <v>6</v>
      </c>
      <c r="AG215">
        <v>2</v>
      </c>
      <c r="AH215">
        <v>1</v>
      </c>
      <c r="AI215">
        <v>0</v>
      </c>
      <c r="AL215" t="s">
        <v>12460</v>
      </c>
      <c r="AM215">
        <v>0</v>
      </c>
      <c r="AS215">
        <v>1</v>
      </c>
      <c r="AT215" t="s">
        <v>336</v>
      </c>
      <c r="AU215" t="s">
        <v>105</v>
      </c>
    </row>
    <row r="216" spans="1:48">
      <c r="A216" s="1">
        <f>HYPERLINK("https://cms.ls-nyc.org/matter/dynamic-profile/view/1879510","18-1879510")</f>
        <v>0</v>
      </c>
      <c r="B216" t="s">
        <v>113</v>
      </c>
      <c r="C216" t="s">
        <v>239</v>
      </c>
      <c r="E216" t="s">
        <v>724</v>
      </c>
      <c r="F216" t="s">
        <v>2196</v>
      </c>
      <c r="G216" t="s">
        <v>3796</v>
      </c>
      <c r="H216" t="s">
        <v>5418</v>
      </c>
      <c r="I216" t="s">
        <v>6047</v>
      </c>
      <c r="J216">
        <v>10453</v>
      </c>
      <c r="K216" t="s">
        <v>6074</v>
      </c>
      <c r="L216" t="s">
        <v>6074</v>
      </c>
      <c r="N216" t="s">
        <v>7273</v>
      </c>
      <c r="O216" t="s">
        <v>7308</v>
      </c>
      <c r="Q216" t="s">
        <v>7322</v>
      </c>
      <c r="R216" t="s">
        <v>6076</v>
      </c>
      <c r="S216" t="s">
        <v>7324</v>
      </c>
      <c r="T216" t="s">
        <v>7336</v>
      </c>
      <c r="U216" t="s">
        <v>369</v>
      </c>
      <c r="V216">
        <v>1220</v>
      </c>
      <c r="W216" t="s">
        <v>7363</v>
      </c>
      <c r="X216" t="s">
        <v>7368</v>
      </c>
      <c r="Z216" t="s">
        <v>7572</v>
      </c>
      <c r="AA216" t="s">
        <v>9887</v>
      </c>
      <c r="AB216" t="s">
        <v>10415</v>
      </c>
      <c r="AC216">
        <v>46</v>
      </c>
      <c r="AD216" t="s">
        <v>12422</v>
      </c>
      <c r="AE216" t="s">
        <v>12438</v>
      </c>
      <c r="AF216">
        <v>4</v>
      </c>
      <c r="AG216">
        <v>1</v>
      </c>
      <c r="AH216">
        <v>1</v>
      </c>
      <c r="AI216">
        <v>0</v>
      </c>
      <c r="AL216" t="s">
        <v>12461</v>
      </c>
      <c r="AM216">
        <v>0</v>
      </c>
      <c r="AS216">
        <v>64.90000000000001</v>
      </c>
      <c r="AT216" t="s">
        <v>564</v>
      </c>
      <c r="AU216" t="s">
        <v>13095</v>
      </c>
    </row>
    <row r="217" spans="1:48">
      <c r="A217" s="1">
        <f>HYPERLINK("https://cms.ls-nyc.org/matter/dynamic-profile/view/1890570","19-1890570")</f>
        <v>0</v>
      </c>
      <c r="B217" t="s">
        <v>112</v>
      </c>
      <c r="C217" t="s">
        <v>341</v>
      </c>
      <c r="E217" t="s">
        <v>722</v>
      </c>
      <c r="F217" t="s">
        <v>2104</v>
      </c>
      <c r="G217" t="s">
        <v>3793</v>
      </c>
      <c r="H217" t="s">
        <v>5398</v>
      </c>
      <c r="I217" t="s">
        <v>6047</v>
      </c>
      <c r="J217">
        <v>10453</v>
      </c>
      <c r="K217" t="s">
        <v>6074</v>
      </c>
      <c r="L217" t="s">
        <v>6074</v>
      </c>
      <c r="M217" t="s">
        <v>6194</v>
      </c>
      <c r="N217" t="s">
        <v>7273</v>
      </c>
      <c r="O217" t="s">
        <v>7308</v>
      </c>
      <c r="Q217" t="s">
        <v>7322</v>
      </c>
      <c r="R217" t="s">
        <v>6074</v>
      </c>
      <c r="S217" t="s">
        <v>7324</v>
      </c>
      <c r="U217" t="s">
        <v>457</v>
      </c>
      <c r="V217">
        <v>800</v>
      </c>
      <c r="W217" t="s">
        <v>7363</v>
      </c>
      <c r="X217" t="s">
        <v>7376</v>
      </c>
      <c r="Z217" t="s">
        <v>7569</v>
      </c>
      <c r="AB217" t="s">
        <v>10412</v>
      </c>
      <c r="AC217">
        <v>44</v>
      </c>
      <c r="AD217" t="s">
        <v>12422</v>
      </c>
      <c r="AE217" t="s">
        <v>6110</v>
      </c>
      <c r="AF217">
        <v>1</v>
      </c>
      <c r="AG217">
        <v>2</v>
      </c>
      <c r="AH217">
        <v>0</v>
      </c>
      <c r="AI217">
        <v>0</v>
      </c>
      <c r="AL217" t="s">
        <v>12460</v>
      </c>
      <c r="AM217">
        <v>0</v>
      </c>
      <c r="AS217">
        <v>0</v>
      </c>
      <c r="AU217" t="s">
        <v>13095</v>
      </c>
    </row>
    <row r="218" spans="1:48">
      <c r="A218" s="1">
        <f>HYPERLINK("https://cms.ls-nyc.org/matter/dynamic-profile/view/1877660","18-1877660")</f>
        <v>0</v>
      </c>
      <c r="B218" t="s">
        <v>114</v>
      </c>
      <c r="C218" t="s">
        <v>290</v>
      </c>
      <c r="D218" t="s">
        <v>434</v>
      </c>
      <c r="E218" t="s">
        <v>725</v>
      </c>
      <c r="F218" t="s">
        <v>2197</v>
      </c>
      <c r="G218" t="s">
        <v>3797</v>
      </c>
      <c r="I218" t="s">
        <v>6047</v>
      </c>
      <c r="J218">
        <v>10453</v>
      </c>
      <c r="K218" t="s">
        <v>6074</v>
      </c>
      <c r="L218" t="s">
        <v>6074</v>
      </c>
      <c r="N218" t="s">
        <v>6104</v>
      </c>
      <c r="O218" t="s">
        <v>7306</v>
      </c>
      <c r="P218" t="s">
        <v>7314</v>
      </c>
      <c r="Q218" t="s">
        <v>7322</v>
      </c>
      <c r="R218" t="s">
        <v>6076</v>
      </c>
      <c r="S218" t="s">
        <v>7324</v>
      </c>
      <c r="U218" t="s">
        <v>290</v>
      </c>
      <c r="V218">
        <v>150</v>
      </c>
      <c r="W218" t="s">
        <v>7363</v>
      </c>
      <c r="X218" t="s">
        <v>7376</v>
      </c>
      <c r="Y218" t="s">
        <v>7386</v>
      </c>
      <c r="Z218" t="s">
        <v>7573</v>
      </c>
      <c r="AC218">
        <v>2</v>
      </c>
      <c r="AE218" t="s">
        <v>12435</v>
      </c>
      <c r="AF218">
        <v>13</v>
      </c>
      <c r="AG218">
        <v>2</v>
      </c>
      <c r="AH218">
        <v>0</v>
      </c>
      <c r="AI218">
        <v>0</v>
      </c>
      <c r="AL218" t="s">
        <v>12461</v>
      </c>
      <c r="AM218">
        <v>0</v>
      </c>
      <c r="AS218">
        <v>1</v>
      </c>
      <c r="AT218" t="s">
        <v>434</v>
      </c>
      <c r="AU218" t="s">
        <v>13095</v>
      </c>
    </row>
    <row r="219" spans="1:48">
      <c r="A219" s="1">
        <f>HYPERLINK("https://cms.ls-nyc.org/matter/dynamic-profile/view/1883459","18-1883459")</f>
        <v>0</v>
      </c>
      <c r="B219" t="s">
        <v>99</v>
      </c>
      <c r="C219" t="s">
        <v>320</v>
      </c>
      <c r="D219" t="s">
        <v>472</v>
      </c>
      <c r="E219" t="s">
        <v>726</v>
      </c>
      <c r="F219" t="s">
        <v>2198</v>
      </c>
      <c r="G219" t="s">
        <v>3798</v>
      </c>
      <c r="H219" t="s">
        <v>5372</v>
      </c>
      <c r="I219" t="s">
        <v>6047</v>
      </c>
      <c r="J219">
        <v>10453</v>
      </c>
      <c r="K219" t="s">
        <v>6074</v>
      </c>
      <c r="L219" t="s">
        <v>6074</v>
      </c>
      <c r="N219" t="s">
        <v>6104</v>
      </c>
      <c r="O219" t="s">
        <v>7306</v>
      </c>
      <c r="P219" t="s">
        <v>7314</v>
      </c>
      <c r="Q219" t="s">
        <v>7322</v>
      </c>
      <c r="S219" t="s">
        <v>7324</v>
      </c>
      <c r="U219" t="s">
        <v>297</v>
      </c>
      <c r="V219">
        <v>1350</v>
      </c>
      <c r="W219" t="s">
        <v>7363</v>
      </c>
      <c r="Y219" t="s">
        <v>7386</v>
      </c>
      <c r="Z219" t="s">
        <v>7574</v>
      </c>
      <c r="AB219" t="s">
        <v>10416</v>
      </c>
      <c r="AC219">
        <v>0</v>
      </c>
      <c r="AD219" t="s">
        <v>6322</v>
      </c>
      <c r="AE219" t="s">
        <v>6110</v>
      </c>
      <c r="AF219">
        <v>19</v>
      </c>
      <c r="AG219">
        <v>2</v>
      </c>
      <c r="AH219">
        <v>0</v>
      </c>
      <c r="AI219">
        <v>0</v>
      </c>
      <c r="AL219" t="s">
        <v>12460</v>
      </c>
      <c r="AM219">
        <v>0</v>
      </c>
      <c r="AN219" t="s">
        <v>12517</v>
      </c>
      <c r="AS219">
        <v>3.25</v>
      </c>
      <c r="AT219" t="s">
        <v>340</v>
      </c>
      <c r="AU219" t="s">
        <v>13100</v>
      </c>
    </row>
    <row r="220" spans="1:48">
      <c r="A220" s="1">
        <f>HYPERLINK("https://cms.ls-nyc.org/matter/dynamic-profile/view/1890563","19-1890563")</f>
        <v>0</v>
      </c>
      <c r="B220" t="s">
        <v>112</v>
      </c>
      <c r="C220" t="s">
        <v>341</v>
      </c>
      <c r="E220" t="s">
        <v>722</v>
      </c>
      <c r="F220" t="s">
        <v>2104</v>
      </c>
      <c r="G220" t="s">
        <v>3793</v>
      </c>
      <c r="H220" t="s">
        <v>5398</v>
      </c>
      <c r="I220" t="s">
        <v>6047</v>
      </c>
      <c r="J220">
        <v>10453</v>
      </c>
      <c r="K220" t="s">
        <v>6074</v>
      </c>
      <c r="L220" t="s">
        <v>6074</v>
      </c>
      <c r="N220" t="s">
        <v>6104</v>
      </c>
      <c r="O220" t="s">
        <v>7309</v>
      </c>
      <c r="Q220" t="s">
        <v>7322</v>
      </c>
      <c r="R220" t="s">
        <v>6076</v>
      </c>
      <c r="S220" t="s">
        <v>7324</v>
      </c>
      <c r="U220" t="s">
        <v>457</v>
      </c>
      <c r="V220">
        <v>800</v>
      </c>
      <c r="W220" t="s">
        <v>7363</v>
      </c>
      <c r="X220" t="s">
        <v>7376</v>
      </c>
      <c r="Z220" t="s">
        <v>7569</v>
      </c>
      <c r="AB220" t="s">
        <v>10412</v>
      </c>
      <c r="AC220">
        <v>44</v>
      </c>
      <c r="AD220" t="s">
        <v>12422</v>
      </c>
      <c r="AE220" t="s">
        <v>6110</v>
      </c>
      <c r="AF220">
        <v>1</v>
      </c>
      <c r="AG220">
        <v>2</v>
      </c>
      <c r="AH220">
        <v>0</v>
      </c>
      <c r="AI220">
        <v>0</v>
      </c>
      <c r="AL220" t="s">
        <v>12460</v>
      </c>
      <c r="AM220">
        <v>0</v>
      </c>
      <c r="AN220" t="s">
        <v>12518</v>
      </c>
      <c r="AS220">
        <v>0</v>
      </c>
      <c r="AU220" t="s">
        <v>13095</v>
      </c>
    </row>
    <row r="221" spans="1:48">
      <c r="A221" s="1">
        <f>HYPERLINK("https://cms.ls-nyc.org/matter/dynamic-profile/view/1869425","18-1869425")</f>
        <v>0</v>
      </c>
      <c r="B221" t="s">
        <v>111</v>
      </c>
      <c r="C221" t="s">
        <v>352</v>
      </c>
      <c r="E221" t="s">
        <v>727</v>
      </c>
      <c r="F221" t="s">
        <v>2199</v>
      </c>
      <c r="G221" t="s">
        <v>3799</v>
      </c>
      <c r="I221" t="s">
        <v>6047</v>
      </c>
      <c r="J221">
        <v>10453</v>
      </c>
      <c r="K221" t="s">
        <v>6074</v>
      </c>
      <c r="L221" t="s">
        <v>6074</v>
      </c>
      <c r="M221" t="s">
        <v>6195</v>
      </c>
      <c r="N221" t="s">
        <v>7276</v>
      </c>
      <c r="O221" t="s">
        <v>7308</v>
      </c>
      <c r="Q221" t="s">
        <v>7322</v>
      </c>
      <c r="S221" t="s">
        <v>7324</v>
      </c>
      <c r="T221" t="s">
        <v>7336</v>
      </c>
      <c r="U221" t="s">
        <v>502</v>
      </c>
      <c r="V221">
        <v>1931</v>
      </c>
      <c r="W221" t="s">
        <v>7363</v>
      </c>
      <c r="X221" t="s">
        <v>7368</v>
      </c>
      <c r="Z221" t="s">
        <v>7575</v>
      </c>
      <c r="AA221" t="s">
        <v>9888</v>
      </c>
      <c r="AB221" t="s">
        <v>10417</v>
      </c>
      <c r="AC221">
        <v>439</v>
      </c>
      <c r="AD221" t="s">
        <v>12422</v>
      </c>
      <c r="AE221" t="s">
        <v>12434</v>
      </c>
      <c r="AF221">
        <v>7</v>
      </c>
      <c r="AG221">
        <v>3</v>
      </c>
      <c r="AH221">
        <v>3</v>
      </c>
      <c r="AI221">
        <v>0</v>
      </c>
      <c r="AL221" t="s">
        <v>12460</v>
      </c>
      <c r="AM221">
        <v>0</v>
      </c>
      <c r="AS221">
        <v>37.95</v>
      </c>
      <c r="AT221" t="s">
        <v>324</v>
      </c>
      <c r="AU221" t="s">
        <v>13095</v>
      </c>
    </row>
    <row r="222" spans="1:48">
      <c r="A222" s="1">
        <f>HYPERLINK("https://cms.ls-nyc.org/matter/dynamic-profile/view/1875726","18-1875726")</f>
        <v>0</v>
      </c>
      <c r="B222" t="s">
        <v>102</v>
      </c>
      <c r="C222" t="s">
        <v>353</v>
      </c>
      <c r="D222" t="s">
        <v>326</v>
      </c>
      <c r="E222" t="s">
        <v>586</v>
      </c>
      <c r="F222" t="s">
        <v>2200</v>
      </c>
      <c r="G222" t="s">
        <v>3800</v>
      </c>
      <c r="H222" t="s">
        <v>5417</v>
      </c>
      <c r="I222" t="s">
        <v>6047</v>
      </c>
      <c r="J222">
        <v>10453</v>
      </c>
      <c r="K222" t="s">
        <v>6074</v>
      </c>
      <c r="L222" t="s">
        <v>6074</v>
      </c>
      <c r="M222" t="s">
        <v>6196</v>
      </c>
      <c r="N222" t="s">
        <v>7276</v>
      </c>
      <c r="O222" t="s">
        <v>7308</v>
      </c>
      <c r="P222" t="s">
        <v>7316</v>
      </c>
      <c r="Q222" t="s">
        <v>7322</v>
      </c>
      <c r="R222" t="s">
        <v>6076</v>
      </c>
      <c r="S222" t="s">
        <v>7324</v>
      </c>
      <c r="U222" t="s">
        <v>7343</v>
      </c>
      <c r="V222">
        <v>1286</v>
      </c>
      <c r="W222" t="s">
        <v>7363</v>
      </c>
      <c r="X222" t="s">
        <v>7366</v>
      </c>
      <c r="Y222" t="s">
        <v>7388</v>
      </c>
      <c r="Z222" t="s">
        <v>7576</v>
      </c>
      <c r="AA222" t="s">
        <v>9889</v>
      </c>
      <c r="AB222" t="s">
        <v>10418</v>
      </c>
      <c r="AC222">
        <v>0</v>
      </c>
      <c r="AD222" t="s">
        <v>6322</v>
      </c>
      <c r="AE222" t="s">
        <v>12433</v>
      </c>
      <c r="AF222">
        <v>3</v>
      </c>
      <c r="AG222">
        <v>1</v>
      </c>
      <c r="AH222">
        <v>1</v>
      </c>
      <c r="AI222">
        <v>0</v>
      </c>
      <c r="AL222" t="s">
        <v>12460</v>
      </c>
      <c r="AM222">
        <v>0</v>
      </c>
      <c r="AN222" t="s">
        <v>12519</v>
      </c>
      <c r="AS222">
        <v>13.7</v>
      </c>
      <c r="AT222" t="s">
        <v>462</v>
      </c>
      <c r="AU222" t="s">
        <v>13099</v>
      </c>
    </row>
    <row r="223" spans="1:48">
      <c r="A223" s="1">
        <f>HYPERLINK("https://cms.ls-nyc.org/matter/dynamic-profile/view/1893016","19-1893016")</f>
        <v>0</v>
      </c>
      <c r="B223" t="s">
        <v>104</v>
      </c>
      <c r="C223" t="s">
        <v>332</v>
      </c>
      <c r="E223" t="s">
        <v>728</v>
      </c>
      <c r="F223" t="s">
        <v>2201</v>
      </c>
      <c r="G223" t="s">
        <v>3801</v>
      </c>
      <c r="H223" t="s">
        <v>5444</v>
      </c>
      <c r="I223" t="s">
        <v>6047</v>
      </c>
      <c r="J223">
        <v>10453</v>
      </c>
      <c r="K223" t="s">
        <v>6074</v>
      </c>
      <c r="L223" t="s">
        <v>6074</v>
      </c>
      <c r="N223" t="s">
        <v>7276</v>
      </c>
      <c r="O223" t="s">
        <v>7306</v>
      </c>
      <c r="Q223" t="s">
        <v>7322</v>
      </c>
      <c r="R223" t="s">
        <v>6076</v>
      </c>
      <c r="S223" t="s">
        <v>7324</v>
      </c>
      <c r="U223" t="s">
        <v>332</v>
      </c>
      <c r="V223">
        <v>1527.83</v>
      </c>
      <c r="W223" t="s">
        <v>7363</v>
      </c>
      <c r="Z223" t="s">
        <v>7577</v>
      </c>
      <c r="AB223" t="s">
        <v>10419</v>
      </c>
      <c r="AC223">
        <v>0</v>
      </c>
      <c r="AD223" t="s">
        <v>12422</v>
      </c>
      <c r="AE223" t="s">
        <v>12434</v>
      </c>
      <c r="AF223">
        <v>3</v>
      </c>
      <c r="AG223">
        <v>2</v>
      </c>
      <c r="AH223">
        <v>0</v>
      </c>
      <c r="AI223">
        <v>0</v>
      </c>
      <c r="AL223" t="s">
        <v>12469</v>
      </c>
      <c r="AM223">
        <v>0</v>
      </c>
      <c r="AS223">
        <v>0.1</v>
      </c>
      <c r="AT223" t="s">
        <v>234</v>
      </c>
      <c r="AU223" t="s">
        <v>104</v>
      </c>
    </row>
    <row r="224" spans="1:48">
      <c r="A224" s="1">
        <f>HYPERLINK("https://cms.ls-nyc.org/matter/dynamic-profile/view/1894026","19-1894026")</f>
        <v>0</v>
      </c>
      <c r="B224" t="s">
        <v>115</v>
      </c>
      <c r="C224" t="s">
        <v>335</v>
      </c>
      <c r="E224" t="s">
        <v>729</v>
      </c>
      <c r="F224" t="s">
        <v>2202</v>
      </c>
      <c r="G224" t="s">
        <v>3802</v>
      </c>
      <c r="H224" t="s">
        <v>5447</v>
      </c>
      <c r="I224" t="s">
        <v>6047</v>
      </c>
      <c r="J224">
        <v>10453</v>
      </c>
      <c r="K224" t="s">
        <v>6074</v>
      </c>
      <c r="L224" t="s">
        <v>6074</v>
      </c>
      <c r="M224" t="s">
        <v>6197</v>
      </c>
      <c r="N224" t="s">
        <v>7276</v>
      </c>
      <c r="O224" t="s">
        <v>7308</v>
      </c>
      <c r="Q224" t="s">
        <v>7322</v>
      </c>
      <c r="R224" t="s">
        <v>6076</v>
      </c>
      <c r="S224" t="s">
        <v>7324</v>
      </c>
      <c r="U224" t="s">
        <v>335</v>
      </c>
      <c r="V224">
        <v>169</v>
      </c>
      <c r="W224" t="s">
        <v>7363</v>
      </c>
      <c r="X224" t="s">
        <v>7376</v>
      </c>
      <c r="Z224" t="s">
        <v>7578</v>
      </c>
      <c r="AC224">
        <v>99</v>
      </c>
      <c r="AD224" t="s">
        <v>12422</v>
      </c>
      <c r="AE224" t="s">
        <v>12434</v>
      </c>
      <c r="AF224">
        <v>6</v>
      </c>
      <c r="AG224">
        <v>1</v>
      </c>
      <c r="AH224">
        <v>0</v>
      </c>
      <c r="AI224">
        <v>0</v>
      </c>
      <c r="AL224" t="s">
        <v>12460</v>
      </c>
      <c r="AM224">
        <v>0</v>
      </c>
      <c r="AS224">
        <v>14.3</v>
      </c>
      <c r="AT224" t="s">
        <v>241</v>
      </c>
      <c r="AU224" t="s">
        <v>97</v>
      </c>
    </row>
    <row r="225" spans="1:48">
      <c r="A225" s="1">
        <f>HYPERLINK("https://cms.ls-nyc.org/matter/dynamic-profile/view/1895588","19-1895588")</f>
        <v>0</v>
      </c>
      <c r="B225" t="s">
        <v>113</v>
      </c>
      <c r="C225" t="s">
        <v>264</v>
      </c>
      <c r="E225" t="s">
        <v>721</v>
      </c>
      <c r="F225" t="s">
        <v>2193</v>
      </c>
      <c r="G225" t="s">
        <v>3792</v>
      </c>
      <c r="H225" t="s">
        <v>5444</v>
      </c>
      <c r="I225" t="s">
        <v>6047</v>
      </c>
      <c r="J225">
        <v>10453</v>
      </c>
      <c r="K225" t="s">
        <v>6074</v>
      </c>
      <c r="L225" t="s">
        <v>6074</v>
      </c>
      <c r="M225" t="s">
        <v>6198</v>
      </c>
      <c r="N225" t="s">
        <v>7276</v>
      </c>
      <c r="O225" t="s">
        <v>7308</v>
      </c>
      <c r="Q225" t="s">
        <v>7322</v>
      </c>
      <c r="R225" t="s">
        <v>6074</v>
      </c>
      <c r="S225" t="s">
        <v>7324</v>
      </c>
      <c r="T225" t="s">
        <v>7336</v>
      </c>
      <c r="U225" t="s">
        <v>505</v>
      </c>
      <c r="V225">
        <v>1273</v>
      </c>
      <c r="W225" t="s">
        <v>7363</v>
      </c>
      <c r="X225" t="s">
        <v>7376</v>
      </c>
      <c r="Z225" t="s">
        <v>7568</v>
      </c>
      <c r="AC225">
        <v>167</v>
      </c>
      <c r="AD225" t="s">
        <v>12422</v>
      </c>
      <c r="AE225" t="s">
        <v>6110</v>
      </c>
      <c r="AF225">
        <v>11</v>
      </c>
      <c r="AG225">
        <v>2</v>
      </c>
      <c r="AH225">
        <v>0</v>
      </c>
      <c r="AI225">
        <v>0</v>
      </c>
      <c r="AL225" t="s">
        <v>12461</v>
      </c>
      <c r="AM225">
        <v>0</v>
      </c>
      <c r="AS225">
        <v>14.7</v>
      </c>
      <c r="AT225" t="s">
        <v>564</v>
      </c>
      <c r="AU225" t="s">
        <v>13093</v>
      </c>
      <c r="AV225" t="s">
        <v>13145</v>
      </c>
    </row>
    <row r="226" spans="1:48">
      <c r="A226" s="1">
        <f>HYPERLINK("https://cms.ls-nyc.org/matter/dynamic-profile/view/1880340","18-1880340")</f>
        <v>0</v>
      </c>
      <c r="B226" t="s">
        <v>111</v>
      </c>
      <c r="C226" t="s">
        <v>354</v>
      </c>
      <c r="E226" t="s">
        <v>727</v>
      </c>
      <c r="F226" t="s">
        <v>2199</v>
      </c>
      <c r="G226" t="s">
        <v>3799</v>
      </c>
      <c r="I226" t="s">
        <v>6047</v>
      </c>
      <c r="J226">
        <v>10453</v>
      </c>
      <c r="K226" t="s">
        <v>6074</v>
      </c>
      <c r="L226" t="s">
        <v>6074</v>
      </c>
      <c r="N226" t="s">
        <v>7286</v>
      </c>
      <c r="O226" t="s">
        <v>7309</v>
      </c>
      <c r="Q226" t="s">
        <v>7322</v>
      </c>
      <c r="R226" t="s">
        <v>6076</v>
      </c>
      <c r="S226" t="s">
        <v>7331</v>
      </c>
      <c r="U226" t="s">
        <v>354</v>
      </c>
      <c r="V226">
        <v>1931</v>
      </c>
      <c r="W226" t="s">
        <v>7363</v>
      </c>
      <c r="X226" t="s">
        <v>7368</v>
      </c>
      <c r="Z226" t="s">
        <v>7575</v>
      </c>
      <c r="AA226" t="s">
        <v>9888</v>
      </c>
      <c r="AB226" t="s">
        <v>10417</v>
      </c>
      <c r="AC226">
        <v>1654</v>
      </c>
      <c r="AD226" t="s">
        <v>12422</v>
      </c>
      <c r="AE226" t="s">
        <v>12434</v>
      </c>
      <c r="AF226">
        <v>7</v>
      </c>
      <c r="AG226">
        <v>3</v>
      </c>
      <c r="AH226">
        <v>3</v>
      </c>
      <c r="AI226">
        <v>0</v>
      </c>
      <c r="AL226" t="s">
        <v>12460</v>
      </c>
      <c r="AM226">
        <v>0</v>
      </c>
      <c r="AS226">
        <v>2.25</v>
      </c>
      <c r="AT226" t="s">
        <v>294</v>
      </c>
      <c r="AU226" t="s">
        <v>13095</v>
      </c>
    </row>
    <row r="227" spans="1:48">
      <c r="A227" s="1">
        <f>HYPERLINK("https://cms.ls-nyc.org/matter/dynamic-profile/view/1881643","18-1881643")</f>
        <v>0</v>
      </c>
      <c r="B227" t="s">
        <v>113</v>
      </c>
      <c r="C227" t="s">
        <v>298</v>
      </c>
      <c r="E227" t="s">
        <v>724</v>
      </c>
      <c r="F227" t="s">
        <v>2196</v>
      </c>
      <c r="G227" t="s">
        <v>3796</v>
      </c>
      <c r="H227" t="s">
        <v>5418</v>
      </c>
      <c r="I227" t="s">
        <v>6047</v>
      </c>
      <c r="J227">
        <v>10453</v>
      </c>
      <c r="K227" t="s">
        <v>6074</v>
      </c>
      <c r="L227" t="s">
        <v>6074</v>
      </c>
      <c r="N227" t="s">
        <v>7278</v>
      </c>
      <c r="O227" t="s">
        <v>7309</v>
      </c>
      <c r="Q227" t="s">
        <v>7322</v>
      </c>
      <c r="R227" t="s">
        <v>6076</v>
      </c>
      <c r="S227" t="s">
        <v>7332</v>
      </c>
      <c r="T227" t="s">
        <v>7336</v>
      </c>
      <c r="U227" t="s">
        <v>298</v>
      </c>
      <c r="V227">
        <v>1220</v>
      </c>
      <c r="W227" t="s">
        <v>7363</v>
      </c>
      <c r="X227" t="s">
        <v>7368</v>
      </c>
      <c r="Z227" t="s">
        <v>7572</v>
      </c>
      <c r="AA227" t="s">
        <v>9887</v>
      </c>
      <c r="AB227" t="s">
        <v>10415</v>
      </c>
      <c r="AC227">
        <v>46</v>
      </c>
      <c r="AD227" t="s">
        <v>12422</v>
      </c>
      <c r="AE227" t="s">
        <v>12438</v>
      </c>
      <c r="AF227">
        <v>4</v>
      </c>
      <c r="AG227">
        <v>1</v>
      </c>
      <c r="AH227">
        <v>1</v>
      </c>
      <c r="AI227">
        <v>0</v>
      </c>
      <c r="AL227" t="s">
        <v>12461</v>
      </c>
      <c r="AM227">
        <v>0</v>
      </c>
      <c r="AS227">
        <v>3.8</v>
      </c>
      <c r="AT227" t="s">
        <v>247</v>
      </c>
      <c r="AU227" t="s">
        <v>13095</v>
      </c>
    </row>
    <row r="228" spans="1:48">
      <c r="A228" s="1">
        <f>HYPERLINK("https://cms.ls-nyc.org/matter/dynamic-profile/view/1879168","18-1879168")</f>
        <v>0</v>
      </c>
      <c r="B228" t="s">
        <v>96</v>
      </c>
      <c r="C228" t="s">
        <v>355</v>
      </c>
      <c r="D228" t="s">
        <v>326</v>
      </c>
      <c r="E228" t="s">
        <v>730</v>
      </c>
      <c r="F228" t="s">
        <v>716</v>
      </c>
      <c r="G228" t="s">
        <v>3803</v>
      </c>
      <c r="H228" t="s">
        <v>5398</v>
      </c>
      <c r="I228" t="s">
        <v>6047</v>
      </c>
      <c r="J228">
        <v>10452</v>
      </c>
      <c r="K228" t="s">
        <v>6074</v>
      </c>
      <c r="L228" t="s">
        <v>6074</v>
      </c>
      <c r="N228" t="s">
        <v>7279</v>
      </c>
      <c r="O228" t="s">
        <v>7307</v>
      </c>
      <c r="P228" t="s">
        <v>7315</v>
      </c>
      <c r="Q228" t="s">
        <v>7322</v>
      </c>
      <c r="R228" t="s">
        <v>6076</v>
      </c>
      <c r="S228" t="s">
        <v>7324</v>
      </c>
      <c r="U228" t="s">
        <v>355</v>
      </c>
      <c r="V228">
        <v>1321</v>
      </c>
      <c r="W228" t="s">
        <v>7363</v>
      </c>
      <c r="Y228" t="s">
        <v>7394</v>
      </c>
      <c r="Z228" t="s">
        <v>7579</v>
      </c>
      <c r="AB228" t="s">
        <v>10420</v>
      </c>
      <c r="AC228">
        <v>58</v>
      </c>
      <c r="AE228" t="s">
        <v>12435</v>
      </c>
      <c r="AF228">
        <v>4</v>
      </c>
      <c r="AG228">
        <v>1</v>
      </c>
      <c r="AH228">
        <v>3</v>
      </c>
      <c r="AI228">
        <v>0</v>
      </c>
      <c r="AL228" t="s">
        <v>12461</v>
      </c>
      <c r="AM228">
        <v>0</v>
      </c>
      <c r="AS228">
        <v>0.5</v>
      </c>
      <c r="AT228" t="s">
        <v>333</v>
      </c>
      <c r="AU228" t="s">
        <v>13092</v>
      </c>
    </row>
    <row r="229" spans="1:48">
      <c r="A229" s="1">
        <f>HYPERLINK("https://cms.ls-nyc.org/matter/dynamic-profile/view/1890692","19-1890692")</f>
        <v>0</v>
      </c>
      <c r="B229" t="s">
        <v>112</v>
      </c>
      <c r="C229" t="s">
        <v>356</v>
      </c>
      <c r="D229" t="s">
        <v>334</v>
      </c>
      <c r="E229" t="s">
        <v>731</v>
      </c>
      <c r="F229" t="s">
        <v>2203</v>
      </c>
      <c r="G229" t="s">
        <v>3804</v>
      </c>
      <c r="H229" t="s">
        <v>5398</v>
      </c>
      <c r="I229" t="s">
        <v>6047</v>
      </c>
      <c r="J229">
        <v>10452</v>
      </c>
      <c r="K229" t="s">
        <v>6074</v>
      </c>
      <c r="L229" t="s">
        <v>6074</v>
      </c>
      <c r="M229" t="s">
        <v>6199</v>
      </c>
      <c r="N229" t="s">
        <v>7274</v>
      </c>
      <c r="O229" t="s">
        <v>7306</v>
      </c>
      <c r="P229" t="s">
        <v>7314</v>
      </c>
      <c r="Q229" t="s">
        <v>7322</v>
      </c>
      <c r="S229" t="s">
        <v>7324</v>
      </c>
      <c r="U229" t="s">
        <v>334</v>
      </c>
      <c r="V229">
        <v>1500</v>
      </c>
      <c r="W229" t="s">
        <v>7363</v>
      </c>
      <c r="X229" t="s">
        <v>7373</v>
      </c>
      <c r="Y229" t="s">
        <v>7386</v>
      </c>
      <c r="Z229" t="s">
        <v>7580</v>
      </c>
      <c r="AB229" t="s">
        <v>10421</v>
      </c>
      <c r="AC229">
        <v>0</v>
      </c>
      <c r="AD229" t="s">
        <v>12424</v>
      </c>
      <c r="AF229">
        <v>7</v>
      </c>
      <c r="AG229">
        <v>1</v>
      </c>
      <c r="AH229">
        <v>0</v>
      </c>
      <c r="AI229">
        <v>0</v>
      </c>
      <c r="AL229" t="s">
        <v>12460</v>
      </c>
      <c r="AM229">
        <v>0</v>
      </c>
      <c r="AS229">
        <v>5.5</v>
      </c>
      <c r="AT229" t="s">
        <v>334</v>
      </c>
      <c r="AU229" t="s">
        <v>13081</v>
      </c>
    </row>
    <row r="230" spans="1:48">
      <c r="A230" s="1">
        <f>HYPERLINK("https://cms.ls-nyc.org/matter/dynamic-profile/view/1880956","18-1880956")</f>
        <v>0</v>
      </c>
      <c r="B230" t="s">
        <v>97</v>
      </c>
      <c r="C230" t="s">
        <v>357</v>
      </c>
      <c r="D230" t="s">
        <v>472</v>
      </c>
      <c r="E230" t="s">
        <v>732</v>
      </c>
      <c r="F230" t="s">
        <v>2111</v>
      </c>
      <c r="G230" t="s">
        <v>3805</v>
      </c>
      <c r="H230" t="s">
        <v>5448</v>
      </c>
      <c r="I230" t="s">
        <v>6047</v>
      </c>
      <c r="J230">
        <v>10452</v>
      </c>
      <c r="K230" t="s">
        <v>6074</v>
      </c>
      <c r="L230" t="s">
        <v>6074</v>
      </c>
      <c r="N230" t="s">
        <v>7273</v>
      </c>
      <c r="O230" t="s">
        <v>7306</v>
      </c>
      <c r="P230" t="s">
        <v>7314</v>
      </c>
      <c r="Q230" t="s">
        <v>7322</v>
      </c>
      <c r="R230" t="s">
        <v>6074</v>
      </c>
      <c r="S230" t="s">
        <v>7324</v>
      </c>
      <c r="U230" t="s">
        <v>472</v>
      </c>
      <c r="V230">
        <v>1209.55</v>
      </c>
      <c r="W230" t="s">
        <v>7363</v>
      </c>
      <c r="X230" t="s">
        <v>7376</v>
      </c>
      <c r="Y230" t="s">
        <v>7386</v>
      </c>
      <c r="AA230" t="s">
        <v>9890</v>
      </c>
      <c r="AC230">
        <v>149</v>
      </c>
      <c r="AD230" t="s">
        <v>12422</v>
      </c>
      <c r="AE230" t="s">
        <v>12434</v>
      </c>
      <c r="AF230">
        <v>10</v>
      </c>
      <c r="AG230">
        <v>1</v>
      </c>
      <c r="AH230">
        <v>0</v>
      </c>
      <c r="AI230">
        <v>0</v>
      </c>
      <c r="AL230" t="s">
        <v>12461</v>
      </c>
      <c r="AM230">
        <v>0</v>
      </c>
      <c r="AS230">
        <v>0.2</v>
      </c>
      <c r="AT230" t="s">
        <v>492</v>
      </c>
      <c r="AU230" t="s">
        <v>13099</v>
      </c>
    </row>
    <row r="231" spans="1:48">
      <c r="A231" s="1">
        <f>HYPERLINK("https://cms.ls-nyc.org/matter/dynamic-profile/view/1890296","19-1890296")</f>
        <v>0</v>
      </c>
      <c r="B231" t="s">
        <v>97</v>
      </c>
      <c r="C231" t="s">
        <v>358</v>
      </c>
      <c r="D231" t="s">
        <v>332</v>
      </c>
      <c r="E231" t="s">
        <v>733</v>
      </c>
      <c r="F231" t="s">
        <v>2204</v>
      </c>
      <c r="G231" t="s">
        <v>3806</v>
      </c>
      <c r="H231" t="s">
        <v>5449</v>
      </c>
      <c r="I231" t="s">
        <v>6047</v>
      </c>
      <c r="J231">
        <v>10452</v>
      </c>
      <c r="K231" t="s">
        <v>6074</v>
      </c>
      <c r="L231" t="s">
        <v>6074</v>
      </c>
      <c r="N231" t="s">
        <v>6104</v>
      </c>
      <c r="O231" t="s">
        <v>7307</v>
      </c>
      <c r="P231" t="s">
        <v>7315</v>
      </c>
      <c r="Q231" t="s">
        <v>7322</v>
      </c>
      <c r="R231" t="s">
        <v>6076</v>
      </c>
      <c r="S231" t="s">
        <v>7324</v>
      </c>
      <c r="U231" t="s">
        <v>358</v>
      </c>
      <c r="V231">
        <v>1500</v>
      </c>
      <c r="W231" t="s">
        <v>7363</v>
      </c>
      <c r="X231" t="s">
        <v>7376</v>
      </c>
      <c r="Y231" t="s">
        <v>7386</v>
      </c>
      <c r="Z231" t="s">
        <v>7581</v>
      </c>
      <c r="AC231">
        <v>59</v>
      </c>
      <c r="AD231" t="s">
        <v>12422</v>
      </c>
      <c r="AE231" t="s">
        <v>6110</v>
      </c>
      <c r="AF231">
        <v>6</v>
      </c>
      <c r="AG231">
        <v>1</v>
      </c>
      <c r="AH231">
        <v>2</v>
      </c>
      <c r="AI231">
        <v>0</v>
      </c>
      <c r="AL231" t="s">
        <v>12461</v>
      </c>
      <c r="AM231">
        <v>0</v>
      </c>
      <c r="AS231">
        <v>1.3</v>
      </c>
      <c r="AT231" t="s">
        <v>332</v>
      </c>
      <c r="AU231" t="s">
        <v>97</v>
      </c>
    </row>
    <row r="232" spans="1:48">
      <c r="A232" s="1">
        <f>HYPERLINK("https://cms.ls-nyc.org/matter/dynamic-profile/view/1890375","19-1890375")</f>
        <v>0</v>
      </c>
      <c r="B232" t="s">
        <v>97</v>
      </c>
      <c r="C232" t="s">
        <v>330</v>
      </c>
      <c r="D232" t="s">
        <v>332</v>
      </c>
      <c r="E232" t="s">
        <v>734</v>
      </c>
      <c r="F232" t="s">
        <v>2205</v>
      </c>
      <c r="G232" t="s">
        <v>3806</v>
      </c>
      <c r="I232" t="s">
        <v>6047</v>
      </c>
      <c r="J232">
        <v>10452</v>
      </c>
      <c r="K232" t="s">
        <v>6074</v>
      </c>
      <c r="L232" t="s">
        <v>6074</v>
      </c>
      <c r="N232" t="s">
        <v>6104</v>
      </c>
      <c r="O232" t="s">
        <v>7306</v>
      </c>
      <c r="P232" t="s">
        <v>7314</v>
      </c>
      <c r="Q232" t="s">
        <v>7322</v>
      </c>
      <c r="R232" t="s">
        <v>6076</v>
      </c>
      <c r="S232" t="s">
        <v>7324</v>
      </c>
      <c r="U232" t="s">
        <v>330</v>
      </c>
      <c r="V232">
        <v>1200</v>
      </c>
      <c r="W232" t="s">
        <v>7363</v>
      </c>
      <c r="X232" t="s">
        <v>7376</v>
      </c>
      <c r="Y232" t="s">
        <v>7386</v>
      </c>
      <c r="AB232" t="s">
        <v>10422</v>
      </c>
      <c r="AC232">
        <v>59</v>
      </c>
      <c r="AD232" t="s">
        <v>12422</v>
      </c>
      <c r="AE232" t="s">
        <v>6110</v>
      </c>
      <c r="AF232">
        <v>2</v>
      </c>
      <c r="AG232">
        <v>2</v>
      </c>
      <c r="AH232">
        <v>1</v>
      </c>
      <c r="AI232">
        <v>0</v>
      </c>
      <c r="AL232" t="s">
        <v>12461</v>
      </c>
      <c r="AM232">
        <v>0</v>
      </c>
      <c r="AS232">
        <v>1.2</v>
      </c>
      <c r="AT232" t="s">
        <v>332</v>
      </c>
      <c r="AU232" t="s">
        <v>97</v>
      </c>
    </row>
    <row r="233" spans="1:48">
      <c r="A233" s="1">
        <f>HYPERLINK("https://cms.ls-nyc.org/matter/dynamic-profile/view/1893912","19-1893912")</f>
        <v>0</v>
      </c>
      <c r="B233" t="s">
        <v>116</v>
      </c>
      <c r="C233" t="s">
        <v>335</v>
      </c>
      <c r="D233" t="s">
        <v>343</v>
      </c>
      <c r="E233" t="s">
        <v>689</v>
      </c>
      <c r="F233" t="s">
        <v>2206</v>
      </c>
      <c r="G233" t="s">
        <v>3807</v>
      </c>
      <c r="H233" t="s">
        <v>5372</v>
      </c>
      <c r="I233" t="s">
        <v>6047</v>
      </c>
      <c r="J233">
        <v>10452</v>
      </c>
      <c r="K233" t="s">
        <v>6074</v>
      </c>
      <c r="L233" t="s">
        <v>6074</v>
      </c>
      <c r="N233" t="s">
        <v>6104</v>
      </c>
      <c r="O233" t="s">
        <v>7306</v>
      </c>
      <c r="P233" t="s">
        <v>7314</v>
      </c>
      <c r="Q233" t="s">
        <v>7322</v>
      </c>
      <c r="R233" t="s">
        <v>6076</v>
      </c>
      <c r="S233" t="s">
        <v>7324</v>
      </c>
      <c r="U233" t="s">
        <v>335</v>
      </c>
      <c r="V233">
        <v>0</v>
      </c>
      <c r="W233" t="s">
        <v>7363</v>
      </c>
      <c r="X233" t="s">
        <v>7376</v>
      </c>
      <c r="Y233" t="s">
        <v>7386</v>
      </c>
      <c r="Z233" t="s">
        <v>7582</v>
      </c>
      <c r="AB233" t="s">
        <v>10423</v>
      </c>
      <c r="AC233">
        <v>0</v>
      </c>
      <c r="AD233" t="s">
        <v>6322</v>
      </c>
      <c r="AF233">
        <v>5</v>
      </c>
      <c r="AG233">
        <v>1</v>
      </c>
      <c r="AH233">
        <v>0</v>
      </c>
      <c r="AI233">
        <v>0</v>
      </c>
      <c r="AL233" t="s">
        <v>12461</v>
      </c>
      <c r="AM233">
        <v>0</v>
      </c>
      <c r="AS233">
        <v>1.75</v>
      </c>
      <c r="AT233" t="s">
        <v>457</v>
      </c>
      <c r="AU233" t="s">
        <v>13091</v>
      </c>
    </row>
    <row r="234" spans="1:48">
      <c r="A234" s="1">
        <f>HYPERLINK("https://cms.ls-nyc.org/matter/dynamic-profile/view/1894024","19-1894024")</f>
        <v>0</v>
      </c>
      <c r="B234" t="s">
        <v>97</v>
      </c>
      <c r="C234" t="s">
        <v>335</v>
      </c>
      <c r="E234" t="s">
        <v>735</v>
      </c>
      <c r="F234" t="s">
        <v>2207</v>
      </c>
      <c r="G234" t="s">
        <v>3808</v>
      </c>
      <c r="H234" t="s">
        <v>5450</v>
      </c>
      <c r="I234" t="s">
        <v>6047</v>
      </c>
      <c r="J234">
        <v>10452</v>
      </c>
      <c r="K234" t="s">
        <v>6074</v>
      </c>
      <c r="L234" t="s">
        <v>6074</v>
      </c>
      <c r="N234" t="s">
        <v>6104</v>
      </c>
      <c r="O234" t="s">
        <v>7306</v>
      </c>
      <c r="Q234" t="s">
        <v>7322</v>
      </c>
      <c r="R234" t="s">
        <v>6076</v>
      </c>
      <c r="S234" t="s">
        <v>7324</v>
      </c>
      <c r="U234" t="s">
        <v>335</v>
      </c>
      <c r="V234">
        <v>100</v>
      </c>
      <c r="W234" t="s">
        <v>7363</v>
      </c>
      <c r="X234" t="s">
        <v>7376</v>
      </c>
      <c r="Z234" t="s">
        <v>7583</v>
      </c>
      <c r="AC234">
        <v>92</v>
      </c>
      <c r="AD234" t="s">
        <v>12422</v>
      </c>
      <c r="AE234" t="s">
        <v>12434</v>
      </c>
      <c r="AF234">
        <v>9</v>
      </c>
      <c r="AG234">
        <v>2</v>
      </c>
      <c r="AH234">
        <v>0</v>
      </c>
      <c r="AI234">
        <v>0</v>
      </c>
      <c r="AL234" t="s">
        <v>12460</v>
      </c>
      <c r="AM234">
        <v>0</v>
      </c>
      <c r="AS234">
        <v>2.5</v>
      </c>
      <c r="AT234" t="s">
        <v>362</v>
      </c>
      <c r="AU234" t="s">
        <v>97</v>
      </c>
    </row>
    <row r="235" spans="1:48">
      <c r="A235" s="1">
        <f>HYPERLINK("https://cms.ls-nyc.org/matter/dynamic-profile/view/1892240","19-1892240")</f>
        <v>0</v>
      </c>
      <c r="B235" t="s">
        <v>103</v>
      </c>
      <c r="C235" t="s">
        <v>359</v>
      </c>
      <c r="E235" t="s">
        <v>736</v>
      </c>
      <c r="F235" t="s">
        <v>1312</v>
      </c>
      <c r="G235" t="s">
        <v>3809</v>
      </c>
      <c r="I235" t="s">
        <v>6047</v>
      </c>
      <c r="J235">
        <v>10452</v>
      </c>
      <c r="K235" t="s">
        <v>6074</v>
      </c>
      <c r="L235" t="s">
        <v>6074</v>
      </c>
      <c r="M235" t="s">
        <v>6200</v>
      </c>
      <c r="N235" t="s">
        <v>7276</v>
      </c>
      <c r="O235" t="s">
        <v>7308</v>
      </c>
      <c r="Q235" t="s">
        <v>7322</v>
      </c>
      <c r="R235" t="s">
        <v>6076</v>
      </c>
      <c r="S235" t="s">
        <v>7324</v>
      </c>
      <c r="U235" t="s">
        <v>436</v>
      </c>
      <c r="V235">
        <v>0</v>
      </c>
      <c r="W235" t="s">
        <v>7363</v>
      </c>
      <c r="Z235" t="s">
        <v>7584</v>
      </c>
      <c r="AB235" t="s">
        <v>10424</v>
      </c>
      <c r="AC235">
        <v>0</v>
      </c>
      <c r="AF235">
        <v>0</v>
      </c>
      <c r="AG235">
        <v>1</v>
      </c>
      <c r="AH235">
        <v>0</v>
      </c>
      <c r="AI235">
        <v>0</v>
      </c>
      <c r="AM235">
        <v>0</v>
      </c>
      <c r="AS235">
        <v>18.2</v>
      </c>
      <c r="AT235" t="s">
        <v>241</v>
      </c>
      <c r="AU235" t="s">
        <v>13092</v>
      </c>
    </row>
    <row r="236" spans="1:48">
      <c r="A236" s="1">
        <f>HYPERLINK("https://cms.ls-nyc.org/matter/dynamic-profile/view/1881829","18-1881829")</f>
        <v>0</v>
      </c>
      <c r="B236" t="s">
        <v>103</v>
      </c>
      <c r="C236" t="s">
        <v>360</v>
      </c>
      <c r="E236" t="s">
        <v>737</v>
      </c>
      <c r="F236" t="s">
        <v>2208</v>
      </c>
      <c r="G236" t="s">
        <v>3810</v>
      </c>
      <c r="H236" t="s">
        <v>5451</v>
      </c>
      <c r="I236" t="s">
        <v>6047</v>
      </c>
      <c r="J236">
        <v>10451</v>
      </c>
      <c r="K236" t="s">
        <v>6074</v>
      </c>
      <c r="L236" t="s">
        <v>6074</v>
      </c>
      <c r="M236" t="s">
        <v>6201</v>
      </c>
      <c r="N236" t="s">
        <v>7273</v>
      </c>
      <c r="O236" t="s">
        <v>7308</v>
      </c>
      <c r="Q236" t="s">
        <v>7322</v>
      </c>
      <c r="R236" t="s">
        <v>6074</v>
      </c>
      <c r="S236" t="s">
        <v>7324</v>
      </c>
      <c r="U236" t="s">
        <v>472</v>
      </c>
      <c r="V236">
        <v>1000</v>
      </c>
      <c r="W236" t="s">
        <v>7363</v>
      </c>
      <c r="X236" t="s">
        <v>7376</v>
      </c>
      <c r="Z236" t="s">
        <v>7585</v>
      </c>
      <c r="AC236">
        <v>0</v>
      </c>
      <c r="AD236" t="s">
        <v>12422</v>
      </c>
      <c r="AE236" t="s">
        <v>12435</v>
      </c>
      <c r="AF236">
        <v>30</v>
      </c>
      <c r="AG236">
        <v>2</v>
      </c>
      <c r="AH236">
        <v>1</v>
      </c>
      <c r="AI236">
        <v>0</v>
      </c>
      <c r="AL236" t="s">
        <v>12461</v>
      </c>
      <c r="AM236">
        <v>0</v>
      </c>
      <c r="AN236" t="s">
        <v>12520</v>
      </c>
      <c r="AS236">
        <v>5.5</v>
      </c>
      <c r="AT236" t="s">
        <v>339</v>
      </c>
      <c r="AU236" t="s">
        <v>13095</v>
      </c>
    </row>
    <row r="237" spans="1:48">
      <c r="A237" s="1">
        <f>HYPERLINK("https://cms.ls-nyc.org/matter/dynamic-profile/view/1877206","18-1877206")</f>
        <v>0</v>
      </c>
      <c r="B237" t="s">
        <v>113</v>
      </c>
      <c r="C237" t="s">
        <v>253</v>
      </c>
      <c r="E237" t="s">
        <v>738</v>
      </c>
      <c r="F237" t="s">
        <v>2209</v>
      </c>
      <c r="G237" t="s">
        <v>3811</v>
      </c>
      <c r="H237" t="s">
        <v>5413</v>
      </c>
      <c r="I237" t="s">
        <v>6047</v>
      </c>
      <c r="J237">
        <v>10451</v>
      </c>
      <c r="K237" t="s">
        <v>6074</v>
      </c>
      <c r="L237" t="s">
        <v>6074</v>
      </c>
      <c r="N237" t="s">
        <v>7278</v>
      </c>
      <c r="O237" t="s">
        <v>7306</v>
      </c>
      <c r="Q237" t="s">
        <v>7322</v>
      </c>
      <c r="S237" t="s">
        <v>7324</v>
      </c>
      <c r="U237" t="s">
        <v>292</v>
      </c>
      <c r="V237">
        <v>968</v>
      </c>
      <c r="W237" t="s">
        <v>7363</v>
      </c>
      <c r="X237" t="s">
        <v>7376</v>
      </c>
      <c r="Z237" t="s">
        <v>7586</v>
      </c>
      <c r="AB237" t="s">
        <v>10425</v>
      </c>
      <c r="AC237">
        <v>27</v>
      </c>
      <c r="AD237" t="s">
        <v>6322</v>
      </c>
      <c r="AE237" t="s">
        <v>12437</v>
      </c>
      <c r="AF237">
        <v>2</v>
      </c>
      <c r="AG237">
        <v>1</v>
      </c>
      <c r="AH237">
        <v>2</v>
      </c>
      <c r="AI237">
        <v>0</v>
      </c>
      <c r="AL237" t="s">
        <v>12460</v>
      </c>
      <c r="AM237">
        <v>0</v>
      </c>
      <c r="AN237" t="s">
        <v>12521</v>
      </c>
      <c r="AS237">
        <v>2.4</v>
      </c>
      <c r="AT237" t="s">
        <v>365</v>
      </c>
      <c r="AU237" t="s">
        <v>13095</v>
      </c>
    </row>
    <row r="238" spans="1:48">
      <c r="A238" s="1">
        <f>HYPERLINK("https://cms.ls-nyc.org/matter/dynamic-profile/view/1894846","19-1894846")</f>
        <v>0</v>
      </c>
      <c r="B238" t="s">
        <v>117</v>
      </c>
      <c r="C238" t="s">
        <v>322</v>
      </c>
      <c r="E238" t="s">
        <v>739</v>
      </c>
      <c r="F238" t="s">
        <v>2210</v>
      </c>
      <c r="G238" t="s">
        <v>3812</v>
      </c>
      <c r="H238" t="s">
        <v>5347</v>
      </c>
      <c r="I238" t="s">
        <v>6048</v>
      </c>
      <c r="J238">
        <v>10312</v>
      </c>
      <c r="K238" t="s">
        <v>6074</v>
      </c>
      <c r="L238" t="s">
        <v>6074</v>
      </c>
      <c r="M238" t="s">
        <v>6202</v>
      </c>
      <c r="N238" t="s">
        <v>7274</v>
      </c>
      <c r="O238" t="s">
        <v>7308</v>
      </c>
      <c r="Q238" t="s">
        <v>7322</v>
      </c>
      <c r="R238" t="s">
        <v>6076</v>
      </c>
      <c r="S238" t="s">
        <v>7324</v>
      </c>
      <c r="T238" t="s">
        <v>7336</v>
      </c>
      <c r="U238" t="s">
        <v>322</v>
      </c>
      <c r="V238">
        <v>1975</v>
      </c>
      <c r="W238" t="s">
        <v>7364</v>
      </c>
      <c r="X238" t="s">
        <v>7367</v>
      </c>
      <c r="Z238" t="s">
        <v>7587</v>
      </c>
      <c r="AB238" t="s">
        <v>10426</v>
      </c>
      <c r="AC238">
        <v>2</v>
      </c>
      <c r="AD238" t="s">
        <v>12419</v>
      </c>
      <c r="AE238" t="s">
        <v>6110</v>
      </c>
      <c r="AF238">
        <v>1</v>
      </c>
      <c r="AG238">
        <v>2</v>
      </c>
      <c r="AH238">
        <v>3</v>
      </c>
      <c r="AI238">
        <v>0</v>
      </c>
      <c r="AL238" t="s">
        <v>12460</v>
      </c>
      <c r="AM238">
        <v>0</v>
      </c>
      <c r="AS238">
        <v>8.6</v>
      </c>
      <c r="AT238" t="s">
        <v>501</v>
      </c>
      <c r="AU238" t="s">
        <v>13101</v>
      </c>
    </row>
    <row r="239" spans="1:48">
      <c r="A239" s="1">
        <f>HYPERLINK("https://cms.ls-nyc.org/matter/dynamic-profile/view/1893966","19-1893966")</f>
        <v>0</v>
      </c>
      <c r="B239" t="s">
        <v>118</v>
      </c>
      <c r="C239" t="s">
        <v>361</v>
      </c>
      <c r="D239" t="s">
        <v>361</v>
      </c>
      <c r="E239" t="s">
        <v>740</v>
      </c>
      <c r="F239" t="s">
        <v>2211</v>
      </c>
      <c r="G239" t="s">
        <v>3813</v>
      </c>
      <c r="I239" t="s">
        <v>6048</v>
      </c>
      <c r="J239">
        <v>10304</v>
      </c>
      <c r="K239" t="s">
        <v>6074</v>
      </c>
      <c r="L239" t="s">
        <v>6074</v>
      </c>
      <c r="M239" t="s">
        <v>6203</v>
      </c>
      <c r="N239" t="s">
        <v>7274</v>
      </c>
      <c r="O239" t="s">
        <v>7306</v>
      </c>
      <c r="P239" t="s">
        <v>7314</v>
      </c>
      <c r="Q239" t="s">
        <v>7322</v>
      </c>
      <c r="R239" t="s">
        <v>6076</v>
      </c>
      <c r="S239" t="s">
        <v>7324</v>
      </c>
      <c r="T239" t="s">
        <v>7336</v>
      </c>
      <c r="U239" t="s">
        <v>361</v>
      </c>
      <c r="V239">
        <v>2000</v>
      </c>
      <c r="W239" t="s">
        <v>7364</v>
      </c>
      <c r="X239" t="s">
        <v>7373</v>
      </c>
      <c r="Y239" t="s">
        <v>7386</v>
      </c>
      <c r="Z239" t="s">
        <v>7588</v>
      </c>
      <c r="AB239" t="s">
        <v>10427</v>
      </c>
      <c r="AC239">
        <v>1</v>
      </c>
      <c r="AD239" t="s">
        <v>12419</v>
      </c>
      <c r="AE239" t="s">
        <v>6110</v>
      </c>
      <c r="AF239">
        <v>23</v>
      </c>
      <c r="AG239">
        <v>4</v>
      </c>
      <c r="AH239">
        <v>1</v>
      </c>
      <c r="AI239">
        <v>0</v>
      </c>
      <c r="AL239" t="s">
        <v>12460</v>
      </c>
      <c r="AM239">
        <v>0</v>
      </c>
      <c r="AS239">
        <v>2.5</v>
      </c>
      <c r="AT239" t="s">
        <v>361</v>
      </c>
      <c r="AU239" t="s">
        <v>13101</v>
      </c>
    </row>
    <row r="240" spans="1:48">
      <c r="A240" s="1">
        <f>HYPERLINK("https://cms.ls-nyc.org/matter/dynamic-profile/view/1898133","19-1898133")</f>
        <v>0</v>
      </c>
      <c r="B240" t="s">
        <v>117</v>
      </c>
      <c r="C240" t="s">
        <v>362</v>
      </c>
      <c r="E240" t="s">
        <v>741</v>
      </c>
      <c r="F240" t="s">
        <v>2212</v>
      </c>
      <c r="G240" t="s">
        <v>3814</v>
      </c>
      <c r="H240">
        <v>1059</v>
      </c>
      <c r="I240" t="s">
        <v>6048</v>
      </c>
      <c r="J240">
        <v>10304</v>
      </c>
      <c r="K240" t="s">
        <v>6074</v>
      </c>
      <c r="L240" t="s">
        <v>6074</v>
      </c>
      <c r="M240" t="s">
        <v>6204</v>
      </c>
      <c r="N240" t="s">
        <v>7274</v>
      </c>
      <c r="O240" t="s">
        <v>7310</v>
      </c>
      <c r="Q240" t="s">
        <v>7322</v>
      </c>
      <c r="R240" t="s">
        <v>6076</v>
      </c>
      <c r="S240" t="s">
        <v>7324</v>
      </c>
      <c r="T240" t="s">
        <v>7336</v>
      </c>
      <c r="U240" t="s">
        <v>362</v>
      </c>
      <c r="V240">
        <v>1500</v>
      </c>
      <c r="W240" t="s">
        <v>7364</v>
      </c>
      <c r="X240" t="s">
        <v>7368</v>
      </c>
      <c r="Z240" t="s">
        <v>7589</v>
      </c>
      <c r="AB240" t="s">
        <v>10428</v>
      </c>
      <c r="AC240">
        <v>468</v>
      </c>
      <c r="AD240" t="s">
        <v>12422</v>
      </c>
      <c r="AE240" t="s">
        <v>12440</v>
      </c>
      <c r="AF240">
        <v>0</v>
      </c>
      <c r="AG240">
        <v>1</v>
      </c>
      <c r="AH240">
        <v>0</v>
      </c>
      <c r="AI240">
        <v>0</v>
      </c>
      <c r="AL240" t="s">
        <v>12460</v>
      </c>
      <c r="AM240">
        <v>0</v>
      </c>
      <c r="AS240">
        <v>1.4</v>
      </c>
      <c r="AT240" t="s">
        <v>460</v>
      </c>
      <c r="AU240" t="s">
        <v>117</v>
      </c>
    </row>
    <row r="241" spans="1:48">
      <c r="A241" s="1">
        <f>HYPERLINK("https://cms.ls-nyc.org/matter/dynamic-profile/view/1899275","19-1899275")</f>
        <v>0</v>
      </c>
      <c r="B241" t="s">
        <v>117</v>
      </c>
      <c r="C241" t="s">
        <v>363</v>
      </c>
      <c r="E241" t="s">
        <v>742</v>
      </c>
      <c r="F241" t="s">
        <v>2213</v>
      </c>
      <c r="G241" t="s">
        <v>3815</v>
      </c>
      <c r="H241" t="s">
        <v>5347</v>
      </c>
      <c r="I241" t="s">
        <v>6048</v>
      </c>
      <c r="J241">
        <v>10304</v>
      </c>
      <c r="K241" t="s">
        <v>6074</v>
      </c>
      <c r="L241" t="s">
        <v>6075</v>
      </c>
      <c r="M241" t="s">
        <v>6204</v>
      </c>
      <c r="N241" t="s">
        <v>7274</v>
      </c>
      <c r="O241" t="s">
        <v>7307</v>
      </c>
      <c r="Q241" t="s">
        <v>7323</v>
      </c>
      <c r="R241" t="s">
        <v>6076</v>
      </c>
      <c r="S241" t="s">
        <v>7324</v>
      </c>
      <c r="T241" t="s">
        <v>7336</v>
      </c>
      <c r="U241" t="s">
        <v>363</v>
      </c>
      <c r="V241">
        <v>430</v>
      </c>
      <c r="W241" t="s">
        <v>7364</v>
      </c>
      <c r="X241" t="s">
        <v>7369</v>
      </c>
      <c r="Z241" t="s">
        <v>7590</v>
      </c>
      <c r="AB241" t="s">
        <v>10429</v>
      </c>
      <c r="AC241">
        <v>2</v>
      </c>
      <c r="AD241" t="s">
        <v>12419</v>
      </c>
      <c r="AE241" t="s">
        <v>6110</v>
      </c>
      <c r="AF241">
        <v>0</v>
      </c>
      <c r="AG241">
        <v>1</v>
      </c>
      <c r="AH241">
        <v>1</v>
      </c>
      <c r="AI241">
        <v>0</v>
      </c>
      <c r="AL241" t="s">
        <v>12460</v>
      </c>
      <c r="AM241">
        <v>0</v>
      </c>
      <c r="AS241">
        <v>1.1</v>
      </c>
      <c r="AT241" t="s">
        <v>421</v>
      </c>
      <c r="AU241" t="s">
        <v>117</v>
      </c>
    </row>
    <row r="242" spans="1:48">
      <c r="A242" s="1">
        <f>HYPERLINK("https://cms.ls-nyc.org/matter/dynamic-profile/view/1897453","19-1897453")</f>
        <v>0</v>
      </c>
      <c r="B242" t="s">
        <v>119</v>
      </c>
      <c r="C242" t="s">
        <v>280</v>
      </c>
      <c r="E242" t="s">
        <v>743</v>
      </c>
      <c r="F242" t="s">
        <v>2214</v>
      </c>
      <c r="G242" t="s">
        <v>3816</v>
      </c>
      <c r="I242" t="s">
        <v>6048</v>
      </c>
      <c r="J242">
        <v>10304</v>
      </c>
      <c r="K242" t="s">
        <v>6074</v>
      </c>
      <c r="L242" t="s">
        <v>6074</v>
      </c>
      <c r="M242" t="s">
        <v>6205</v>
      </c>
      <c r="N242" t="s">
        <v>7277</v>
      </c>
      <c r="O242" t="s">
        <v>7308</v>
      </c>
      <c r="Q242" t="s">
        <v>7322</v>
      </c>
      <c r="R242" t="s">
        <v>6076</v>
      </c>
      <c r="S242" t="s">
        <v>7324</v>
      </c>
      <c r="T242" t="s">
        <v>7336</v>
      </c>
      <c r="U242" t="s">
        <v>280</v>
      </c>
      <c r="V242">
        <v>0</v>
      </c>
      <c r="W242" t="s">
        <v>7364</v>
      </c>
      <c r="X242" t="s">
        <v>7373</v>
      </c>
      <c r="Z242" t="s">
        <v>7591</v>
      </c>
      <c r="AB242" t="s">
        <v>10430</v>
      </c>
      <c r="AC242">
        <v>1</v>
      </c>
      <c r="AF242">
        <v>-1</v>
      </c>
      <c r="AG242">
        <v>1</v>
      </c>
      <c r="AH242">
        <v>2</v>
      </c>
      <c r="AI242">
        <v>0</v>
      </c>
      <c r="AL242" t="s">
        <v>12460</v>
      </c>
      <c r="AM242">
        <v>0</v>
      </c>
      <c r="AS242">
        <v>0</v>
      </c>
      <c r="AU242" t="s">
        <v>13101</v>
      </c>
      <c r="AV242" t="s">
        <v>13145</v>
      </c>
    </row>
    <row r="243" spans="1:48">
      <c r="A243" s="1">
        <f>HYPERLINK("https://cms.ls-nyc.org/matter/dynamic-profile/view/1877580","18-1877580")</f>
        <v>0</v>
      </c>
      <c r="B243" t="s">
        <v>119</v>
      </c>
      <c r="C243" t="s">
        <v>291</v>
      </c>
      <c r="D243" t="s">
        <v>300</v>
      </c>
      <c r="E243" t="s">
        <v>744</v>
      </c>
      <c r="F243" t="s">
        <v>2215</v>
      </c>
      <c r="G243" t="s">
        <v>3817</v>
      </c>
      <c r="H243" t="s">
        <v>5452</v>
      </c>
      <c r="I243" t="s">
        <v>6048</v>
      </c>
      <c r="J243">
        <v>10304</v>
      </c>
      <c r="K243" t="s">
        <v>6074</v>
      </c>
      <c r="L243" t="s">
        <v>6074</v>
      </c>
      <c r="N243" t="s">
        <v>6104</v>
      </c>
      <c r="O243" t="s">
        <v>7307</v>
      </c>
      <c r="P243" t="s">
        <v>7314</v>
      </c>
      <c r="Q243" t="s">
        <v>7322</v>
      </c>
      <c r="R243" t="s">
        <v>6076</v>
      </c>
      <c r="S243" t="s">
        <v>7324</v>
      </c>
      <c r="T243" t="s">
        <v>7336</v>
      </c>
      <c r="U243" t="s">
        <v>372</v>
      </c>
      <c r="V243">
        <v>0</v>
      </c>
      <c r="W243" t="s">
        <v>7364</v>
      </c>
      <c r="Y243" t="s">
        <v>7386</v>
      </c>
      <c r="Z243" t="s">
        <v>7592</v>
      </c>
      <c r="AB243" t="s">
        <v>10431</v>
      </c>
      <c r="AC243">
        <v>0</v>
      </c>
      <c r="AD243" t="s">
        <v>12420</v>
      </c>
      <c r="AF243">
        <v>3</v>
      </c>
      <c r="AG243">
        <v>1</v>
      </c>
      <c r="AH243">
        <v>0</v>
      </c>
      <c r="AI243">
        <v>0</v>
      </c>
      <c r="AL243" t="s">
        <v>12460</v>
      </c>
      <c r="AM243">
        <v>0</v>
      </c>
      <c r="AS243">
        <v>0.6</v>
      </c>
      <c r="AT243" t="s">
        <v>300</v>
      </c>
      <c r="AU243" t="s">
        <v>13102</v>
      </c>
    </row>
    <row r="244" spans="1:48">
      <c r="A244" s="1">
        <f>HYPERLINK("https://cms.ls-nyc.org/matter/dynamic-profile/view/1887529","19-1887529")</f>
        <v>0</v>
      </c>
      <c r="B244" t="s">
        <v>120</v>
      </c>
      <c r="C244" t="s">
        <v>364</v>
      </c>
      <c r="D244" t="s">
        <v>275</v>
      </c>
      <c r="E244" t="s">
        <v>745</v>
      </c>
      <c r="F244" t="s">
        <v>2216</v>
      </c>
      <c r="G244" t="s">
        <v>3818</v>
      </c>
      <c r="I244" t="s">
        <v>6048</v>
      </c>
      <c r="J244">
        <v>10304</v>
      </c>
      <c r="K244" t="s">
        <v>6074</v>
      </c>
      <c r="L244" t="s">
        <v>6074</v>
      </c>
      <c r="N244" t="s">
        <v>6104</v>
      </c>
      <c r="O244" t="s">
        <v>7307</v>
      </c>
      <c r="P244" t="s">
        <v>7315</v>
      </c>
      <c r="Q244" t="s">
        <v>7323</v>
      </c>
      <c r="R244" t="s">
        <v>6076</v>
      </c>
      <c r="S244" t="s">
        <v>7324</v>
      </c>
      <c r="T244" t="s">
        <v>7336</v>
      </c>
      <c r="U244" t="s">
        <v>340</v>
      </c>
      <c r="V244">
        <v>0</v>
      </c>
      <c r="W244" t="s">
        <v>7364</v>
      </c>
      <c r="X244" t="s">
        <v>7369</v>
      </c>
      <c r="Y244" t="s">
        <v>7386</v>
      </c>
      <c r="Z244" t="s">
        <v>7593</v>
      </c>
      <c r="AB244" t="s">
        <v>10432</v>
      </c>
      <c r="AC244">
        <v>0</v>
      </c>
      <c r="AF244">
        <v>20</v>
      </c>
      <c r="AG244">
        <v>1</v>
      </c>
      <c r="AH244">
        <v>1</v>
      </c>
      <c r="AI244">
        <v>0</v>
      </c>
      <c r="AJ244" t="s">
        <v>12443</v>
      </c>
      <c r="AK244" t="s">
        <v>12455</v>
      </c>
      <c r="AL244" t="s">
        <v>12460</v>
      </c>
      <c r="AM244">
        <v>0</v>
      </c>
      <c r="AS244">
        <v>3</v>
      </c>
      <c r="AT244" t="s">
        <v>322</v>
      </c>
      <c r="AU244" t="s">
        <v>120</v>
      </c>
    </row>
    <row r="245" spans="1:48">
      <c r="A245" s="1">
        <f>HYPERLINK("https://cms.ls-nyc.org/matter/dynamic-profile/view/1873824","18-1873824")</f>
        <v>0</v>
      </c>
      <c r="B245" t="s">
        <v>121</v>
      </c>
      <c r="C245" t="s">
        <v>274</v>
      </c>
      <c r="D245" t="s">
        <v>281</v>
      </c>
      <c r="E245" t="s">
        <v>684</v>
      </c>
      <c r="F245" t="s">
        <v>2217</v>
      </c>
      <c r="G245" t="s">
        <v>3819</v>
      </c>
      <c r="H245" t="s">
        <v>5453</v>
      </c>
      <c r="I245" t="s">
        <v>6048</v>
      </c>
      <c r="J245">
        <v>10304</v>
      </c>
      <c r="K245" t="s">
        <v>6074</v>
      </c>
      <c r="L245" t="s">
        <v>6074</v>
      </c>
      <c r="M245" t="s">
        <v>6206</v>
      </c>
      <c r="N245" t="s">
        <v>7276</v>
      </c>
      <c r="O245" t="s">
        <v>7306</v>
      </c>
      <c r="P245" t="s">
        <v>7314</v>
      </c>
      <c r="Q245" t="s">
        <v>7322</v>
      </c>
      <c r="R245" t="s">
        <v>6076</v>
      </c>
      <c r="S245" t="s">
        <v>7324</v>
      </c>
      <c r="T245" t="s">
        <v>7336</v>
      </c>
      <c r="U245" t="s">
        <v>274</v>
      </c>
      <c r="V245">
        <v>1575</v>
      </c>
      <c r="W245" t="s">
        <v>7364</v>
      </c>
      <c r="X245" t="s">
        <v>7376</v>
      </c>
      <c r="Y245" t="s">
        <v>7386</v>
      </c>
      <c r="Z245" t="s">
        <v>7594</v>
      </c>
      <c r="AB245" t="s">
        <v>10433</v>
      </c>
      <c r="AC245">
        <v>147</v>
      </c>
      <c r="AD245" t="s">
        <v>12422</v>
      </c>
      <c r="AE245" t="s">
        <v>6110</v>
      </c>
      <c r="AF245">
        <v>4</v>
      </c>
      <c r="AG245">
        <v>2</v>
      </c>
      <c r="AH245">
        <v>2</v>
      </c>
      <c r="AI245">
        <v>0</v>
      </c>
      <c r="AL245" t="s">
        <v>12460</v>
      </c>
      <c r="AM245">
        <v>0</v>
      </c>
      <c r="AQ245" t="s">
        <v>12910</v>
      </c>
      <c r="AR245" t="s">
        <v>12932</v>
      </c>
      <c r="AS245">
        <v>2.3</v>
      </c>
      <c r="AT245" t="s">
        <v>281</v>
      </c>
      <c r="AU245" t="s">
        <v>210</v>
      </c>
    </row>
    <row r="246" spans="1:48">
      <c r="A246" s="1">
        <f>HYPERLINK("https://cms.ls-nyc.org/matter/dynamic-profile/view/1889716","19-1889716")</f>
        <v>0</v>
      </c>
      <c r="B246" t="s">
        <v>100</v>
      </c>
      <c r="C246" t="s">
        <v>365</v>
      </c>
      <c r="D246" t="s">
        <v>347</v>
      </c>
      <c r="E246" t="s">
        <v>746</v>
      </c>
      <c r="F246" t="s">
        <v>2218</v>
      </c>
      <c r="G246" t="s">
        <v>3820</v>
      </c>
      <c r="H246" t="s">
        <v>5454</v>
      </c>
      <c r="I246" t="s">
        <v>6048</v>
      </c>
      <c r="J246">
        <v>10304</v>
      </c>
      <c r="K246" t="s">
        <v>6074</v>
      </c>
      <c r="L246" t="s">
        <v>6074</v>
      </c>
      <c r="N246" t="s">
        <v>7276</v>
      </c>
      <c r="O246" t="s">
        <v>7308</v>
      </c>
      <c r="P246" t="s">
        <v>7316</v>
      </c>
      <c r="Q246" t="s">
        <v>7322</v>
      </c>
      <c r="R246" t="s">
        <v>6076</v>
      </c>
      <c r="S246" t="s">
        <v>7324</v>
      </c>
      <c r="T246" t="s">
        <v>7339</v>
      </c>
      <c r="U246" t="s">
        <v>365</v>
      </c>
      <c r="V246">
        <v>0</v>
      </c>
      <c r="W246" t="s">
        <v>7364</v>
      </c>
      <c r="X246" t="s">
        <v>7368</v>
      </c>
      <c r="Y246" t="s">
        <v>7388</v>
      </c>
      <c r="Z246" t="s">
        <v>7595</v>
      </c>
      <c r="AB246" t="s">
        <v>10434</v>
      </c>
      <c r="AC246">
        <v>403</v>
      </c>
      <c r="AD246" t="s">
        <v>12420</v>
      </c>
      <c r="AE246" t="s">
        <v>12434</v>
      </c>
      <c r="AF246">
        <v>20</v>
      </c>
      <c r="AG246">
        <v>2</v>
      </c>
      <c r="AH246">
        <v>0</v>
      </c>
      <c r="AI246">
        <v>0</v>
      </c>
      <c r="AL246" t="s">
        <v>12460</v>
      </c>
      <c r="AM246">
        <v>0</v>
      </c>
      <c r="AQ246" t="s">
        <v>12909</v>
      </c>
      <c r="AR246" t="s">
        <v>12933</v>
      </c>
      <c r="AS246">
        <v>5.8</v>
      </c>
      <c r="AT246" t="s">
        <v>252</v>
      </c>
      <c r="AU246" t="s">
        <v>13102</v>
      </c>
    </row>
    <row r="247" spans="1:48">
      <c r="A247" s="1">
        <f>HYPERLINK("https://cms.ls-nyc.org/matter/dynamic-profile/view/1893767","19-1893767")</f>
        <v>0</v>
      </c>
      <c r="B247" t="s">
        <v>122</v>
      </c>
      <c r="C247" t="s">
        <v>322</v>
      </c>
      <c r="E247" t="s">
        <v>747</v>
      </c>
      <c r="F247" t="s">
        <v>2219</v>
      </c>
      <c r="G247" t="s">
        <v>3821</v>
      </c>
      <c r="H247" t="s">
        <v>5455</v>
      </c>
      <c r="I247" t="s">
        <v>6048</v>
      </c>
      <c r="J247">
        <v>10304</v>
      </c>
      <c r="K247" t="s">
        <v>6074</v>
      </c>
      <c r="L247" t="s">
        <v>6074</v>
      </c>
      <c r="M247" t="s">
        <v>6207</v>
      </c>
      <c r="N247" t="s">
        <v>7276</v>
      </c>
      <c r="O247" t="s">
        <v>7308</v>
      </c>
      <c r="Q247" t="s">
        <v>7322</v>
      </c>
      <c r="R247" t="s">
        <v>6076</v>
      </c>
      <c r="S247" t="s">
        <v>7331</v>
      </c>
      <c r="T247" t="s">
        <v>7336</v>
      </c>
      <c r="U247" t="s">
        <v>322</v>
      </c>
      <c r="V247">
        <v>1448</v>
      </c>
      <c r="W247" t="s">
        <v>7364</v>
      </c>
      <c r="X247" t="s">
        <v>7372</v>
      </c>
      <c r="Z247" t="s">
        <v>7596</v>
      </c>
      <c r="AB247" t="s">
        <v>10435</v>
      </c>
      <c r="AC247">
        <v>99</v>
      </c>
      <c r="AD247" t="s">
        <v>12420</v>
      </c>
      <c r="AF247">
        <v>11</v>
      </c>
      <c r="AG247">
        <v>2</v>
      </c>
      <c r="AH247">
        <v>1</v>
      </c>
      <c r="AI247">
        <v>0</v>
      </c>
      <c r="AL247" t="s">
        <v>12460</v>
      </c>
      <c r="AM247">
        <v>0</v>
      </c>
      <c r="AS247">
        <v>19.9</v>
      </c>
      <c r="AT247" t="s">
        <v>316</v>
      </c>
      <c r="AU247" t="s">
        <v>13101</v>
      </c>
      <c r="AV247" t="s">
        <v>13145</v>
      </c>
    </row>
    <row r="248" spans="1:48">
      <c r="A248" s="1">
        <f>HYPERLINK("https://cms.ls-nyc.org/matter/dynamic-profile/view/1889476","19-1889476")</f>
        <v>0</v>
      </c>
      <c r="B248" t="s">
        <v>118</v>
      </c>
      <c r="C248" t="s">
        <v>366</v>
      </c>
      <c r="D248" t="s">
        <v>247</v>
      </c>
      <c r="E248" t="s">
        <v>748</v>
      </c>
      <c r="F248" t="s">
        <v>2220</v>
      </c>
      <c r="G248" t="s">
        <v>3822</v>
      </c>
      <c r="H248" t="s">
        <v>5360</v>
      </c>
      <c r="I248" t="s">
        <v>6048</v>
      </c>
      <c r="J248">
        <v>10303</v>
      </c>
      <c r="K248" t="s">
        <v>6074</v>
      </c>
      <c r="L248" t="s">
        <v>6074</v>
      </c>
      <c r="M248" t="s">
        <v>6204</v>
      </c>
      <c r="N248" t="s">
        <v>6104</v>
      </c>
      <c r="O248" t="s">
        <v>7308</v>
      </c>
      <c r="P248" t="s">
        <v>7316</v>
      </c>
      <c r="Q248" t="s">
        <v>7323</v>
      </c>
      <c r="R248" t="s">
        <v>6076</v>
      </c>
      <c r="S248" t="s">
        <v>7324</v>
      </c>
      <c r="T248" t="s">
        <v>7336</v>
      </c>
      <c r="U248" t="s">
        <v>366</v>
      </c>
      <c r="V248">
        <v>1200</v>
      </c>
      <c r="W248" t="s">
        <v>7364</v>
      </c>
      <c r="X248" t="s">
        <v>7369</v>
      </c>
      <c r="Y248" t="s">
        <v>7390</v>
      </c>
      <c r="Z248" t="s">
        <v>7597</v>
      </c>
      <c r="AB248" t="s">
        <v>10436</v>
      </c>
      <c r="AC248">
        <v>2</v>
      </c>
      <c r="AD248" t="s">
        <v>12419</v>
      </c>
      <c r="AE248" t="s">
        <v>6110</v>
      </c>
      <c r="AF248">
        <v>1</v>
      </c>
      <c r="AG248">
        <v>1</v>
      </c>
      <c r="AH248">
        <v>0</v>
      </c>
      <c r="AI248">
        <v>0</v>
      </c>
      <c r="AJ248" t="s">
        <v>12443</v>
      </c>
      <c r="AK248" t="s">
        <v>12455</v>
      </c>
      <c r="AL248" t="s">
        <v>12460</v>
      </c>
      <c r="AM248">
        <v>0</v>
      </c>
      <c r="AS248">
        <v>27.3</v>
      </c>
      <c r="AT248" t="s">
        <v>247</v>
      </c>
      <c r="AU248" t="s">
        <v>117</v>
      </c>
    </row>
    <row r="249" spans="1:48">
      <c r="A249" s="1">
        <f>HYPERLINK("https://cms.ls-nyc.org/matter/dynamic-profile/view/1889768","19-1889768")</f>
        <v>0</v>
      </c>
      <c r="B249" t="s">
        <v>118</v>
      </c>
      <c r="C249" t="s">
        <v>367</v>
      </c>
      <c r="D249" t="s">
        <v>418</v>
      </c>
      <c r="E249" t="s">
        <v>748</v>
      </c>
      <c r="F249" t="s">
        <v>2220</v>
      </c>
      <c r="G249" t="s">
        <v>3822</v>
      </c>
      <c r="H249" t="s">
        <v>5360</v>
      </c>
      <c r="I249" t="s">
        <v>6048</v>
      </c>
      <c r="J249">
        <v>10303</v>
      </c>
      <c r="K249" t="s">
        <v>6074</v>
      </c>
      <c r="L249" t="s">
        <v>6074</v>
      </c>
      <c r="M249" t="s">
        <v>6208</v>
      </c>
      <c r="N249" t="s">
        <v>7287</v>
      </c>
      <c r="O249" t="s">
        <v>7308</v>
      </c>
      <c r="P249" t="s">
        <v>7320</v>
      </c>
      <c r="Q249" t="s">
        <v>7323</v>
      </c>
      <c r="R249" t="s">
        <v>6076</v>
      </c>
      <c r="S249" t="s">
        <v>7326</v>
      </c>
      <c r="T249" t="s">
        <v>7336</v>
      </c>
      <c r="U249" t="s">
        <v>367</v>
      </c>
      <c r="V249">
        <v>0</v>
      </c>
      <c r="W249" t="s">
        <v>7364</v>
      </c>
      <c r="X249" t="s">
        <v>7368</v>
      </c>
      <c r="Y249" t="s">
        <v>7390</v>
      </c>
      <c r="Z249" t="s">
        <v>7597</v>
      </c>
      <c r="AB249" t="s">
        <v>10436</v>
      </c>
      <c r="AC249">
        <v>0</v>
      </c>
      <c r="AD249" t="s">
        <v>12419</v>
      </c>
      <c r="AE249" t="s">
        <v>6110</v>
      </c>
      <c r="AF249">
        <v>0</v>
      </c>
      <c r="AG249">
        <v>1</v>
      </c>
      <c r="AH249">
        <v>0</v>
      </c>
      <c r="AI249">
        <v>0</v>
      </c>
      <c r="AJ249" t="s">
        <v>12443</v>
      </c>
      <c r="AK249" t="s">
        <v>12455</v>
      </c>
      <c r="AL249" t="s">
        <v>12460</v>
      </c>
      <c r="AM249">
        <v>0</v>
      </c>
      <c r="AP249" t="s">
        <v>12866</v>
      </c>
      <c r="AR249" t="s">
        <v>12934</v>
      </c>
      <c r="AS249">
        <v>5.1</v>
      </c>
      <c r="AT249" t="s">
        <v>418</v>
      </c>
      <c r="AU249" t="s">
        <v>188</v>
      </c>
    </row>
    <row r="250" spans="1:48">
      <c r="A250" s="1">
        <f>HYPERLINK("https://cms.ls-nyc.org/matter/dynamic-profile/view/1864428","18-1864428")</f>
        <v>0</v>
      </c>
      <c r="B250" t="s">
        <v>121</v>
      </c>
      <c r="C250" t="s">
        <v>368</v>
      </c>
      <c r="D250" t="s">
        <v>281</v>
      </c>
      <c r="E250" t="s">
        <v>749</v>
      </c>
      <c r="F250" t="s">
        <v>2221</v>
      </c>
      <c r="G250" t="s">
        <v>3823</v>
      </c>
      <c r="H250" t="s">
        <v>5456</v>
      </c>
      <c r="I250" t="s">
        <v>6048</v>
      </c>
      <c r="J250">
        <v>10301</v>
      </c>
      <c r="K250" t="s">
        <v>6074</v>
      </c>
      <c r="L250" t="s">
        <v>6074</v>
      </c>
      <c r="M250" t="s">
        <v>6209</v>
      </c>
      <c r="N250" t="s">
        <v>7274</v>
      </c>
      <c r="O250" t="s">
        <v>7306</v>
      </c>
      <c r="P250" t="s">
        <v>7314</v>
      </c>
      <c r="Q250" t="s">
        <v>7322</v>
      </c>
      <c r="R250" t="s">
        <v>6076</v>
      </c>
      <c r="S250" t="s">
        <v>7324</v>
      </c>
      <c r="T250" t="s">
        <v>7340</v>
      </c>
      <c r="U250" t="s">
        <v>368</v>
      </c>
      <c r="V250">
        <v>293</v>
      </c>
      <c r="W250" t="s">
        <v>7364</v>
      </c>
      <c r="X250" t="s">
        <v>7374</v>
      </c>
      <c r="Y250" t="s">
        <v>7386</v>
      </c>
      <c r="Z250" t="s">
        <v>7598</v>
      </c>
      <c r="AA250" t="s">
        <v>6110</v>
      </c>
      <c r="AB250" t="s">
        <v>10437</v>
      </c>
      <c r="AC250">
        <v>2</v>
      </c>
      <c r="AD250" t="s">
        <v>12419</v>
      </c>
      <c r="AE250" t="s">
        <v>12434</v>
      </c>
      <c r="AF250">
        <v>3</v>
      </c>
      <c r="AG250">
        <v>1</v>
      </c>
      <c r="AH250">
        <v>0</v>
      </c>
      <c r="AI250">
        <v>0</v>
      </c>
      <c r="AL250" t="s">
        <v>12460</v>
      </c>
      <c r="AM250">
        <v>0</v>
      </c>
      <c r="AQ250" t="s">
        <v>12910</v>
      </c>
      <c r="AR250" t="s">
        <v>12932</v>
      </c>
      <c r="AS250">
        <v>3.1</v>
      </c>
      <c r="AT250" t="s">
        <v>281</v>
      </c>
      <c r="AU250" t="s">
        <v>13102</v>
      </c>
    </row>
    <row r="251" spans="1:48">
      <c r="A251" s="1">
        <f>HYPERLINK("https://cms.ls-nyc.org/matter/dynamic-profile/view/1887107","19-1887107")</f>
        <v>0</v>
      </c>
      <c r="B251" t="s">
        <v>117</v>
      </c>
      <c r="C251" t="s">
        <v>340</v>
      </c>
      <c r="E251" t="s">
        <v>651</v>
      </c>
      <c r="F251" t="s">
        <v>2222</v>
      </c>
      <c r="G251" t="s">
        <v>3824</v>
      </c>
      <c r="H251" t="s">
        <v>5390</v>
      </c>
      <c r="I251" t="s">
        <v>6048</v>
      </c>
      <c r="J251">
        <v>10301</v>
      </c>
      <c r="K251" t="s">
        <v>6074</v>
      </c>
      <c r="L251" t="s">
        <v>6074</v>
      </c>
      <c r="M251" t="s">
        <v>6210</v>
      </c>
      <c r="N251" t="s">
        <v>7274</v>
      </c>
      <c r="O251" t="s">
        <v>7308</v>
      </c>
      <c r="Q251" t="s">
        <v>7322</v>
      </c>
      <c r="R251" t="s">
        <v>6076</v>
      </c>
      <c r="S251" t="s">
        <v>7324</v>
      </c>
      <c r="T251" t="s">
        <v>7336</v>
      </c>
      <c r="U251" t="s">
        <v>340</v>
      </c>
      <c r="V251">
        <v>2200</v>
      </c>
      <c r="W251" t="s">
        <v>7364</v>
      </c>
      <c r="X251" t="s">
        <v>7373</v>
      </c>
      <c r="Z251" t="s">
        <v>7599</v>
      </c>
      <c r="AB251" t="s">
        <v>10438</v>
      </c>
      <c r="AC251">
        <v>227</v>
      </c>
      <c r="AD251" t="s">
        <v>12420</v>
      </c>
      <c r="AE251" t="s">
        <v>6110</v>
      </c>
      <c r="AF251">
        <v>5</v>
      </c>
      <c r="AG251">
        <v>2</v>
      </c>
      <c r="AH251">
        <v>0</v>
      </c>
      <c r="AI251">
        <v>0</v>
      </c>
      <c r="AL251" t="s">
        <v>12460</v>
      </c>
      <c r="AM251">
        <v>0</v>
      </c>
      <c r="AS251">
        <v>30.2</v>
      </c>
      <c r="AT251" t="s">
        <v>381</v>
      </c>
      <c r="AU251" t="s">
        <v>13103</v>
      </c>
      <c r="AV251" t="s">
        <v>13145</v>
      </c>
    </row>
    <row r="252" spans="1:48">
      <c r="A252" s="1">
        <f>HYPERLINK("https://cms.ls-nyc.org/matter/dynamic-profile/view/1873873","18-1873873")</f>
        <v>0</v>
      </c>
      <c r="B252" t="s">
        <v>123</v>
      </c>
      <c r="C252" t="s">
        <v>231</v>
      </c>
      <c r="E252" t="s">
        <v>750</v>
      </c>
      <c r="F252" t="s">
        <v>2223</v>
      </c>
      <c r="G252" t="s">
        <v>3825</v>
      </c>
      <c r="H252">
        <v>1</v>
      </c>
      <c r="I252" t="s">
        <v>6048</v>
      </c>
      <c r="J252">
        <v>10301</v>
      </c>
      <c r="K252" t="s">
        <v>6076</v>
      </c>
      <c r="L252" t="s">
        <v>6076</v>
      </c>
      <c r="M252" t="s">
        <v>6110</v>
      </c>
      <c r="N252" t="s">
        <v>6104</v>
      </c>
      <c r="O252" t="s">
        <v>7306</v>
      </c>
      <c r="Q252" t="s">
        <v>7322</v>
      </c>
      <c r="R252" t="s">
        <v>6076</v>
      </c>
      <c r="S252" t="s">
        <v>7324</v>
      </c>
      <c r="T252" t="s">
        <v>7336</v>
      </c>
      <c r="U252" t="s">
        <v>231</v>
      </c>
      <c r="V252">
        <v>504</v>
      </c>
      <c r="W252" t="s">
        <v>7364</v>
      </c>
      <c r="X252" t="s">
        <v>7376</v>
      </c>
      <c r="Z252" t="s">
        <v>7600</v>
      </c>
      <c r="AB252" t="s">
        <v>10439</v>
      </c>
      <c r="AC252">
        <v>3</v>
      </c>
      <c r="AD252" t="s">
        <v>12425</v>
      </c>
      <c r="AE252" t="s">
        <v>12434</v>
      </c>
      <c r="AF252">
        <v>3</v>
      </c>
      <c r="AG252">
        <v>1</v>
      </c>
      <c r="AH252">
        <v>2</v>
      </c>
      <c r="AI252">
        <v>0</v>
      </c>
      <c r="AL252" t="s">
        <v>12460</v>
      </c>
      <c r="AM252">
        <v>0</v>
      </c>
      <c r="AP252" t="s">
        <v>7305</v>
      </c>
      <c r="AR252" t="s">
        <v>12916</v>
      </c>
      <c r="AS252">
        <v>1</v>
      </c>
      <c r="AT252" t="s">
        <v>231</v>
      </c>
      <c r="AU252" t="s">
        <v>13080</v>
      </c>
    </row>
    <row r="253" spans="1:48">
      <c r="A253" s="1">
        <f>HYPERLINK("https://cms.ls-nyc.org/matter/dynamic-profile/view/1876566","18-1876566")</f>
        <v>0</v>
      </c>
      <c r="B253" t="s">
        <v>117</v>
      </c>
      <c r="C253" t="s">
        <v>243</v>
      </c>
      <c r="E253" t="s">
        <v>751</v>
      </c>
      <c r="F253" t="s">
        <v>2104</v>
      </c>
      <c r="G253" t="s">
        <v>3826</v>
      </c>
      <c r="H253" t="s">
        <v>5376</v>
      </c>
      <c r="I253" t="s">
        <v>6048</v>
      </c>
      <c r="J253">
        <v>10301</v>
      </c>
      <c r="K253" t="s">
        <v>6076</v>
      </c>
      <c r="L253" t="s">
        <v>6076</v>
      </c>
      <c r="M253" t="s">
        <v>6204</v>
      </c>
      <c r="N253" t="s">
        <v>6104</v>
      </c>
      <c r="O253" t="s">
        <v>7306</v>
      </c>
      <c r="Q253" t="s">
        <v>7322</v>
      </c>
      <c r="R253" t="s">
        <v>6076</v>
      </c>
      <c r="S253" t="s">
        <v>7324</v>
      </c>
      <c r="T253" t="s">
        <v>7336</v>
      </c>
      <c r="U253" t="s">
        <v>243</v>
      </c>
      <c r="V253">
        <v>1200</v>
      </c>
      <c r="W253" t="s">
        <v>7364</v>
      </c>
      <c r="X253" t="s">
        <v>7367</v>
      </c>
      <c r="Z253" t="s">
        <v>7601</v>
      </c>
      <c r="AC253">
        <v>8</v>
      </c>
      <c r="AD253" t="s">
        <v>12419</v>
      </c>
      <c r="AE253" t="s">
        <v>12440</v>
      </c>
      <c r="AF253">
        <v>8</v>
      </c>
      <c r="AG253">
        <v>1</v>
      </c>
      <c r="AH253">
        <v>0</v>
      </c>
      <c r="AI253">
        <v>0</v>
      </c>
      <c r="AL253" t="s">
        <v>12460</v>
      </c>
      <c r="AM253">
        <v>0</v>
      </c>
      <c r="AS253">
        <v>2.6</v>
      </c>
      <c r="AT253" t="s">
        <v>334</v>
      </c>
      <c r="AU253" t="s">
        <v>13104</v>
      </c>
    </row>
    <row r="254" spans="1:48">
      <c r="A254" s="1">
        <f>HYPERLINK("https://cms.ls-nyc.org/matter/dynamic-profile/view/1881625","18-1881625")</f>
        <v>0</v>
      </c>
      <c r="B254" t="s">
        <v>118</v>
      </c>
      <c r="C254" t="s">
        <v>350</v>
      </c>
      <c r="D254" t="s">
        <v>457</v>
      </c>
      <c r="E254" t="s">
        <v>752</v>
      </c>
      <c r="F254" t="s">
        <v>2224</v>
      </c>
      <c r="G254" t="s">
        <v>3827</v>
      </c>
      <c r="I254" t="s">
        <v>6048</v>
      </c>
      <c r="J254">
        <v>10301</v>
      </c>
      <c r="K254" t="s">
        <v>6076</v>
      </c>
      <c r="L254" t="s">
        <v>6076</v>
      </c>
      <c r="M254" t="s">
        <v>6081</v>
      </c>
      <c r="N254" t="s">
        <v>6104</v>
      </c>
      <c r="O254" t="s">
        <v>7309</v>
      </c>
      <c r="P254" t="s">
        <v>7315</v>
      </c>
      <c r="Q254" t="s">
        <v>7322</v>
      </c>
      <c r="R254" t="s">
        <v>6076</v>
      </c>
      <c r="S254" t="s">
        <v>7324</v>
      </c>
      <c r="T254" t="s">
        <v>7336</v>
      </c>
      <c r="U254" t="s">
        <v>350</v>
      </c>
      <c r="V254">
        <v>0</v>
      </c>
      <c r="W254" t="s">
        <v>7364</v>
      </c>
      <c r="X254" t="s">
        <v>7376</v>
      </c>
      <c r="Y254" t="s">
        <v>7386</v>
      </c>
      <c r="Z254" t="s">
        <v>7602</v>
      </c>
      <c r="AC254">
        <v>2</v>
      </c>
      <c r="AD254" t="s">
        <v>6322</v>
      </c>
      <c r="AE254" t="s">
        <v>6110</v>
      </c>
      <c r="AF254">
        <v>0</v>
      </c>
      <c r="AG254">
        <v>1</v>
      </c>
      <c r="AH254">
        <v>0</v>
      </c>
      <c r="AI254">
        <v>0</v>
      </c>
      <c r="AL254" t="s">
        <v>12460</v>
      </c>
      <c r="AM254">
        <v>0</v>
      </c>
      <c r="AS254">
        <v>2</v>
      </c>
      <c r="AT254" t="s">
        <v>310</v>
      </c>
      <c r="AU254" t="s">
        <v>13105</v>
      </c>
    </row>
    <row r="255" spans="1:48">
      <c r="A255" s="1">
        <f>HYPERLINK("https://cms.ls-nyc.org/matter/dynamic-profile/view/1872628","18-1872628")</f>
        <v>0</v>
      </c>
      <c r="B255" t="s">
        <v>119</v>
      </c>
      <c r="C255" t="s">
        <v>242</v>
      </c>
      <c r="D255" t="s">
        <v>335</v>
      </c>
      <c r="E255" t="s">
        <v>753</v>
      </c>
      <c r="F255" t="s">
        <v>2052</v>
      </c>
      <c r="G255" t="s">
        <v>3828</v>
      </c>
      <c r="H255" t="s">
        <v>5350</v>
      </c>
      <c r="I255" t="s">
        <v>6048</v>
      </c>
      <c r="J255">
        <v>10301</v>
      </c>
      <c r="K255" t="s">
        <v>6074</v>
      </c>
      <c r="L255" t="s">
        <v>6074</v>
      </c>
      <c r="M255" t="s">
        <v>6211</v>
      </c>
      <c r="N255" t="s">
        <v>7276</v>
      </c>
      <c r="O255" t="s">
        <v>7308</v>
      </c>
      <c r="P255" t="s">
        <v>7316</v>
      </c>
      <c r="Q255" t="s">
        <v>7323</v>
      </c>
      <c r="R255" t="s">
        <v>6076</v>
      </c>
      <c r="S255" t="s">
        <v>7324</v>
      </c>
      <c r="T255" t="s">
        <v>7336</v>
      </c>
      <c r="U255" t="s">
        <v>242</v>
      </c>
      <c r="V255">
        <v>1284</v>
      </c>
      <c r="W255" t="s">
        <v>7364</v>
      </c>
      <c r="X255" t="s">
        <v>7369</v>
      </c>
      <c r="Y255" t="s">
        <v>7388</v>
      </c>
      <c r="Z255" t="s">
        <v>7603</v>
      </c>
      <c r="AB255" t="s">
        <v>10440</v>
      </c>
      <c r="AC255">
        <v>6</v>
      </c>
      <c r="AD255" t="s">
        <v>12420</v>
      </c>
      <c r="AE255" t="s">
        <v>12434</v>
      </c>
      <c r="AF255">
        <v>10</v>
      </c>
      <c r="AG255">
        <v>1</v>
      </c>
      <c r="AH255">
        <v>0</v>
      </c>
      <c r="AI255">
        <v>0</v>
      </c>
      <c r="AJ255" t="s">
        <v>12443</v>
      </c>
      <c r="AK255" t="s">
        <v>12455</v>
      </c>
      <c r="AL255" t="s">
        <v>12460</v>
      </c>
      <c r="AM255">
        <v>0</v>
      </c>
      <c r="AO255" t="s">
        <v>12850</v>
      </c>
      <c r="AP255" t="s">
        <v>7305</v>
      </c>
      <c r="AQ255" t="s">
        <v>12909</v>
      </c>
      <c r="AR255" t="s">
        <v>12935</v>
      </c>
      <c r="AS255">
        <v>31.7</v>
      </c>
      <c r="AT255" t="s">
        <v>363</v>
      </c>
      <c r="AU255" t="s">
        <v>210</v>
      </c>
    </row>
    <row r="256" spans="1:48">
      <c r="A256" s="1">
        <f>HYPERLINK("https://cms.ls-nyc.org/matter/dynamic-profile/view/1881536","18-1881536")</f>
        <v>0</v>
      </c>
      <c r="B256" t="s">
        <v>120</v>
      </c>
      <c r="C256" t="s">
        <v>369</v>
      </c>
      <c r="D256" t="s">
        <v>280</v>
      </c>
      <c r="E256" t="s">
        <v>754</v>
      </c>
      <c r="F256" t="s">
        <v>2083</v>
      </c>
      <c r="G256" t="s">
        <v>3829</v>
      </c>
      <c r="H256">
        <v>2</v>
      </c>
      <c r="I256" t="s">
        <v>6048</v>
      </c>
      <c r="J256">
        <v>10301</v>
      </c>
      <c r="K256" t="s">
        <v>6074</v>
      </c>
      <c r="L256" t="s">
        <v>6074</v>
      </c>
      <c r="M256" t="s">
        <v>6212</v>
      </c>
      <c r="N256" t="s">
        <v>7276</v>
      </c>
      <c r="O256" t="s">
        <v>7308</v>
      </c>
      <c r="P256" t="s">
        <v>7316</v>
      </c>
      <c r="Q256" t="s">
        <v>7322</v>
      </c>
      <c r="R256" t="s">
        <v>6076</v>
      </c>
      <c r="S256" t="s">
        <v>7324</v>
      </c>
      <c r="T256" t="s">
        <v>7336</v>
      </c>
      <c r="U256" t="s">
        <v>369</v>
      </c>
      <c r="V256">
        <v>1600</v>
      </c>
      <c r="W256" t="s">
        <v>7364</v>
      </c>
      <c r="X256" t="s">
        <v>7376</v>
      </c>
      <c r="Y256" t="s">
        <v>7391</v>
      </c>
      <c r="Z256" t="s">
        <v>7604</v>
      </c>
      <c r="AB256" t="s">
        <v>10441</v>
      </c>
      <c r="AC256">
        <v>2</v>
      </c>
      <c r="AD256" t="s">
        <v>12419</v>
      </c>
      <c r="AE256" t="s">
        <v>6110</v>
      </c>
      <c r="AF256">
        <v>6</v>
      </c>
      <c r="AG256">
        <v>3</v>
      </c>
      <c r="AH256">
        <v>0</v>
      </c>
      <c r="AI256">
        <v>0</v>
      </c>
      <c r="AL256" t="s">
        <v>12460</v>
      </c>
      <c r="AM256">
        <v>0</v>
      </c>
      <c r="AS256">
        <v>3.2</v>
      </c>
      <c r="AT256" t="s">
        <v>278</v>
      </c>
      <c r="AU256" t="s">
        <v>210</v>
      </c>
    </row>
    <row r="257" spans="1:48">
      <c r="A257" s="1">
        <f>HYPERLINK("https://cms.ls-nyc.org/matter/dynamic-profile/view/1882165","18-1882165")</f>
        <v>0</v>
      </c>
      <c r="B257" t="s">
        <v>124</v>
      </c>
      <c r="C257" t="s">
        <v>246</v>
      </c>
      <c r="E257" t="s">
        <v>755</v>
      </c>
      <c r="F257" t="s">
        <v>2225</v>
      </c>
      <c r="G257" t="s">
        <v>3830</v>
      </c>
      <c r="H257" t="s">
        <v>5457</v>
      </c>
      <c r="I257" t="s">
        <v>6048</v>
      </c>
      <c r="J257">
        <v>10301</v>
      </c>
      <c r="K257" t="s">
        <v>6074</v>
      </c>
      <c r="L257" t="s">
        <v>6074</v>
      </c>
      <c r="M257" t="s">
        <v>6213</v>
      </c>
      <c r="N257" t="s">
        <v>7276</v>
      </c>
      <c r="O257" t="s">
        <v>7308</v>
      </c>
      <c r="Q257" t="s">
        <v>7322</v>
      </c>
      <c r="R257" t="s">
        <v>6076</v>
      </c>
      <c r="S257" t="s">
        <v>7324</v>
      </c>
      <c r="U257" t="s">
        <v>246</v>
      </c>
      <c r="V257">
        <v>1160</v>
      </c>
      <c r="W257" t="s">
        <v>7364</v>
      </c>
      <c r="Z257" t="s">
        <v>7605</v>
      </c>
      <c r="AB257" t="s">
        <v>10442</v>
      </c>
      <c r="AC257">
        <v>0</v>
      </c>
      <c r="AD257" t="s">
        <v>12422</v>
      </c>
      <c r="AF257">
        <v>5</v>
      </c>
      <c r="AG257">
        <v>1</v>
      </c>
      <c r="AH257">
        <v>1</v>
      </c>
      <c r="AI257">
        <v>0</v>
      </c>
      <c r="AL257" t="s">
        <v>12460</v>
      </c>
      <c r="AM257">
        <v>0</v>
      </c>
      <c r="AQ257" t="s">
        <v>12910</v>
      </c>
      <c r="AR257" t="s">
        <v>12936</v>
      </c>
      <c r="AS257">
        <v>9</v>
      </c>
      <c r="AT257" t="s">
        <v>422</v>
      </c>
      <c r="AU257" t="s">
        <v>13103</v>
      </c>
    </row>
    <row r="258" spans="1:48">
      <c r="A258" s="1">
        <f>HYPERLINK("https://cms.ls-nyc.org/matter/dynamic-profile/view/1887530","19-1887530")</f>
        <v>0</v>
      </c>
      <c r="B258" t="s">
        <v>100</v>
      </c>
      <c r="C258" t="s">
        <v>370</v>
      </c>
      <c r="D258" t="s">
        <v>365</v>
      </c>
      <c r="E258" t="s">
        <v>756</v>
      </c>
      <c r="F258" t="s">
        <v>2226</v>
      </c>
      <c r="G258" t="s">
        <v>3831</v>
      </c>
      <c r="H258">
        <v>30</v>
      </c>
      <c r="I258" t="s">
        <v>6048</v>
      </c>
      <c r="J258">
        <v>10301</v>
      </c>
      <c r="K258" t="s">
        <v>6074</v>
      </c>
      <c r="L258" t="s">
        <v>6074</v>
      </c>
      <c r="M258" t="s">
        <v>6214</v>
      </c>
      <c r="N258" t="s">
        <v>7276</v>
      </c>
      <c r="O258" t="s">
        <v>7308</v>
      </c>
      <c r="P258" t="s">
        <v>7320</v>
      </c>
      <c r="Q258" t="s">
        <v>7322</v>
      </c>
      <c r="R258" t="s">
        <v>6076</v>
      </c>
      <c r="S258" t="s">
        <v>7324</v>
      </c>
      <c r="U258" t="s">
        <v>370</v>
      </c>
      <c r="V258">
        <v>0</v>
      </c>
      <c r="W258" t="s">
        <v>7364</v>
      </c>
      <c r="Y258" t="s">
        <v>7388</v>
      </c>
      <c r="Z258" t="s">
        <v>7606</v>
      </c>
      <c r="AB258" t="s">
        <v>10443</v>
      </c>
      <c r="AC258">
        <v>0</v>
      </c>
      <c r="AF258">
        <v>0</v>
      </c>
      <c r="AG258">
        <v>1</v>
      </c>
      <c r="AH258">
        <v>0</v>
      </c>
      <c r="AI258">
        <v>0</v>
      </c>
      <c r="AL258" t="s">
        <v>12460</v>
      </c>
      <c r="AM258">
        <v>0</v>
      </c>
      <c r="AS258">
        <v>3</v>
      </c>
      <c r="AT258" t="s">
        <v>292</v>
      </c>
      <c r="AU258" t="s">
        <v>13102</v>
      </c>
    </row>
    <row r="259" spans="1:48">
      <c r="A259" s="1">
        <f>HYPERLINK("https://cms.ls-nyc.org/matter/dynamic-profile/view/1891236","19-1891236")</f>
        <v>0</v>
      </c>
      <c r="B259" t="s">
        <v>117</v>
      </c>
      <c r="C259" t="s">
        <v>371</v>
      </c>
      <c r="E259" t="s">
        <v>757</v>
      </c>
      <c r="F259" t="s">
        <v>2227</v>
      </c>
      <c r="G259" t="s">
        <v>3832</v>
      </c>
      <c r="H259" t="s">
        <v>5446</v>
      </c>
      <c r="I259" t="s">
        <v>6048</v>
      </c>
      <c r="J259">
        <v>10301</v>
      </c>
      <c r="K259" t="s">
        <v>6074</v>
      </c>
      <c r="L259" t="s">
        <v>6074</v>
      </c>
      <c r="M259" t="s">
        <v>6215</v>
      </c>
      <c r="N259" t="s">
        <v>7276</v>
      </c>
      <c r="O259" t="s">
        <v>7308</v>
      </c>
      <c r="Q259" t="s">
        <v>7322</v>
      </c>
      <c r="R259" t="s">
        <v>6076</v>
      </c>
      <c r="S259" t="s">
        <v>7324</v>
      </c>
      <c r="T259" t="s">
        <v>7338</v>
      </c>
      <c r="U259" t="s">
        <v>371</v>
      </c>
      <c r="V259">
        <v>1429.3</v>
      </c>
      <c r="W259" t="s">
        <v>7364</v>
      </c>
      <c r="X259" t="s">
        <v>7367</v>
      </c>
      <c r="Z259" t="s">
        <v>7607</v>
      </c>
      <c r="AB259" t="s">
        <v>10444</v>
      </c>
      <c r="AC259">
        <v>2</v>
      </c>
      <c r="AD259" t="s">
        <v>12422</v>
      </c>
      <c r="AF259">
        <v>10</v>
      </c>
      <c r="AG259">
        <v>1</v>
      </c>
      <c r="AH259">
        <v>0</v>
      </c>
      <c r="AI259">
        <v>0</v>
      </c>
      <c r="AL259" t="s">
        <v>12460</v>
      </c>
      <c r="AM259">
        <v>0</v>
      </c>
      <c r="AS259">
        <v>10.8</v>
      </c>
      <c r="AT259" t="s">
        <v>460</v>
      </c>
      <c r="AU259" t="s">
        <v>13102</v>
      </c>
    </row>
    <row r="260" spans="1:48">
      <c r="A260" s="1">
        <f>HYPERLINK("https://cms.ls-nyc.org/matter/dynamic-profile/view/1898486","19-1898486")</f>
        <v>0</v>
      </c>
      <c r="B260" t="s">
        <v>117</v>
      </c>
      <c r="C260" t="s">
        <v>254</v>
      </c>
      <c r="E260" t="s">
        <v>720</v>
      </c>
      <c r="F260" t="s">
        <v>2228</v>
      </c>
      <c r="G260" t="s">
        <v>3833</v>
      </c>
      <c r="H260" t="s">
        <v>5458</v>
      </c>
      <c r="I260" t="s">
        <v>6048</v>
      </c>
      <c r="J260">
        <v>10301</v>
      </c>
      <c r="K260" t="s">
        <v>6074</v>
      </c>
      <c r="L260" t="s">
        <v>6074</v>
      </c>
      <c r="M260" t="s">
        <v>6216</v>
      </c>
      <c r="N260" t="s">
        <v>7276</v>
      </c>
      <c r="O260" t="s">
        <v>7308</v>
      </c>
      <c r="Q260" t="s">
        <v>7322</v>
      </c>
      <c r="R260" t="s">
        <v>6076</v>
      </c>
      <c r="S260" t="s">
        <v>7324</v>
      </c>
      <c r="T260" t="s">
        <v>7339</v>
      </c>
      <c r="U260" t="s">
        <v>254</v>
      </c>
      <c r="V260">
        <v>1300</v>
      </c>
      <c r="W260" t="s">
        <v>7364</v>
      </c>
      <c r="X260" t="s">
        <v>7382</v>
      </c>
      <c r="Z260" t="s">
        <v>7608</v>
      </c>
      <c r="AB260" t="s">
        <v>10445</v>
      </c>
      <c r="AC260">
        <v>4</v>
      </c>
      <c r="AD260" t="s">
        <v>12422</v>
      </c>
      <c r="AE260" t="s">
        <v>6110</v>
      </c>
      <c r="AF260">
        <v>4</v>
      </c>
      <c r="AG260">
        <v>1</v>
      </c>
      <c r="AH260">
        <v>0</v>
      </c>
      <c r="AI260">
        <v>0</v>
      </c>
      <c r="AL260" t="s">
        <v>12460</v>
      </c>
      <c r="AM260">
        <v>0</v>
      </c>
      <c r="AS260">
        <v>2</v>
      </c>
      <c r="AT260" t="s">
        <v>421</v>
      </c>
      <c r="AU260" t="s">
        <v>13101</v>
      </c>
    </row>
    <row r="261" spans="1:48">
      <c r="A261" s="1">
        <f>HYPERLINK("https://cms.ls-nyc.org/matter/dynamic-profile/view/1877489","18-1877489")</f>
        <v>0</v>
      </c>
      <c r="B261" t="s">
        <v>125</v>
      </c>
      <c r="C261" t="s">
        <v>372</v>
      </c>
      <c r="D261" t="s">
        <v>283</v>
      </c>
      <c r="E261" t="s">
        <v>758</v>
      </c>
      <c r="F261" t="s">
        <v>2229</v>
      </c>
      <c r="G261" t="s">
        <v>3834</v>
      </c>
      <c r="H261" t="s">
        <v>5459</v>
      </c>
      <c r="I261" t="s">
        <v>6049</v>
      </c>
      <c r="J261">
        <v>10040</v>
      </c>
      <c r="K261" t="s">
        <v>6074</v>
      </c>
      <c r="L261" t="s">
        <v>6075</v>
      </c>
      <c r="N261" t="s">
        <v>7274</v>
      </c>
      <c r="O261" t="s">
        <v>7306</v>
      </c>
      <c r="P261" t="s">
        <v>7314</v>
      </c>
      <c r="Q261" t="s">
        <v>7322</v>
      </c>
      <c r="R261" t="s">
        <v>6076</v>
      </c>
      <c r="S261" t="s">
        <v>7324</v>
      </c>
      <c r="U261" t="s">
        <v>372</v>
      </c>
      <c r="V261">
        <v>1172</v>
      </c>
      <c r="W261" t="s">
        <v>7365</v>
      </c>
      <c r="X261" t="s">
        <v>7367</v>
      </c>
      <c r="Y261" t="s">
        <v>7386</v>
      </c>
      <c r="Z261" t="s">
        <v>7609</v>
      </c>
      <c r="AB261" t="s">
        <v>10446</v>
      </c>
      <c r="AC261">
        <v>134</v>
      </c>
      <c r="AE261" t="s">
        <v>6110</v>
      </c>
      <c r="AF261">
        <v>20</v>
      </c>
      <c r="AG261">
        <v>2</v>
      </c>
      <c r="AH261">
        <v>0</v>
      </c>
      <c r="AI261">
        <v>0</v>
      </c>
      <c r="AL261" t="s">
        <v>12460</v>
      </c>
      <c r="AM261">
        <v>0</v>
      </c>
      <c r="AS261">
        <v>4.2</v>
      </c>
      <c r="AT261" t="s">
        <v>373</v>
      </c>
      <c r="AU261" t="s">
        <v>13106</v>
      </c>
      <c r="AV261" t="s">
        <v>13145</v>
      </c>
    </row>
    <row r="262" spans="1:48">
      <c r="A262" s="1">
        <f>HYPERLINK("https://cms.ls-nyc.org/matter/dynamic-profile/view/1841872","17-1841872")</f>
        <v>0</v>
      </c>
      <c r="B262" t="s">
        <v>126</v>
      </c>
      <c r="C262" t="s">
        <v>326</v>
      </c>
      <c r="D262" t="s">
        <v>339</v>
      </c>
      <c r="E262" t="s">
        <v>759</v>
      </c>
      <c r="F262" t="s">
        <v>2230</v>
      </c>
      <c r="G262" t="s">
        <v>3835</v>
      </c>
      <c r="H262" t="s">
        <v>5444</v>
      </c>
      <c r="I262" t="s">
        <v>6049</v>
      </c>
      <c r="J262">
        <v>10040</v>
      </c>
      <c r="K262" t="s">
        <v>6074</v>
      </c>
      <c r="L262" t="s">
        <v>6074</v>
      </c>
      <c r="N262" t="s">
        <v>6104</v>
      </c>
      <c r="O262" t="s">
        <v>7306</v>
      </c>
      <c r="P262" t="s">
        <v>7314</v>
      </c>
      <c r="Q262" t="s">
        <v>7322</v>
      </c>
      <c r="R262" t="s">
        <v>6074</v>
      </c>
      <c r="S262" t="s">
        <v>7324</v>
      </c>
      <c r="T262" t="s">
        <v>7336</v>
      </c>
      <c r="U262" t="s">
        <v>326</v>
      </c>
      <c r="V262">
        <v>1148</v>
      </c>
      <c r="W262" t="s">
        <v>7365</v>
      </c>
      <c r="X262" t="s">
        <v>7367</v>
      </c>
      <c r="Y262" t="s">
        <v>7386</v>
      </c>
      <c r="Z262" t="s">
        <v>7610</v>
      </c>
      <c r="AB262" t="s">
        <v>10447</v>
      </c>
      <c r="AC262">
        <v>30</v>
      </c>
      <c r="AD262" t="s">
        <v>12422</v>
      </c>
      <c r="AE262" t="s">
        <v>6110</v>
      </c>
      <c r="AF262">
        <v>9</v>
      </c>
      <c r="AG262">
        <v>1</v>
      </c>
      <c r="AH262">
        <v>0</v>
      </c>
      <c r="AI262">
        <v>0</v>
      </c>
      <c r="AL262" t="s">
        <v>12460</v>
      </c>
      <c r="AM262">
        <v>0</v>
      </c>
      <c r="AS262">
        <v>0.7</v>
      </c>
      <c r="AT262" t="s">
        <v>339</v>
      </c>
      <c r="AU262" t="s">
        <v>13106</v>
      </c>
    </row>
    <row r="263" spans="1:48">
      <c r="A263" s="1">
        <f>HYPERLINK("https://cms.ls-nyc.org/matter/dynamic-profile/view/1878318","18-1878318")</f>
        <v>0</v>
      </c>
      <c r="B263" t="s">
        <v>127</v>
      </c>
      <c r="C263" t="s">
        <v>373</v>
      </c>
      <c r="D263" t="s">
        <v>369</v>
      </c>
      <c r="E263" t="s">
        <v>585</v>
      </c>
      <c r="F263" t="s">
        <v>2231</v>
      </c>
      <c r="G263" t="s">
        <v>3836</v>
      </c>
      <c r="H263" t="s">
        <v>5460</v>
      </c>
      <c r="I263" t="s">
        <v>6049</v>
      </c>
      <c r="J263">
        <v>10037</v>
      </c>
      <c r="K263" t="s">
        <v>6074</v>
      </c>
      <c r="L263" t="s">
        <v>6074</v>
      </c>
      <c r="M263" t="s">
        <v>6217</v>
      </c>
      <c r="N263" t="s">
        <v>7276</v>
      </c>
      <c r="O263" t="s">
        <v>7306</v>
      </c>
      <c r="P263" t="s">
        <v>7314</v>
      </c>
      <c r="Q263" t="s">
        <v>7322</v>
      </c>
      <c r="R263" t="s">
        <v>6076</v>
      </c>
      <c r="S263" t="s">
        <v>7324</v>
      </c>
      <c r="T263" t="s">
        <v>7336</v>
      </c>
      <c r="U263" t="s">
        <v>373</v>
      </c>
      <c r="V263">
        <v>1208.75</v>
      </c>
      <c r="W263" t="s">
        <v>7365</v>
      </c>
      <c r="X263" t="s">
        <v>7305</v>
      </c>
      <c r="Y263" t="s">
        <v>7386</v>
      </c>
      <c r="Z263" t="s">
        <v>7611</v>
      </c>
      <c r="AB263" t="s">
        <v>10448</v>
      </c>
      <c r="AC263">
        <v>0</v>
      </c>
      <c r="AD263" t="s">
        <v>12423</v>
      </c>
      <c r="AE263" t="s">
        <v>6110</v>
      </c>
      <c r="AF263">
        <v>6</v>
      </c>
      <c r="AG263">
        <v>1</v>
      </c>
      <c r="AH263">
        <v>0</v>
      </c>
      <c r="AI263">
        <v>0</v>
      </c>
      <c r="AL263" t="s">
        <v>12460</v>
      </c>
      <c r="AM263">
        <v>0</v>
      </c>
      <c r="AS263">
        <v>0.1</v>
      </c>
      <c r="AT263" t="s">
        <v>369</v>
      </c>
      <c r="AU263" t="s">
        <v>13107</v>
      </c>
    </row>
    <row r="264" spans="1:48">
      <c r="A264" s="1">
        <f>HYPERLINK("https://cms.ls-nyc.org/matter/dynamic-profile/view/1888604","19-1888604")</f>
        <v>0</v>
      </c>
      <c r="B264" t="s">
        <v>126</v>
      </c>
      <c r="C264" t="s">
        <v>339</v>
      </c>
      <c r="E264" t="s">
        <v>760</v>
      </c>
      <c r="F264" t="s">
        <v>2194</v>
      </c>
      <c r="G264" t="s">
        <v>3837</v>
      </c>
      <c r="H264" t="s">
        <v>5354</v>
      </c>
      <c r="I264" t="s">
        <v>6049</v>
      </c>
      <c r="J264">
        <v>10035</v>
      </c>
      <c r="K264" t="s">
        <v>6074</v>
      </c>
      <c r="L264" t="s">
        <v>6074</v>
      </c>
      <c r="M264" t="s">
        <v>6218</v>
      </c>
      <c r="N264" t="s">
        <v>7276</v>
      </c>
      <c r="O264" t="s">
        <v>7308</v>
      </c>
      <c r="Q264" t="s">
        <v>7322</v>
      </c>
      <c r="R264" t="s">
        <v>6076</v>
      </c>
      <c r="S264" t="s">
        <v>7324</v>
      </c>
      <c r="T264" t="s">
        <v>7340</v>
      </c>
      <c r="U264" t="s">
        <v>370</v>
      </c>
      <c r="V264">
        <v>1230</v>
      </c>
      <c r="W264" t="s">
        <v>7365</v>
      </c>
      <c r="X264" t="s">
        <v>7375</v>
      </c>
      <c r="Z264" t="s">
        <v>7612</v>
      </c>
      <c r="AB264" t="s">
        <v>10449</v>
      </c>
      <c r="AC264">
        <v>54</v>
      </c>
      <c r="AD264" t="s">
        <v>12422</v>
      </c>
      <c r="AE264" t="s">
        <v>7305</v>
      </c>
      <c r="AF264">
        <v>1</v>
      </c>
      <c r="AG264">
        <v>1</v>
      </c>
      <c r="AH264">
        <v>1</v>
      </c>
      <c r="AI264">
        <v>0</v>
      </c>
      <c r="AL264" t="s">
        <v>12460</v>
      </c>
      <c r="AM264">
        <v>0</v>
      </c>
      <c r="AS264">
        <v>24.05</v>
      </c>
      <c r="AT264" t="s">
        <v>276</v>
      </c>
      <c r="AU264" t="s">
        <v>13107</v>
      </c>
    </row>
    <row r="265" spans="1:48">
      <c r="A265" s="1">
        <f>HYPERLINK("https://cms.ls-nyc.org/matter/dynamic-profile/view/1871563","18-1871563")</f>
        <v>0</v>
      </c>
      <c r="B265" t="s">
        <v>128</v>
      </c>
      <c r="C265" t="s">
        <v>374</v>
      </c>
      <c r="E265" t="s">
        <v>761</v>
      </c>
      <c r="F265" t="s">
        <v>2232</v>
      </c>
      <c r="G265" t="s">
        <v>3838</v>
      </c>
      <c r="H265" t="s">
        <v>5461</v>
      </c>
      <c r="I265" t="s">
        <v>6049</v>
      </c>
      <c r="J265">
        <v>10034</v>
      </c>
      <c r="K265" t="s">
        <v>6074</v>
      </c>
      <c r="L265" t="s">
        <v>6074</v>
      </c>
      <c r="N265" t="s">
        <v>7273</v>
      </c>
      <c r="O265" t="s">
        <v>7308</v>
      </c>
      <c r="Q265" t="s">
        <v>7322</v>
      </c>
      <c r="R265" t="s">
        <v>6074</v>
      </c>
      <c r="S265" t="s">
        <v>7324</v>
      </c>
      <c r="U265" t="s">
        <v>374</v>
      </c>
      <c r="V265">
        <v>2670</v>
      </c>
      <c r="W265" t="s">
        <v>7365</v>
      </c>
      <c r="X265" t="s">
        <v>7367</v>
      </c>
      <c r="Z265" t="s">
        <v>7613</v>
      </c>
      <c r="AC265">
        <v>67</v>
      </c>
      <c r="AD265" t="s">
        <v>12422</v>
      </c>
      <c r="AE265" t="s">
        <v>6110</v>
      </c>
      <c r="AF265">
        <v>8</v>
      </c>
      <c r="AG265">
        <v>1</v>
      </c>
      <c r="AH265">
        <v>0</v>
      </c>
      <c r="AI265">
        <v>0</v>
      </c>
      <c r="AL265" t="s">
        <v>12460</v>
      </c>
      <c r="AM265">
        <v>0</v>
      </c>
      <c r="AS265">
        <v>3.3</v>
      </c>
      <c r="AT265" t="s">
        <v>268</v>
      </c>
      <c r="AU265" t="s">
        <v>13106</v>
      </c>
    </row>
    <row r="266" spans="1:48">
      <c r="A266" s="1">
        <f>HYPERLINK("https://cms.ls-nyc.org/matter/dynamic-profile/view/1896304","19-1896304")</f>
        <v>0</v>
      </c>
      <c r="B266" t="s">
        <v>129</v>
      </c>
      <c r="C266" t="s">
        <v>270</v>
      </c>
      <c r="E266" t="s">
        <v>762</v>
      </c>
      <c r="F266" t="s">
        <v>2233</v>
      </c>
      <c r="G266" t="s">
        <v>3839</v>
      </c>
      <c r="H266" t="s">
        <v>5350</v>
      </c>
      <c r="I266" t="s">
        <v>6049</v>
      </c>
      <c r="J266">
        <v>10034</v>
      </c>
      <c r="K266" t="s">
        <v>6074</v>
      </c>
      <c r="L266" t="s">
        <v>6074</v>
      </c>
      <c r="M266" t="s">
        <v>6219</v>
      </c>
      <c r="N266" t="s">
        <v>7276</v>
      </c>
      <c r="O266" t="s">
        <v>7306</v>
      </c>
      <c r="Q266" t="s">
        <v>7322</v>
      </c>
      <c r="R266" t="s">
        <v>6076</v>
      </c>
      <c r="S266" t="s">
        <v>7324</v>
      </c>
      <c r="U266" t="s">
        <v>270</v>
      </c>
      <c r="V266">
        <v>1348.75</v>
      </c>
      <c r="W266" t="s">
        <v>7365</v>
      </c>
      <c r="Z266" t="s">
        <v>7614</v>
      </c>
      <c r="AB266" t="s">
        <v>10450</v>
      </c>
      <c r="AC266">
        <v>0</v>
      </c>
      <c r="AD266" t="s">
        <v>12422</v>
      </c>
      <c r="AF266">
        <v>21</v>
      </c>
      <c r="AG266">
        <v>1</v>
      </c>
      <c r="AH266">
        <v>0</v>
      </c>
      <c r="AI266">
        <v>0</v>
      </c>
      <c r="AL266" t="s">
        <v>12460</v>
      </c>
      <c r="AM266">
        <v>0</v>
      </c>
      <c r="AS266">
        <v>1</v>
      </c>
      <c r="AT266" t="s">
        <v>280</v>
      </c>
      <c r="AU266" t="s">
        <v>13108</v>
      </c>
    </row>
    <row r="267" spans="1:48">
      <c r="A267" s="1">
        <f>HYPERLINK("https://cms.ls-nyc.org/matter/dynamic-profile/view/1898144","19-1898144")</f>
        <v>0</v>
      </c>
      <c r="B267" t="s">
        <v>130</v>
      </c>
      <c r="C267" t="s">
        <v>362</v>
      </c>
      <c r="D267" t="s">
        <v>265</v>
      </c>
      <c r="E267" t="s">
        <v>763</v>
      </c>
      <c r="F267" t="s">
        <v>2234</v>
      </c>
      <c r="G267" t="s">
        <v>3840</v>
      </c>
      <c r="H267" t="s">
        <v>5350</v>
      </c>
      <c r="I267" t="s">
        <v>6049</v>
      </c>
      <c r="J267">
        <v>10034</v>
      </c>
      <c r="K267" t="s">
        <v>6074</v>
      </c>
      <c r="L267" t="s">
        <v>6074</v>
      </c>
      <c r="M267" t="s">
        <v>6220</v>
      </c>
      <c r="N267" t="s">
        <v>7276</v>
      </c>
      <c r="O267" t="s">
        <v>7306</v>
      </c>
      <c r="P267" t="s">
        <v>7314</v>
      </c>
      <c r="Q267" t="s">
        <v>7322</v>
      </c>
      <c r="R267" t="s">
        <v>6076</v>
      </c>
      <c r="S267" t="s">
        <v>7324</v>
      </c>
      <c r="U267" t="s">
        <v>362</v>
      </c>
      <c r="V267">
        <v>841</v>
      </c>
      <c r="W267" t="s">
        <v>7365</v>
      </c>
      <c r="X267" t="s">
        <v>7368</v>
      </c>
      <c r="Y267" t="s">
        <v>7386</v>
      </c>
      <c r="Z267" t="s">
        <v>7615</v>
      </c>
      <c r="AA267" t="s">
        <v>9891</v>
      </c>
      <c r="AC267">
        <v>73</v>
      </c>
      <c r="AD267" t="s">
        <v>12422</v>
      </c>
      <c r="AE267" t="s">
        <v>6110</v>
      </c>
      <c r="AF267">
        <v>18</v>
      </c>
      <c r="AG267">
        <v>1</v>
      </c>
      <c r="AH267">
        <v>0</v>
      </c>
      <c r="AI267">
        <v>0</v>
      </c>
      <c r="AL267" t="s">
        <v>12461</v>
      </c>
      <c r="AM267">
        <v>0</v>
      </c>
      <c r="AS267">
        <v>1.5</v>
      </c>
      <c r="AT267" t="s">
        <v>316</v>
      </c>
      <c r="AU267" t="s">
        <v>13106</v>
      </c>
      <c r="AV267" t="s">
        <v>13145</v>
      </c>
    </row>
    <row r="268" spans="1:48">
      <c r="A268" s="1">
        <f>HYPERLINK("https://cms.ls-nyc.org/matter/dynamic-profile/view/1897898","19-1897898")</f>
        <v>0</v>
      </c>
      <c r="B268" t="s">
        <v>131</v>
      </c>
      <c r="C268" t="s">
        <v>375</v>
      </c>
      <c r="E268" t="s">
        <v>764</v>
      </c>
      <c r="F268" t="s">
        <v>2235</v>
      </c>
      <c r="G268" t="s">
        <v>3841</v>
      </c>
      <c r="H268" t="s">
        <v>5462</v>
      </c>
      <c r="I268" t="s">
        <v>6049</v>
      </c>
      <c r="J268">
        <v>10033</v>
      </c>
      <c r="K268" t="s">
        <v>6074</v>
      </c>
      <c r="L268" t="s">
        <v>6074</v>
      </c>
      <c r="N268" t="s">
        <v>7279</v>
      </c>
      <c r="O268" t="s">
        <v>7308</v>
      </c>
      <c r="Q268" t="s">
        <v>7322</v>
      </c>
      <c r="R268" t="s">
        <v>6076</v>
      </c>
      <c r="S268" t="s">
        <v>7324</v>
      </c>
      <c r="U268" t="s">
        <v>375</v>
      </c>
      <c r="V268">
        <v>2100</v>
      </c>
      <c r="W268" t="s">
        <v>7365</v>
      </c>
      <c r="X268" t="s">
        <v>7368</v>
      </c>
      <c r="Z268" t="s">
        <v>7616</v>
      </c>
      <c r="AB268" t="s">
        <v>10451</v>
      </c>
      <c r="AC268">
        <v>0</v>
      </c>
      <c r="AD268" t="s">
        <v>12422</v>
      </c>
      <c r="AE268" t="s">
        <v>6110</v>
      </c>
      <c r="AF268">
        <v>37</v>
      </c>
      <c r="AG268">
        <v>2</v>
      </c>
      <c r="AH268">
        <v>1</v>
      </c>
      <c r="AI268">
        <v>0</v>
      </c>
      <c r="AL268" t="s">
        <v>12460</v>
      </c>
      <c r="AM268">
        <v>0</v>
      </c>
      <c r="AS268">
        <v>0</v>
      </c>
      <c r="AU268" t="s">
        <v>13106</v>
      </c>
    </row>
    <row r="269" spans="1:48">
      <c r="A269" s="1">
        <f>HYPERLINK("https://cms.ls-nyc.org/matter/dynamic-profile/view/1876735","18-1876735")</f>
        <v>0</v>
      </c>
      <c r="B269" t="s">
        <v>130</v>
      </c>
      <c r="C269" t="s">
        <v>238</v>
      </c>
      <c r="E269" t="s">
        <v>765</v>
      </c>
      <c r="F269" t="s">
        <v>2236</v>
      </c>
      <c r="G269" t="s">
        <v>3842</v>
      </c>
      <c r="H269" t="s">
        <v>5463</v>
      </c>
      <c r="I269" t="s">
        <v>6049</v>
      </c>
      <c r="J269">
        <v>10033</v>
      </c>
      <c r="K269" t="s">
        <v>6074</v>
      </c>
      <c r="L269" t="s">
        <v>6074</v>
      </c>
      <c r="N269" t="s">
        <v>7273</v>
      </c>
      <c r="O269" t="s">
        <v>7308</v>
      </c>
      <c r="Q269" t="s">
        <v>7322</v>
      </c>
      <c r="R269" t="s">
        <v>6074</v>
      </c>
      <c r="S269" t="s">
        <v>7324</v>
      </c>
      <c r="U269" t="s">
        <v>238</v>
      </c>
      <c r="V269">
        <v>1783.78</v>
      </c>
      <c r="W269" t="s">
        <v>7365</v>
      </c>
      <c r="X269" t="s">
        <v>7367</v>
      </c>
      <c r="Z269" t="s">
        <v>7617</v>
      </c>
      <c r="AB269" t="s">
        <v>10452</v>
      </c>
      <c r="AC269">
        <v>232</v>
      </c>
      <c r="AD269" t="s">
        <v>12422</v>
      </c>
      <c r="AE269" t="s">
        <v>6110</v>
      </c>
      <c r="AF269">
        <v>6</v>
      </c>
      <c r="AG269">
        <v>2</v>
      </c>
      <c r="AH269">
        <v>3</v>
      </c>
      <c r="AI269">
        <v>0</v>
      </c>
      <c r="AL269" t="s">
        <v>12461</v>
      </c>
      <c r="AM269">
        <v>0</v>
      </c>
      <c r="AS269">
        <v>0.7</v>
      </c>
      <c r="AT269" t="s">
        <v>496</v>
      </c>
      <c r="AU269" t="s">
        <v>13106</v>
      </c>
    </row>
    <row r="270" spans="1:48">
      <c r="A270" s="1">
        <f>HYPERLINK("https://cms.ls-nyc.org/matter/dynamic-profile/view/1876564","18-1876564")</f>
        <v>0</v>
      </c>
      <c r="B270" t="s">
        <v>132</v>
      </c>
      <c r="C270" t="s">
        <v>243</v>
      </c>
      <c r="D270" t="s">
        <v>373</v>
      </c>
      <c r="E270" t="s">
        <v>766</v>
      </c>
      <c r="F270" t="s">
        <v>2237</v>
      </c>
      <c r="G270" t="s">
        <v>3843</v>
      </c>
      <c r="H270">
        <v>1</v>
      </c>
      <c r="I270" t="s">
        <v>6049</v>
      </c>
      <c r="J270">
        <v>10033</v>
      </c>
      <c r="K270" t="s">
        <v>6074</v>
      </c>
      <c r="L270" t="s">
        <v>6074</v>
      </c>
      <c r="N270" t="s">
        <v>6104</v>
      </c>
      <c r="O270" t="s">
        <v>7306</v>
      </c>
      <c r="P270" t="s">
        <v>7314</v>
      </c>
      <c r="Q270" t="s">
        <v>7322</v>
      </c>
      <c r="R270" t="s">
        <v>6076</v>
      </c>
      <c r="S270" t="s">
        <v>7324</v>
      </c>
      <c r="U270" t="s">
        <v>243</v>
      </c>
      <c r="V270">
        <v>2051</v>
      </c>
      <c r="W270" t="s">
        <v>7365</v>
      </c>
      <c r="X270" t="s">
        <v>7367</v>
      </c>
      <c r="Y270" t="s">
        <v>7386</v>
      </c>
      <c r="Z270" t="s">
        <v>7618</v>
      </c>
      <c r="AC270">
        <v>49</v>
      </c>
      <c r="AD270" t="s">
        <v>12422</v>
      </c>
      <c r="AE270" t="s">
        <v>6110</v>
      </c>
      <c r="AF270">
        <v>1</v>
      </c>
      <c r="AG270">
        <v>3</v>
      </c>
      <c r="AH270">
        <v>1</v>
      </c>
      <c r="AI270">
        <v>0</v>
      </c>
      <c r="AL270" t="s">
        <v>12460</v>
      </c>
      <c r="AM270">
        <v>0</v>
      </c>
      <c r="AS270">
        <v>1.2</v>
      </c>
      <c r="AT270" t="s">
        <v>248</v>
      </c>
      <c r="AU270" t="s">
        <v>13106</v>
      </c>
    </row>
    <row r="271" spans="1:48">
      <c r="A271" s="1">
        <f>HYPERLINK("https://cms.ls-nyc.org/matter/dynamic-profile/view/1872486","18-1872486")</f>
        <v>0</v>
      </c>
      <c r="B271" t="s">
        <v>133</v>
      </c>
      <c r="C271" t="s">
        <v>376</v>
      </c>
      <c r="D271" t="s">
        <v>289</v>
      </c>
      <c r="E271" t="s">
        <v>767</v>
      </c>
      <c r="F271" t="s">
        <v>2238</v>
      </c>
      <c r="G271" t="s">
        <v>3844</v>
      </c>
      <c r="H271" t="s">
        <v>5417</v>
      </c>
      <c r="I271" t="s">
        <v>6049</v>
      </c>
      <c r="J271">
        <v>10033</v>
      </c>
      <c r="K271" t="s">
        <v>6074</v>
      </c>
      <c r="L271" t="s">
        <v>6074</v>
      </c>
      <c r="M271" t="s">
        <v>6221</v>
      </c>
      <c r="N271" t="s">
        <v>7276</v>
      </c>
      <c r="O271" t="s">
        <v>7306</v>
      </c>
      <c r="P271" t="s">
        <v>7314</v>
      </c>
      <c r="Q271" t="s">
        <v>7322</v>
      </c>
      <c r="R271" t="s">
        <v>6076</v>
      </c>
      <c r="S271" t="s">
        <v>7324</v>
      </c>
      <c r="U271" t="s">
        <v>376</v>
      </c>
      <c r="V271">
        <v>1060.82</v>
      </c>
      <c r="W271" t="s">
        <v>7365</v>
      </c>
      <c r="X271" t="s">
        <v>7367</v>
      </c>
      <c r="Y271" t="s">
        <v>7386</v>
      </c>
      <c r="Z271" t="s">
        <v>7619</v>
      </c>
      <c r="AB271" t="s">
        <v>10453</v>
      </c>
      <c r="AC271">
        <v>0</v>
      </c>
      <c r="AD271" t="s">
        <v>12422</v>
      </c>
      <c r="AE271" t="s">
        <v>6110</v>
      </c>
      <c r="AF271">
        <v>29</v>
      </c>
      <c r="AG271">
        <v>1</v>
      </c>
      <c r="AH271">
        <v>0</v>
      </c>
      <c r="AI271">
        <v>0</v>
      </c>
      <c r="AL271" t="s">
        <v>12461</v>
      </c>
      <c r="AM271">
        <v>0</v>
      </c>
      <c r="AS271">
        <v>2.5</v>
      </c>
      <c r="AT271" t="s">
        <v>289</v>
      </c>
      <c r="AU271" t="s">
        <v>13106</v>
      </c>
    </row>
    <row r="272" spans="1:48">
      <c r="A272" s="1">
        <f>HYPERLINK("https://cms.ls-nyc.org/matter/dynamic-profile/view/1876150","18-1876150")</f>
        <v>0</v>
      </c>
      <c r="B272" t="s">
        <v>128</v>
      </c>
      <c r="C272" t="s">
        <v>377</v>
      </c>
      <c r="E272" t="s">
        <v>768</v>
      </c>
      <c r="F272" t="s">
        <v>1674</v>
      </c>
      <c r="G272" t="s">
        <v>3845</v>
      </c>
      <c r="H272" t="s">
        <v>5354</v>
      </c>
      <c r="I272" t="s">
        <v>6049</v>
      </c>
      <c r="J272">
        <v>10033</v>
      </c>
      <c r="K272" t="s">
        <v>6074</v>
      </c>
      <c r="L272" t="s">
        <v>6074</v>
      </c>
      <c r="M272" t="s">
        <v>6222</v>
      </c>
      <c r="N272" t="s">
        <v>7276</v>
      </c>
      <c r="O272" t="s">
        <v>7308</v>
      </c>
      <c r="Q272" t="s">
        <v>7322</v>
      </c>
      <c r="R272" t="s">
        <v>6076</v>
      </c>
      <c r="S272" t="s">
        <v>7324</v>
      </c>
      <c r="U272" t="s">
        <v>377</v>
      </c>
      <c r="V272">
        <v>1244</v>
      </c>
      <c r="W272" t="s">
        <v>7365</v>
      </c>
      <c r="X272" t="s">
        <v>7367</v>
      </c>
      <c r="Z272" t="s">
        <v>7620</v>
      </c>
      <c r="AB272" t="s">
        <v>10454</v>
      </c>
      <c r="AC272">
        <v>37</v>
      </c>
      <c r="AD272" t="s">
        <v>12422</v>
      </c>
      <c r="AE272" t="s">
        <v>6110</v>
      </c>
      <c r="AF272">
        <v>30</v>
      </c>
      <c r="AG272">
        <v>1</v>
      </c>
      <c r="AH272">
        <v>0</v>
      </c>
      <c r="AI272">
        <v>0</v>
      </c>
      <c r="AL272" t="s">
        <v>12461</v>
      </c>
      <c r="AM272">
        <v>0</v>
      </c>
      <c r="AS272">
        <v>38.25</v>
      </c>
      <c r="AT272" t="s">
        <v>234</v>
      </c>
      <c r="AU272" t="s">
        <v>13106</v>
      </c>
    </row>
    <row r="273" spans="1:48">
      <c r="A273" s="1">
        <f>HYPERLINK("https://cms.ls-nyc.org/matter/dynamic-profile/view/1894615","19-1894615")</f>
        <v>0</v>
      </c>
      <c r="B273" t="s">
        <v>130</v>
      </c>
      <c r="C273" t="s">
        <v>235</v>
      </c>
      <c r="E273" t="s">
        <v>769</v>
      </c>
      <c r="F273" t="s">
        <v>2239</v>
      </c>
      <c r="G273" t="s">
        <v>3846</v>
      </c>
      <c r="H273" t="s">
        <v>5446</v>
      </c>
      <c r="I273" t="s">
        <v>6049</v>
      </c>
      <c r="J273">
        <v>10033</v>
      </c>
      <c r="K273" t="s">
        <v>6074</v>
      </c>
      <c r="L273" t="s">
        <v>6074</v>
      </c>
      <c r="M273" t="s">
        <v>6223</v>
      </c>
      <c r="N273" t="s">
        <v>7276</v>
      </c>
      <c r="O273" t="s">
        <v>7306</v>
      </c>
      <c r="Q273" t="s">
        <v>7322</v>
      </c>
      <c r="R273" t="s">
        <v>6076</v>
      </c>
      <c r="S273" t="s">
        <v>7324</v>
      </c>
      <c r="U273" t="s">
        <v>235</v>
      </c>
      <c r="V273">
        <v>1254.42</v>
      </c>
      <c r="W273" t="s">
        <v>7365</v>
      </c>
      <c r="X273" t="s">
        <v>7366</v>
      </c>
      <c r="Z273" t="s">
        <v>7621</v>
      </c>
      <c r="AA273" t="s">
        <v>9892</v>
      </c>
      <c r="AB273" t="s">
        <v>10455</v>
      </c>
      <c r="AC273">
        <v>26</v>
      </c>
      <c r="AD273" t="s">
        <v>12422</v>
      </c>
      <c r="AE273" t="s">
        <v>6110</v>
      </c>
      <c r="AF273">
        <v>4</v>
      </c>
      <c r="AG273">
        <v>1</v>
      </c>
      <c r="AH273">
        <v>3</v>
      </c>
      <c r="AI273">
        <v>0</v>
      </c>
      <c r="AL273" t="s">
        <v>12461</v>
      </c>
      <c r="AM273">
        <v>0</v>
      </c>
      <c r="AS273">
        <v>9.75</v>
      </c>
      <c r="AT273" t="s">
        <v>423</v>
      </c>
      <c r="AU273" t="s">
        <v>13109</v>
      </c>
      <c r="AV273" t="s">
        <v>13145</v>
      </c>
    </row>
    <row r="274" spans="1:48">
      <c r="A274" s="1">
        <f>HYPERLINK("https://cms.ls-nyc.org/matter/dynamic-profile/view/1894249","19-1894249")</f>
        <v>0</v>
      </c>
      <c r="B274" t="s">
        <v>131</v>
      </c>
      <c r="C274" t="s">
        <v>334</v>
      </c>
      <c r="E274" t="s">
        <v>770</v>
      </c>
      <c r="F274" t="s">
        <v>2240</v>
      </c>
      <c r="G274" t="s">
        <v>3847</v>
      </c>
      <c r="H274" t="s">
        <v>5455</v>
      </c>
      <c r="I274" t="s">
        <v>6049</v>
      </c>
      <c r="J274">
        <v>10033</v>
      </c>
      <c r="K274" t="s">
        <v>6074</v>
      </c>
      <c r="L274" t="s">
        <v>6076</v>
      </c>
      <c r="N274" t="s">
        <v>7278</v>
      </c>
      <c r="O274" t="s">
        <v>7306</v>
      </c>
      <c r="Q274" t="s">
        <v>7322</v>
      </c>
      <c r="R274" t="s">
        <v>6076</v>
      </c>
      <c r="S274" t="s">
        <v>7324</v>
      </c>
      <c r="U274" t="s">
        <v>334</v>
      </c>
      <c r="V274">
        <v>0</v>
      </c>
      <c r="W274" t="s">
        <v>7365</v>
      </c>
      <c r="X274" t="s">
        <v>7367</v>
      </c>
      <c r="Z274" t="s">
        <v>7622</v>
      </c>
      <c r="AB274" t="s">
        <v>10456</v>
      </c>
      <c r="AC274">
        <v>42</v>
      </c>
      <c r="AD274" t="s">
        <v>12422</v>
      </c>
      <c r="AE274" t="s">
        <v>6110</v>
      </c>
      <c r="AF274">
        <v>10</v>
      </c>
      <c r="AG274">
        <v>2</v>
      </c>
      <c r="AH274">
        <v>0</v>
      </c>
      <c r="AI274">
        <v>0</v>
      </c>
      <c r="AL274" t="s">
        <v>12460</v>
      </c>
      <c r="AM274">
        <v>0</v>
      </c>
      <c r="AS274">
        <v>0.1</v>
      </c>
      <c r="AT274" t="s">
        <v>334</v>
      </c>
      <c r="AU274" t="s">
        <v>13110</v>
      </c>
      <c r="AV274" t="s">
        <v>13145</v>
      </c>
    </row>
    <row r="275" spans="1:48">
      <c r="A275" s="1">
        <f>HYPERLINK("https://cms.ls-nyc.org/matter/dynamic-profile/view/1874724","18-1874724")</f>
        <v>0</v>
      </c>
      <c r="B275" t="s">
        <v>125</v>
      </c>
      <c r="C275" t="s">
        <v>378</v>
      </c>
      <c r="D275" t="s">
        <v>389</v>
      </c>
      <c r="E275" t="s">
        <v>686</v>
      </c>
      <c r="F275" t="s">
        <v>2241</v>
      </c>
      <c r="G275" t="s">
        <v>3848</v>
      </c>
      <c r="H275" t="s">
        <v>5464</v>
      </c>
      <c r="I275" t="s">
        <v>6049</v>
      </c>
      <c r="J275">
        <v>10032</v>
      </c>
      <c r="K275" t="s">
        <v>6074</v>
      </c>
      <c r="L275" t="s">
        <v>6074</v>
      </c>
      <c r="M275" t="s">
        <v>6224</v>
      </c>
      <c r="N275" t="s">
        <v>7276</v>
      </c>
      <c r="O275" t="s">
        <v>7306</v>
      </c>
      <c r="P275" t="s">
        <v>7314</v>
      </c>
      <c r="Q275" t="s">
        <v>7322</v>
      </c>
      <c r="R275" t="s">
        <v>6076</v>
      </c>
      <c r="S275" t="s">
        <v>7324</v>
      </c>
      <c r="T275" t="s">
        <v>7336</v>
      </c>
      <c r="U275" t="s">
        <v>378</v>
      </c>
      <c r="V275">
        <v>1726.98</v>
      </c>
      <c r="W275" t="s">
        <v>7365</v>
      </c>
      <c r="X275" t="s">
        <v>7368</v>
      </c>
      <c r="Y275" t="s">
        <v>7386</v>
      </c>
      <c r="Z275" t="s">
        <v>7623</v>
      </c>
      <c r="AA275" t="s">
        <v>9893</v>
      </c>
      <c r="AB275" t="s">
        <v>10457</v>
      </c>
      <c r="AC275">
        <v>127</v>
      </c>
      <c r="AD275" t="s">
        <v>12422</v>
      </c>
      <c r="AF275">
        <v>24</v>
      </c>
      <c r="AG275">
        <v>1</v>
      </c>
      <c r="AH275">
        <v>0</v>
      </c>
      <c r="AI275">
        <v>0</v>
      </c>
      <c r="AL275" t="s">
        <v>12460</v>
      </c>
      <c r="AM275">
        <v>0</v>
      </c>
      <c r="AS275">
        <v>3.15</v>
      </c>
      <c r="AT275" t="s">
        <v>355</v>
      </c>
      <c r="AU275" t="s">
        <v>13106</v>
      </c>
    </row>
    <row r="276" spans="1:48">
      <c r="A276" s="1">
        <f>HYPERLINK("https://cms.ls-nyc.org/matter/dynamic-profile/view/1889022","19-1889022")</f>
        <v>0</v>
      </c>
      <c r="B276" t="s">
        <v>125</v>
      </c>
      <c r="C276" t="s">
        <v>379</v>
      </c>
      <c r="E276" t="s">
        <v>771</v>
      </c>
      <c r="F276" t="s">
        <v>2242</v>
      </c>
      <c r="G276" t="s">
        <v>3849</v>
      </c>
      <c r="H276" t="s">
        <v>5465</v>
      </c>
      <c r="I276" t="s">
        <v>6049</v>
      </c>
      <c r="J276">
        <v>10032</v>
      </c>
      <c r="K276" t="s">
        <v>6074</v>
      </c>
      <c r="L276" t="s">
        <v>6074</v>
      </c>
      <c r="N276" t="s">
        <v>7278</v>
      </c>
      <c r="O276" t="s">
        <v>7306</v>
      </c>
      <c r="Q276" t="s">
        <v>7322</v>
      </c>
      <c r="S276" t="s">
        <v>7324</v>
      </c>
      <c r="U276" t="s">
        <v>379</v>
      </c>
      <c r="V276">
        <v>2297.05</v>
      </c>
      <c r="W276" t="s">
        <v>7365</v>
      </c>
      <c r="X276" t="s">
        <v>7367</v>
      </c>
      <c r="Z276" t="s">
        <v>7624</v>
      </c>
      <c r="AB276" t="s">
        <v>10458</v>
      </c>
      <c r="AC276">
        <v>0</v>
      </c>
      <c r="AD276" t="s">
        <v>12425</v>
      </c>
      <c r="AE276" t="s">
        <v>6110</v>
      </c>
      <c r="AF276">
        <v>20</v>
      </c>
      <c r="AG276">
        <v>3</v>
      </c>
      <c r="AH276">
        <v>0</v>
      </c>
      <c r="AI276">
        <v>0</v>
      </c>
      <c r="AL276" t="s">
        <v>12460</v>
      </c>
      <c r="AM276">
        <v>0</v>
      </c>
      <c r="AS276">
        <v>2</v>
      </c>
      <c r="AT276" t="s">
        <v>371</v>
      </c>
      <c r="AU276" t="s">
        <v>13106</v>
      </c>
    </row>
    <row r="277" spans="1:48">
      <c r="A277" s="1">
        <f>HYPERLINK("https://cms.ls-nyc.org/matter/dynamic-profile/view/1897787","19-1897787")</f>
        <v>0</v>
      </c>
      <c r="B277" t="s">
        <v>132</v>
      </c>
      <c r="C277" t="s">
        <v>263</v>
      </c>
      <c r="E277" t="s">
        <v>772</v>
      </c>
      <c r="F277" t="s">
        <v>2243</v>
      </c>
      <c r="G277" t="s">
        <v>3850</v>
      </c>
      <c r="H277">
        <v>33</v>
      </c>
      <c r="I277" t="s">
        <v>6049</v>
      </c>
      <c r="J277">
        <v>10032</v>
      </c>
      <c r="K277" t="s">
        <v>6074</v>
      </c>
      <c r="L277" t="s">
        <v>6074</v>
      </c>
      <c r="N277" t="s">
        <v>7278</v>
      </c>
      <c r="O277" t="s">
        <v>7306</v>
      </c>
      <c r="Q277" t="s">
        <v>7322</v>
      </c>
      <c r="R277" t="s">
        <v>6076</v>
      </c>
      <c r="S277" t="s">
        <v>7324</v>
      </c>
      <c r="U277" t="s">
        <v>263</v>
      </c>
      <c r="V277">
        <v>1721</v>
      </c>
      <c r="W277" t="s">
        <v>7365</v>
      </c>
      <c r="X277" t="s">
        <v>7367</v>
      </c>
      <c r="Z277" t="s">
        <v>7625</v>
      </c>
      <c r="AC277">
        <v>40</v>
      </c>
      <c r="AD277" t="s">
        <v>12422</v>
      </c>
      <c r="AE277" t="s">
        <v>6110</v>
      </c>
      <c r="AF277">
        <v>18</v>
      </c>
      <c r="AG277">
        <v>4</v>
      </c>
      <c r="AH277">
        <v>2</v>
      </c>
      <c r="AI277">
        <v>0</v>
      </c>
      <c r="AL277" t="s">
        <v>12461</v>
      </c>
      <c r="AM277">
        <v>0</v>
      </c>
      <c r="AS277">
        <v>1</v>
      </c>
      <c r="AT277" t="s">
        <v>263</v>
      </c>
      <c r="AU277" t="s">
        <v>13106</v>
      </c>
    </row>
    <row r="278" spans="1:48">
      <c r="A278" s="1">
        <f>HYPERLINK("https://cms.ls-nyc.org/matter/dynamic-profile/view/1883603","18-1883603")</f>
        <v>0</v>
      </c>
      <c r="B278" t="s">
        <v>133</v>
      </c>
      <c r="C278" t="s">
        <v>380</v>
      </c>
      <c r="D278" t="s">
        <v>429</v>
      </c>
      <c r="E278" t="s">
        <v>637</v>
      </c>
      <c r="F278" t="s">
        <v>2244</v>
      </c>
      <c r="G278" t="s">
        <v>3851</v>
      </c>
      <c r="H278" t="s">
        <v>5466</v>
      </c>
      <c r="I278" t="s">
        <v>6049</v>
      </c>
      <c r="J278">
        <v>10032</v>
      </c>
      <c r="K278" t="s">
        <v>6074</v>
      </c>
      <c r="L278" t="s">
        <v>6074</v>
      </c>
      <c r="O278" t="s">
        <v>7306</v>
      </c>
      <c r="P278" t="s">
        <v>7314</v>
      </c>
      <c r="Q278" t="s">
        <v>7322</v>
      </c>
      <c r="R278" t="s">
        <v>6076</v>
      </c>
      <c r="S278" t="s">
        <v>7324</v>
      </c>
      <c r="U278" t="s">
        <v>558</v>
      </c>
      <c r="V278">
        <v>916.09</v>
      </c>
      <c r="W278" t="s">
        <v>7365</v>
      </c>
      <c r="X278" t="s">
        <v>7367</v>
      </c>
      <c r="Y278" t="s">
        <v>7386</v>
      </c>
      <c r="Z278" t="s">
        <v>7626</v>
      </c>
      <c r="AB278" t="s">
        <v>10459</v>
      </c>
      <c r="AC278">
        <v>115</v>
      </c>
      <c r="AD278" t="s">
        <v>12422</v>
      </c>
      <c r="AE278" t="s">
        <v>6110</v>
      </c>
      <c r="AF278">
        <v>39</v>
      </c>
      <c r="AG278">
        <v>1</v>
      </c>
      <c r="AH278">
        <v>0</v>
      </c>
      <c r="AI278">
        <v>0</v>
      </c>
      <c r="AL278" t="s">
        <v>12460</v>
      </c>
      <c r="AM278">
        <v>0</v>
      </c>
      <c r="AS278">
        <v>1.15</v>
      </c>
      <c r="AT278" t="s">
        <v>429</v>
      </c>
      <c r="AU278" t="s">
        <v>13106</v>
      </c>
    </row>
    <row r="279" spans="1:48">
      <c r="A279" s="1">
        <f>HYPERLINK("https://cms.ls-nyc.org/matter/dynamic-profile/view/1891889","19-1891889")</f>
        <v>0</v>
      </c>
      <c r="B279" t="s">
        <v>133</v>
      </c>
      <c r="C279" t="s">
        <v>329</v>
      </c>
      <c r="D279" t="s">
        <v>313</v>
      </c>
      <c r="E279" t="s">
        <v>773</v>
      </c>
      <c r="F279" t="s">
        <v>2245</v>
      </c>
      <c r="G279" t="s">
        <v>3852</v>
      </c>
      <c r="H279">
        <v>1</v>
      </c>
      <c r="I279" t="s">
        <v>6049</v>
      </c>
      <c r="J279">
        <v>10032</v>
      </c>
      <c r="K279" t="s">
        <v>6074</v>
      </c>
      <c r="L279" t="s">
        <v>6074</v>
      </c>
      <c r="M279" t="s">
        <v>6225</v>
      </c>
      <c r="O279" t="s">
        <v>7306</v>
      </c>
      <c r="P279" t="s">
        <v>7314</v>
      </c>
      <c r="Q279" t="s">
        <v>7322</v>
      </c>
      <c r="R279" t="s">
        <v>6076</v>
      </c>
      <c r="S279" t="s">
        <v>7324</v>
      </c>
      <c r="U279" t="s">
        <v>329</v>
      </c>
      <c r="V279">
        <v>2500</v>
      </c>
      <c r="W279" t="s">
        <v>7365</v>
      </c>
      <c r="X279" t="s">
        <v>7367</v>
      </c>
      <c r="Y279" t="s">
        <v>7386</v>
      </c>
      <c r="Z279" t="s">
        <v>7627</v>
      </c>
      <c r="AA279" t="s">
        <v>9894</v>
      </c>
      <c r="AB279" t="s">
        <v>10460</v>
      </c>
      <c r="AC279">
        <v>0</v>
      </c>
      <c r="AD279" t="s">
        <v>12422</v>
      </c>
      <c r="AE279" t="s">
        <v>6110</v>
      </c>
      <c r="AF279">
        <v>2</v>
      </c>
      <c r="AG279">
        <v>1</v>
      </c>
      <c r="AH279">
        <v>0</v>
      </c>
      <c r="AI279">
        <v>0</v>
      </c>
      <c r="AL279" t="s">
        <v>12460</v>
      </c>
      <c r="AM279">
        <v>0</v>
      </c>
      <c r="AS279">
        <v>1.2</v>
      </c>
      <c r="AT279" t="s">
        <v>313</v>
      </c>
      <c r="AU279" t="s">
        <v>13106</v>
      </c>
    </row>
    <row r="280" spans="1:48">
      <c r="A280" s="1">
        <f>HYPERLINK("https://cms.ls-nyc.org/matter/dynamic-profile/view/1900732","19-1900732")</f>
        <v>0</v>
      </c>
      <c r="B280" t="s">
        <v>125</v>
      </c>
      <c r="C280" t="s">
        <v>381</v>
      </c>
      <c r="E280" t="s">
        <v>774</v>
      </c>
      <c r="F280" t="s">
        <v>2246</v>
      </c>
      <c r="G280" t="s">
        <v>3853</v>
      </c>
      <c r="H280">
        <v>62</v>
      </c>
      <c r="I280" t="s">
        <v>6049</v>
      </c>
      <c r="J280">
        <v>10032</v>
      </c>
      <c r="K280" t="s">
        <v>6074</v>
      </c>
      <c r="L280" t="s">
        <v>6075</v>
      </c>
      <c r="O280" t="s">
        <v>7306</v>
      </c>
      <c r="Q280" t="s">
        <v>7322</v>
      </c>
      <c r="R280" t="s">
        <v>6076</v>
      </c>
      <c r="S280" t="s">
        <v>7324</v>
      </c>
      <c r="U280" t="s">
        <v>381</v>
      </c>
      <c r="V280">
        <v>3990</v>
      </c>
      <c r="W280" t="s">
        <v>7365</v>
      </c>
      <c r="X280" t="s">
        <v>7367</v>
      </c>
      <c r="Z280" t="s">
        <v>7628</v>
      </c>
      <c r="AB280" t="s">
        <v>10461</v>
      </c>
      <c r="AC280">
        <v>35</v>
      </c>
      <c r="AD280" t="s">
        <v>12422</v>
      </c>
      <c r="AE280" t="s">
        <v>6110</v>
      </c>
      <c r="AF280">
        <v>1</v>
      </c>
      <c r="AG280">
        <v>2</v>
      </c>
      <c r="AH280">
        <v>0</v>
      </c>
      <c r="AI280">
        <v>0</v>
      </c>
      <c r="AL280" t="s">
        <v>12460</v>
      </c>
      <c r="AM280">
        <v>0</v>
      </c>
      <c r="AS280">
        <v>1.4</v>
      </c>
      <c r="AT280" t="s">
        <v>381</v>
      </c>
      <c r="AU280" t="s">
        <v>13106</v>
      </c>
      <c r="AV280" t="s">
        <v>13145</v>
      </c>
    </row>
    <row r="281" spans="1:48">
      <c r="A281" s="1">
        <f>HYPERLINK("https://cms.ls-nyc.org/matter/dynamic-profile/view/1900980","19-1900980")</f>
        <v>0</v>
      </c>
      <c r="B281" t="s">
        <v>133</v>
      </c>
      <c r="C281" t="s">
        <v>382</v>
      </c>
      <c r="D281" t="s">
        <v>324</v>
      </c>
      <c r="E281" t="s">
        <v>616</v>
      </c>
      <c r="F281" t="s">
        <v>2247</v>
      </c>
      <c r="G281" t="s">
        <v>3854</v>
      </c>
      <c r="H281">
        <v>7</v>
      </c>
      <c r="I281" t="s">
        <v>6049</v>
      </c>
      <c r="J281">
        <v>10032</v>
      </c>
      <c r="K281" t="s">
        <v>6074</v>
      </c>
      <c r="L281" t="s">
        <v>6075</v>
      </c>
      <c r="O281" t="s">
        <v>7306</v>
      </c>
      <c r="P281" t="s">
        <v>7314</v>
      </c>
      <c r="Q281" t="s">
        <v>7322</v>
      </c>
      <c r="R281" t="s">
        <v>6076</v>
      </c>
      <c r="S281" t="s">
        <v>7324</v>
      </c>
      <c r="U281" t="s">
        <v>382</v>
      </c>
      <c r="V281">
        <v>871</v>
      </c>
      <c r="W281" t="s">
        <v>7365</v>
      </c>
      <c r="X281" t="s">
        <v>7367</v>
      </c>
      <c r="Y281" t="s">
        <v>7386</v>
      </c>
      <c r="Z281" t="s">
        <v>7629</v>
      </c>
      <c r="AB281" t="s">
        <v>10462</v>
      </c>
      <c r="AC281">
        <v>41</v>
      </c>
      <c r="AD281" t="s">
        <v>12422</v>
      </c>
      <c r="AE281" t="s">
        <v>6110</v>
      </c>
      <c r="AF281">
        <v>10</v>
      </c>
      <c r="AG281">
        <v>1</v>
      </c>
      <c r="AH281">
        <v>1</v>
      </c>
      <c r="AI281">
        <v>0</v>
      </c>
      <c r="AL281" t="s">
        <v>12460</v>
      </c>
      <c r="AM281">
        <v>0</v>
      </c>
      <c r="AS281">
        <v>1</v>
      </c>
      <c r="AT281" t="s">
        <v>423</v>
      </c>
      <c r="AU281" t="s">
        <v>13106</v>
      </c>
      <c r="AV281" t="s">
        <v>13145</v>
      </c>
    </row>
    <row r="282" spans="1:48">
      <c r="A282" s="1">
        <f>HYPERLINK("https://cms.ls-nyc.org/matter/dynamic-profile/view/1898439","19-1898439")</f>
        <v>0</v>
      </c>
      <c r="B282" t="s">
        <v>129</v>
      </c>
      <c r="C282" t="s">
        <v>257</v>
      </c>
      <c r="E282" t="s">
        <v>775</v>
      </c>
      <c r="F282" t="s">
        <v>2248</v>
      </c>
      <c r="G282" t="s">
        <v>3855</v>
      </c>
      <c r="H282" t="s">
        <v>5387</v>
      </c>
      <c r="I282" t="s">
        <v>6049</v>
      </c>
      <c r="J282">
        <v>10031</v>
      </c>
      <c r="K282" t="s">
        <v>6074</v>
      </c>
      <c r="L282" t="s">
        <v>6074</v>
      </c>
      <c r="O282" t="s">
        <v>7306</v>
      </c>
      <c r="Q282" t="s">
        <v>7322</v>
      </c>
      <c r="R282" t="s">
        <v>6076</v>
      </c>
      <c r="S282" t="s">
        <v>7324</v>
      </c>
      <c r="U282" t="s">
        <v>257</v>
      </c>
      <c r="V282">
        <v>995</v>
      </c>
      <c r="W282" t="s">
        <v>7365</v>
      </c>
      <c r="X282" t="s">
        <v>7366</v>
      </c>
      <c r="Z282" t="s">
        <v>7630</v>
      </c>
      <c r="AB282" t="s">
        <v>10463</v>
      </c>
      <c r="AC282">
        <v>0</v>
      </c>
      <c r="AD282" t="s">
        <v>12422</v>
      </c>
      <c r="AE282" t="s">
        <v>6110</v>
      </c>
      <c r="AF282">
        <v>25</v>
      </c>
      <c r="AG282">
        <v>1</v>
      </c>
      <c r="AH282">
        <v>0</v>
      </c>
      <c r="AI282">
        <v>0</v>
      </c>
      <c r="AL282" t="s">
        <v>12460</v>
      </c>
      <c r="AM282">
        <v>0</v>
      </c>
      <c r="AS282">
        <v>1.5</v>
      </c>
      <c r="AT282" t="s">
        <v>445</v>
      </c>
      <c r="AU282" t="s">
        <v>13106</v>
      </c>
    </row>
    <row r="283" spans="1:48">
      <c r="A283" s="1">
        <f>HYPERLINK("https://cms.ls-nyc.org/matter/dynamic-profile/view/1892542","19-1892542")</f>
        <v>0</v>
      </c>
      <c r="B283" t="s">
        <v>134</v>
      </c>
      <c r="C283" t="s">
        <v>277</v>
      </c>
      <c r="D283" t="s">
        <v>469</v>
      </c>
      <c r="E283" t="s">
        <v>636</v>
      </c>
      <c r="F283" t="s">
        <v>2249</v>
      </c>
      <c r="G283" t="s">
        <v>3856</v>
      </c>
      <c r="H283" t="s">
        <v>5388</v>
      </c>
      <c r="I283" t="s">
        <v>6049</v>
      </c>
      <c r="J283">
        <v>10029</v>
      </c>
      <c r="K283" t="s">
        <v>6074</v>
      </c>
      <c r="L283" t="s">
        <v>6074</v>
      </c>
      <c r="M283" t="s">
        <v>6226</v>
      </c>
      <c r="N283" t="s">
        <v>7274</v>
      </c>
      <c r="O283" t="s">
        <v>7306</v>
      </c>
      <c r="P283" t="s">
        <v>7314</v>
      </c>
      <c r="Q283" t="s">
        <v>7322</v>
      </c>
      <c r="R283" t="s">
        <v>6076</v>
      </c>
      <c r="S283" t="s">
        <v>7324</v>
      </c>
      <c r="T283" t="s">
        <v>7336</v>
      </c>
      <c r="U283" t="s">
        <v>332</v>
      </c>
      <c r="V283">
        <v>4098</v>
      </c>
      <c r="W283" t="s">
        <v>7365</v>
      </c>
      <c r="X283" t="s">
        <v>7380</v>
      </c>
      <c r="Y283" t="s">
        <v>7386</v>
      </c>
      <c r="Z283" t="s">
        <v>7631</v>
      </c>
      <c r="AB283" t="s">
        <v>10464</v>
      </c>
      <c r="AC283">
        <v>50</v>
      </c>
      <c r="AD283" t="s">
        <v>12422</v>
      </c>
      <c r="AF283">
        <v>10</v>
      </c>
      <c r="AG283">
        <v>1</v>
      </c>
      <c r="AH283">
        <v>0</v>
      </c>
      <c r="AI283">
        <v>0</v>
      </c>
      <c r="AL283" t="s">
        <v>12460</v>
      </c>
      <c r="AM283">
        <v>0</v>
      </c>
      <c r="AS283">
        <v>6.35</v>
      </c>
      <c r="AT283" t="s">
        <v>293</v>
      </c>
      <c r="AU283" t="s">
        <v>13104</v>
      </c>
    </row>
    <row r="284" spans="1:48">
      <c r="A284" s="1">
        <f>HYPERLINK("https://cms.ls-nyc.org/matter/dynamic-profile/view/1893787","19-1893787")</f>
        <v>0</v>
      </c>
      <c r="B284" t="s">
        <v>135</v>
      </c>
      <c r="C284" t="s">
        <v>275</v>
      </c>
      <c r="D284" t="s">
        <v>362</v>
      </c>
      <c r="E284" t="s">
        <v>776</v>
      </c>
      <c r="F284" t="s">
        <v>2250</v>
      </c>
      <c r="G284" t="s">
        <v>3857</v>
      </c>
      <c r="H284">
        <v>6</v>
      </c>
      <c r="I284" t="s">
        <v>6049</v>
      </c>
      <c r="J284">
        <v>10029</v>
      </c>
      <c r="K284" t="s">
        <v>6074</v>
      </c>
      <c r="L284" t="s">
        <v>6074</v>
      </c>
      <c r="N284" t="s">
        <v>7275</v>
      </c>
      <c r="O284" t="s">
        <v>7307</v>
      </c>
      <c r="P284" t="s">
        <v>7314</v>
      </c>
      <c r="Q284" t="s">
        <v>7322</v>
      </c>
      <c r="R284" t="s">
        <v>6076</v>
      </c>
      <c r="S284" t="s">
        <v>7324</v>
      </c>
      <c r="T284" t="s">
        <v>7336</v>
      </c>
      <c r="U284" t="s">
        <v>270</v>
      </c>
      <c r="V284">
        <v>1200</v>
      </c>
      <c r="W284" t="s">
        <v>7365</v>
      </c>
      <c r="X284" t="s">
        <v>7378</v>
      </c>
      <c r="Y284" t="s">
        <v>7386</v>
      </c>
      <c r="Z284" t="s">
        <v>7632</v>
      </c>
      <c r="AC284">
        <v>12</v>
      </c>
      <c r="AD284" t="s">
        <v>12422</v>
      </c>
      <c r="AE284" t="s">
        <v>6110</v>
      </c>
      <c r="AF284">
        <v>19</v>
      </c>
      <c r="AG284">
        <v>1</v>
      </c>
      <c r="AH284">
        <v>0</v>
      </c>
      <c r="AI284">
        <v>0</v>
      </c>
      <c r="AL284" t="s">
        <v>12460</v>
      </c>
      <c r="AM284">
        <v>0</v>
      </c>
      <c r="AS284">
        <v>5.6</v>
      </c>
      <c r="AT284" t="s">
        <v>418</v>
      </c>
      <c r="AU284" t="s">
        <v>13077</v>
      </c>
    </row>
    <row r="285" spans="1:48">
      <c r="A285" s="1">
        <f>HYPERLINK("https://cms.ls-nyc.org/matter/dynamic-profile/view/1877610","18-1877610")</f>
        <v>0</v>
      </c>
      <c r="B285" t="s">
        <v>136</v>
      </c>
      <c r="C285" t="s">
        <v>383</v>
      </c>
      <c r="E285" t="s">
        <v>737</v>
      </c>
      <c r="F285" t="s">
        <v>2235</v>
      </c>
      <c r="G285" t="s">
        <v>3858</v>
      </c>
      <c r="H285" t="s">
        <v>5390</v>
      </c>
      <c r="I285" t="s">
        <v>6049</v>
      </c>
      <c r="J285">
        <v>10029</v>
      </c>
      <c r="K285" t="s">
        <v>6074</v>
      </c>
      <c r="L285" t="s">
        <v>6074</v>
      </c>
      <c r="M285" t="s">
        <v>6227</v>
      </c>
      <c r="N285" t="s">
        <v>7276</v>
      </c>
      <c r="O285" t="s">
        <v>7308</v>
      </c>
      <c r="Q285" t="s">
        <v>7322</v>
      </c>
      <c r="R285" t="s">
        <v>6076</v>
      </c>
      <c r="S285" t="s">
        <v>7324</v>
      </c>
      <c r="T285" t="s">
        <v>7336</v>
      </c>
      <c r="U285" t="s">
        <v>383</v>
      </c>
      <c r="V285">
        <v>711</v>
      </c>
      <c r="W285" t="s">
        <v>7365</v>
      </c>
      <c r="X285" t="s">
        <v>7370</v>
      </c>
      <c r="Z285" t="s">
        <v>7633</v>
      </c>
      <c r="AB285" t="s">
        <v>10465</v>
      </c>
      <c r="AC285">
        <v>15</v>
      </c>
      <c r="AD285" t="s">
        <v>12422</v>
      </c>
      <c r="AE285" t="s">
        <v>12434</v>
      </c>
      <c r="AF285">
        <v>3</v>
      </c>
      <c r="AG285">
        <v>1</v>
      </c>
      <c r="AH285">
        <v>0</v>
      </c>
      <c r="AI285">
        <v>0</v>
      </c>
      <c r="AL285" t="s">
        <v>12460</v>
      </c>
      <c r="AM285">
        <v>0</v>
      </c>
      <c r="AS285">
        <v>1.5</v>
      </c>
      <c r="AT285" t="s">
        <v>13064</v>
      </c>
      <c r="AU285" t="s">
        <v>13107</v>
      </c>
    </row>
    <row r="286" spans="1:48">
      <c r="A286" s="1">
        <f>HYPERLINK("https://cms.ls-nyc.org/matter/dynamic-profile/view/1878287","18-1878287")</f>
        <v>0</v>
      </c>
      <c r="B286" t="s">
        <v>137</v>
      </c>
      <c r="C286" t="s">
        <v>248</v>
      </c>
      <c r="D286" t="s">
        <v>333</v>
      </c>
      <c r="E286" t="s">
        <v>777</v>
      </c>
      <c r="F286" t="s">
        <v>2251</v>
      </c>
      <c r="G286" t="s">
        <v>3859</v>
      </c>
      <c r="H286" t="s">
        <v>5372</v>
      </c>
      <c r="I286" t="s">
        <v>6049</v>
      </c>
      <c r="J286">
        <v>10029</v>
      </c>
      <c r="K286" t="s">
        <v>6074</v>
      </c>
      <c r="L286" t="s">
        <v>6074</v>
      </c>
      <c r="M286" t="s">
        <v>6228</v>
      </c>
      <c r="N286" t="s">
        <v>7276</v>
      </c>
      <c r="O286" t="s">
        <v>7306</v>
      </c>
      <c r="P286" t="s">
        <v>7314</v>
      </c>
      <c r="Q286" t="s">
        <v>7322</v>
      </c>
      <c r="R286" t="s">
        <v>6076</v>
      </c>
      <c r="S286" t="s">
        <v>7324</v>
      </c>
      <c r="T286" t="s">
        <v>7336</v>
      </c>
      <c r="U286" t="s">
        <v>332</v>
      </c>
      <c r="V286">
        <v>1300</v>
      </c>
      <c r="W286" t="s">
        <v>7365</v>
      </c>
      <c r="X286" t="s">
        <v>7368</v>
      </c>
      <c r="Y286" t="s">
        <v>7386</v>
      </c>
      <c r="Z286" t="s">
        <v>7634</v>
      </c>
      <c r="AB286" t="s">
        <v>10466</v>
      </c>
      <c r="AC286">
        <v>18</v>
      </c>
      <c r="AD286" t="s">
        <v>12422</v>
      </c>
      <c r="AE286" t="s">
        <v>6110</v>
      </c>
      <c r="AF286">
        <v>5</v>
      </c>
      <c r="AG286">
        <v>1</v>
      </c>
      <c r="AH286">
        <v>0</v>
      </c>
      <c r="AI286">
        <v>0</v>
      </c>
      <c r="AL286" t="s">
        <v>12460</v>
      </c>
      <c r="AM286">
        <v>0</v>
      </c>
      <c r="AN286" t="s">
        <v>12522</v>
      </c>
      <c r="AS286">
        <v>1</v>
      </c>
      <c r="AT286" t="s">
        <v>248</v>
      </c>
      <c r="AU286" t="s">
        <v>13081</v>
      </c>
      <c r="AV286" t="s">
        <v>13145</v>
      </c>
    </row>
    <row r="287" spans="1:48">
      <c r="A287" s="1">
        <f>HYPERLINK("https://cms.ls-nyc.org/matter/dynamic-profile/view/1894203","19-1894203")</f>
        <v>0</v>
      </c>
      <c r="B287" t="s">
        <v>134</v>
      </c>
      <c r="C287" t="s">
        <v>334</v>
      </c>
      <c r="E287" t="s">
        <v>778</v>
      </c>
      <c r="F287" t="s">
        <v>2252</v>
      </c>
      <c r="G287" t="s">
        <v>3860</v>
      </c>
      <c r="H287">
        <v>16</v>
      </c>
      <c r="I287" t="s">
        <v>6049</v>
      </c>
      <c r="J287">
        <v>10029</v>
      </c>
      <c r="K287" t="s">
        <v>6074</v>
      </c>
      <c r="L287" t="s">
        <v>6074</v>
      </c>
      <c r="N287" t="s">
        <v>7278</v>
      </c>
      <c r="O287" t="s">
        <v>7307</v>
      </c>
      <c r="Q287" t="s">
        <v>7322</v>
      </c>
      <c r="R287" t="s">
        <v>6076</v>
      </c>
      <c r="S287" t="s">
        <v>7324</v>
      </c>
      <c r="T287" t="s">
        <v>7336</v>
      </c>
      <c r="U287" t="s">
        <v>334</v>
      </c>
      <c r="V287">
        <v>2100</v>
      </c>
      <c r="W287" t="s">
        <v>7365</v>
      </c>
      <c r="X287" t="s">
        <v>7371</v>
      </c>
      <c r="Z287" t="s">
        <v>7635</v>
      </c>
      <c r="AB287" t="s">
        <v>10467</v>
      </c>
      <c r="AC287">
        <v>40</v>
      </c>
      <c r="AD287" t="s">
        <v>12422</v>
      </c>
      <c r="AE287" t="s">
        <v>6110</v>
      </c>
      <c r="AF287">
        <v>1</v>
      </c>
      <c r="AG287">
        <v>1</v>
      </c>
      <c r="AH287">
        <v>0</v>
      </c>
      <c r="AI287">
        <v>0</v>
      </c>
      <c r="AL287" t="s">
        <v>12460</v>
      </c>
      <c r="AM287">
        <v>0</v>
      </c>
      <c r="AS287">
        <v>3.25</v>
      </c>
      <c r="AT287" t="s">
        <v>457</v>
      </c>
      <c r="AU287" t="s">
        <v>134</v>
      </c>
    </row>
    <row r="288" spans="1:48">
      <c r="A288" s="1">
        <f>HYPERLINK("https://cms.ls-nyc.org/matter/dynamic-profile/view/1881577","18-1881577")</f>
        <v>0</v>
      </c>
      <c r="B288" t="s">
        <v>138</v>
      </c>
      <c r="C288" t="s">
        <v>298</v>
      </c>
      <c r="E288" t="s">
        <v>779</v>
      </c>
      <c r="F288" t="s">
        <v>2253</v>
      </c>
      <c r="G288" t="s">
        <v>3861</v>
      </c>
      <c r="H288">
        <v>3</v>
      </c>
      <c r="I288" t="s">
        <v>6049</v>
      </c>
      <c r="J288">
        <v>10027</v>
      </c>
      <c r="K288" t="s">
        <v>6074</v>
      </c>
      <c r="L288" t="s">
        <v>6074</v>
      </c>
      <c r="N288" t="s">
        <v>6104</v>
      </c>
      <c r="O288" t="s">
        <v>7306</v>
      </c>
      <c r="Q288" t="s">
        <v>7322</v>
      </c>
      <c r="R288" t="s">
        <v>6076</v>
      </c>
      <c r="S288" t="s">
        <v>7324</v>
      </c>
      <c r="U288" t="s">
        <v>7343</v>
      </c>
      <c r="V288">
        <v>1428</v>
      </c>
      <c r="W288" t="s">
        <v>7365</v>
      </c>
      <c r="X288" t="s">
        <v>7367</v>
      </c>
      <c r="Z288" t="s">
        <v>7636</v>
      </c>
      <c r="AB288" t="s">
        <v>10468</v>
      </c>
      <c r="AC288">
        <v>7</v>
      </c>
      <c r="AD288" t="s">
        <v>12422</v>
      </c>
      <c r="AE288" t="s">
        <v>6110</v>
      </c>
      <c r="AF288">
        <v>5</v>
      </c>
      <c r="AG288">
        <v>1</v>
      </c>
      <c r="AH288">
        <v>0</v>
      </c>
      <c r="AI288">
        <v>0</v>
      </c>
      <c r="AL288" t="s">
        <v>12460</v>
      </c>
      <c r="AM288">
        <v>0</v>
      </c>
      <c r="AS288">
        <v>0</v>
      </c>
      <c r="AU288" t="s">
        <v>13111</v>
      </c>
    </row>
    <row r="289" spans="1:48">
      <c r="A289" s="1">
        <f>HYPERLINK("https://cms.ls-nyc.org/matter/dynamic-profile/view/1874185","18-1874185")</f>
        <v>0</v>
      </c>
      <c r="B289" t="s">
        <v>139</v>
      </c>
      <c r="C289" t="s">
        <v>384</v>
      </c>
      <c r="D289" t="s">
        <v>409</v>
      </c>
      <c r="E289" t="s">
        <v>780</v>
      </c>
      <c r="F289" t="s">
        <v>2254</v>
      </c>
      <c r="G289" t="s">
        <v>3862</v>
      </c>
      <c r="H289" t="s">
        <v>5411</v>
      </c>
      <c r="I289" t="s">
        <v>6049</v>
      </c>
      <c r="J289">
        <v>10025</v>
      </c>
      <c r="K289" t="s">
        <v>6074</v>
      </c>
      <c r="L289" t="s">
        <v>6074</v>
      </c>
      <c r="N289" t="s">
        <v>6104</v>
      </c>
      <c r="O289" t="s">
        <v>7306</v>
      </c>
      <c r="P289" t="s">
        <v>7314</v>
      </c>
      <c r="Q289" t="s">
        <v>7322</v>
      </c>
      <c r="R289" t="s">
        <v>6076</v>
      </c>
      <c r="S289" t="s">
        <v>7324</v>
      </c>
      <c r="U289" t="s">
        <v>384</v>
      </c>
      <c r="V289">
        <v>723.04</v>
      </c>
      <c r="W289" t="s">
        <v>7365</v>
      </c>
      <c r="X289" t="s">
        <v>7375</v>
      </c>
      <c r="Y289" t="s">
        <v>7386</v>
      </c>
      <c r="Z289" t="s">
        <v>7637</v>
      </c>
      <c r="AC289">
        <v>403</v>
      </c>
      <c r="AD289" t="s">
        <v>12422</v>
      </c>
      <c r="AE289" t="s">
        <v>6110</v>
      </c>
      <c r="AF289">
        <v>50</v>
      </c>
      <c r="AG289">
        <v>2</v>
      </c>
      <c r="AH289">
        <v>0</v>
      </c>
      <c r="AI289">
        <v>0</v>
      </c>
      <c r="AL289" t="s">
        <v>12460</v>
      </c>
      <c r="AM289">
        <v>0</v>
      </c>
      <c r="AS289">
        <v>0.9</v>
      </c>
      <c r="AT289" t="s">
        <v>401</v>
      </c>
      <c r="AU289" t="s">
        <v>13106</v>
      </c>
    </row>
    <row r="290" spans="1:48">
      <c r="A290" s="1">
        <f>HYPERLINK("https://cms.ls-nyc.org/matter/dynamic-profile/view/1878345","18-1878345")</f>
        <v>0</v>
      </c>
      <c r="B290" t="s">
        <v>140</v>
      </c>
      <c r="C290" t="s">
        <v>373</v>
      </c>
      <c r="E290" t="s">
        <v>781</v>
      </c>
      <c r="F290" t="s">
        <v>2255</v>
      </c>
      <c r="G290" t="s">
        <v>3863</v>
      </c>
      <c r="H290" t="s">
        <v>5467</v>
      </c>
      <c r="I290" t="s">
        <v>6049</v>
      </c>
      <c r="J290">
        <v>10024</v>
      </c>
      <c r="K290" t="s">
        <v>6074</v>
      </c>
      <c r="L290" t="s">
        <v>6075</v>
      </c>
      <c r="M290" t="s">
        <v>6229</v>
      </c>
      <c r="N290" t="s">
        <v>7276</v>
      </c>
      <c r="O290" t="s">
        <v>7308</v>
      </c>
      <c r="Q290" t="s">
        <v>7322</v>
      </c>
      <c r="R290" t="s">
        <v>6076</v>
      </c>
      <c r="S290" t="s">
        <v>7324</v>
      </c>
      <c r="U290" t="s">
        <v>373</v>
      </c>
      <c r="V290">
        <v>1344</v>
      </c>
      <c r="W290" t="s">
        <v>7365</v>
      </c>
      <c r="X290" t="s">
        <v>7367</v>
      </c>
      <c r="Z290" t="s">
        <v>7638</v>
      </c>
      <c r="AB290" t="s">
        <v>10469</v>
      </c>
      <c r="AC290">
        <v>64</v>
      </c>
      <c r="AD290" t="s">
        <v>12422</v>
      </c>
      <c r="AE290" t="s">
        <v>7305</v>
      </c>
      <c r="AF290">
        <v>38</v>
      </c>
      <c r="AG290">
        <v>1</v>
      </c>
      <c r="AH290">
        <v>0</v>
      </c>
      <c r="AI290">
        <v>0</v>
      </c>
      <c r="AL290" t="s">
        <v>12460</v>
      </c>
      <c r="AM290">
        <v>0</v>
      </c>
      <c r="AS290">
        <v>76.5</v>
      </c>
      <c r="AT290" t="s">
        <v>418</v>
      </c>
      <c r="AU290" t="s">
        <v>13107</v>
      </c>
    </row>
    <row r="291" spans="1:48">
      <c r="A291" s="1">
        <f>HYPERLINK("https://cms.ls-nyc.org/matter/dynamic-profile/view/1884428","18-1884428")</f>
        <v>0</v>
      </c>
      <c r="B291" t="s">
        <v>141</v>
      </c>
      <c r="C291" t="s">
        <v>345</v>
      </c>
      <c r="E291" t="s">
        <v>782</v>
      </c>
      <c r="F291" t="s">
        <v>2256</v>
      </c>
      <c r="G291" t="s">
        <v>3864</v>
      </c>
      <c r="H291" t="s">
        <v>5378</v>
      </c>
      <c r="I291" t="s">
        <v>6049</v>
      </c>
      <c r="J291">
        <v>10021</v>
      </c>
      <c r="K291" t="s">
        <v>6074</v>
      </c>
      <c r="L291" t="s">
        <v>6074</v>
      </c>
      <c r="M291" t="s">
        <v>6230</v>
      </c>
      <c r="N291" t="s">
        <v>7274</v>
      </c>
      <c r="O291" t="s">
        <v>7307</v>
      </c>
      <c r="Q291" t="s">
        <v>7322</v>
      </c>
      <c r="R291" t="s">
        <v>6076</v>
      </c>
      <c r="S291" t="s">
        <v>7324</v>
      </c>
      <c r="U291" t="s">
        <v>345</v>
      </c>
      <c r="V291">
        <v>2250</v>
      </c>
      <c r="W291" t="s">
        <v>7365</v>
      </c>
      <c r="X291" t="s">
        <v>7366</v>
      </c>
      <c r="Z291" t="s">
        <v>7639</v>
      </c>
      <c r="AB291" t="s">
        <v>10470</v>
      </c>
      <c r="AC291">
        <v>53</v>
      </c>
      <c r="AE291" t="s">
        <v>6110</v>
      </c>
      <c r="AF291">
        <v>10</v>
      </c>
      <c r="AG291">
        <v>1</v>
      </c>
      <c r="AH291">
        <v>0</v>
      </c>
      <c r="AI291">
        <v>0</v>
      </c>
      <c r="AL291" t="s">
        <v>12460</v>
      </c>
      <c r="AM291">
        <v>0</v>
      </c>
      <c r="AS291">
        <v>0.65</v>
      </c>
      <c r="AT291" t="s">
        <v>300</v>
      </c>
      <c r="AU291" t="s">
        <v>13109</v>
      </c>
    </row>
    <row r="292" spans="1:48">
      <c r="A292" s="1">
        <f>HYPERLINK("https://cms.ls-nyc.org/matter/dynamic-profile/view/1886406","18-1886406")</f>
        <v>0</v>
      </c>
      <c r="B292" t="s">
        <v>72</v>
      </c>
      <c r="C292" t="s">
        <v>385</v>
      </c>
      <c r="E292" t="s">
        <v>783</v>
      </c>
      <c r="F292" t="s">
        <v>2257</v>
      </c>
      <c r="G292" t="s">
        <v>3700</v>
      </c>
      <c r="H292" t="s">
        <v>5468</v>
      </c>
      <c r="I292" t="s">
        <v>6043</v>
      </c>
      <c r="J292">
        <v>11233</v>
      </c>
      <c r="K292" t="s">
        <v>6074</v>
      </c>
      <c r="L292" t="s">
        <v>6074</v>
      </c>
      <c r="M292" t="s">
        <v>6104</v>
      </c>
      <c r="N292" t="s">
        <v>7279</v>
      </c>
      <c r="O292" t="s">
        <v>7309</v>
      </c>
      <c r="Q292" t="s">
        <v>7322</v>
      </c>
      <c r="R292" t="s">
        <v>6074</v>
      </c>
      <c r="S292" t="s">
        <v>7324</v>
      </c>
      <c r="T292" t="s">
        <v>7336</v>
      </c>
      <c r="U292" t="s">
        <v>389</v>
      </c>
      <c r="V292">
        <v>1036</v>
      </c>
      <c r="W292" t="s">
        <v>7362</v>
      </c>
      <c r="X292" t="s">
        <v>7370</v>
      </c>
      <c r="Z292" t="s">
        <v>7640</v>
      </c>
      <c r="AB292" t="s">
        <v>10471</v>
      </c>
      <c r="AC292">
        <v>764</v>
      </c>
      <c r="AD292" t="s">
        <v>12422</v>
      </c>
      <c r="AE292" t="s">
        <v>12434</v>
      </c>
      <c r="AF292">
        <v>13</v>
      </c>
      <c r="AG292">
        <v>2</v>
      </c>
      <c r="AH292">
        <v>4</v>
      </c>
      <c r="AI292">
        <v>0.06</v>
      </c>
      <c r="AL292" t="s">
        <v>12460</v>
      </c>
      <c r="AM292">
        <v>20</v>
      </c>
      <c r="AS292">
        <v>0</v>
      </c>
      <c r="AU292" t="s">
        <v>180</v>
      </c>
    </row>
    <row r="293" spans="1:48">
      <c r="A293" s="1">
        <f>HYPERLINK("https://cms.ls-nyc.org/matter/dynamic-profile/view/1894768","19-1894768")</f>
        <v>0</v>
      </c>
      <c r="B293" t="s">
        <v>68</v>
      </c>
      <c r="C293" t="s">
        <v>386</v>
      </c>
      <c r="D293" t="s">
        <v>317</v>
      </c>
      <c r="E293" t="s">
        <v>689</v>
      </c>
      <c r="F293" t="s">
        <v>2258</v>
      </c>
      <c r="G293" t="s">
        <v>3865</v>
      </c>
      <c r="H293" t="s">
        <v>5361</v>
      </c>
      <c r="I293" t="s">
        <v>6043</v>
      </c>
      <c r="J293">
        <v>11208</v>
      </c>
      <c r="K293" t="s">
        <v>6074</v>
      </c>
      <c r="L293" t="s">
        <v>6074</v>
      </c>
      <c r="M293" t="s">
        <v>6231</v>
      </c>
      <c r="N293" t="s">
        <v>7276</v>
      </c>
      <c r="P293" t="s">
        <v>7317</v>
      </c>
      <c r="Q293" t="s">
        <v>7322</v>
      </c>
      <c r="R293" t="s">
        <v>6076</v>
      </c>
      <c r="S293" t="s">
        <v>7324</v>
      </c>
      <c r="U293" t="s">
        <v>417</v>
      </c>
      <c r="V293">
        <v>1980</v>
      </c>
      <c r="W293" t="s">
        <v>7362</v>
      </c>
      <c r="X293" t="s">
        <v>7368</v>
      </c>
      <c r="Y293" t="s">
        <v>7388</v>
      </c>
      <c r="Z293" t="s">
        <v>7641</v>
      </c>
      <c r="AB293" t="s">
        <v>10472</v>
      </c>
      <c r="AC293">
        <v>0</v>
      </c>
      <c r="AD293" t="s">
        <v>12419</v>
      </c>
      <c r="AE293" t="s">
        <v>12435</v>
      </c>
      <c r="AF293">
        <v>0</v>
      </c>
      <c r="AG293">
        <v>2</v>
      </c>
      <c r="AH293">
        <v>5</v>
      </c>
      <c r="AI293">
        <v>0.77</v>
      </c>
      <c r="AL293" t="s">
        <v>12460</v>
      </c>
      <c r="AM293">
        <v>300</v>
      </c>
      <c r="AS293">
        <v>6.8</v>
      </c>
      <c r="AT293" t="s">
        <v>317</v>
      </c>
      <c r="AU293" t="s">
        <v>180</v>
      </c>
    </row>
    <row r="294" spans="1:48">
      <c r="A294" s="1">
        <f>HYPERLINK("https://cms.ls-nyc.org/matter/dynamic-profile/view/1896730","19-1896730")</f>
        <v>0</v>
      </c>
      <c r="B294" t="s">
        <v>78</v>
      </c>
      <c r="C294" t="s">
        <v>387</v>
      </c>
      <c r="E294" t="s">
        <v>784</v>
      </c>
      <c r="F294" t="s">
        <v>2059</v>
      </c>
      <c r="G294" t="s">
        <v>3866</v>
      </c>
      <c r="H294" t="s">
        <v>5387</v>
      </c>
      <c r="I294" t="s">
        <v>6043</v>
      </c>
      <c r="J294">
        <v>11206</v>
      </c>
      <c r="K294" t="s">
        <v>6074</v>
      </c>
      <c r="L294" t="s">
        <v>6074</v>
      </c>
      <c r="M294" t="s">
        <v>6232</v>
      </c>
      <c r="N294" t="s">
        <v>7276</v>
      </c>
      <c r="O294" t="s">
        <v>7308</v>
      </c>
      <c r="Q294" t="s">
        <v>7322</v>
      </c>
      <c r="R294" t="s">
        <v>6076</v>
      </c>
      <c r="S294" t="s">
        <v>7324</v>
      </c>
      <c r="T294" t="s">
        <v>7336</v>
      </c>
      <c r="U294" t="s">
        <v>315</v>
      </c>
      <c r="V294">
        <v>1245</v>
      </c>
      <c r="W294" t="s">
        <v>7362</v>
      </c>
      <c r="X294" t="s">
        <v>7368</v>
      </c>
      <c r="Z294" t="s">
        <v>7642</v>
      </c>
      <c r="AA294" t="s">
        <v>9895</v>
      </c>
      <c r="AC294">
        <v>8</v>
      </c>
      <c r="AD294" t="s">
        <v>12422</v>
      </c>
      <c r="AF294">
        <v>2</v>
      </c>
      <c r="AG294">
        <v>2</v>
      </c>
      <c r="AH294">
        <v>0</v>
      </c>
      <c r="AI294">
        <v>1.27</v>
      </c>
      <c r="AL294" t="s">
        <v>12460</v>
      </c>
      <c r="AM294">
        <v>215</v>
      </c>
      <c r="AN294" t="s">
        <v>12523</v>
      </c>
      <c r="AS294">
        <v>17.1</v>
      </c>
      <c r="AT294" t="s">
        <v>445</v>
      </c>
      <c r="AU294" t="s">
        <v>78</v>
      </c>
      <c r="AV294" t="s">
        <v>13145</v>
      </c>
    </row>
    <row r="295" spans="1:48">
      <c r="A295" s="1">
        <f>HYPERLINK("https://cms.ls-nyc.org/matter/dynamic-profile/view/1887144","19-1887144")</f>
        <v>0</v>
      </c>
      <c r="B295" t="s">
        <v>70</v>
      </c>
      <c r="C295" t="s">
        <v>284</v>
      </c>
      <c r="E295" t="s">
        <v>652</v>
      </c>
      <c r="F295" t="s">
        <v>1894</v>
      </c>
      <c r="G295" t="s">
        <v>3721</v>
      </c>
      <c r="H295" t="s">
        <v>5398</v>
      </c>
      <c r="I295" t="s">
        <v>6043</v>
      </c>
      <c r="J295">
        <v>11226</v>
      </c>
      <c r="K295" t="s">
        <v>6074</v>
      </c>
      <c r="L295" t="s">
        <v>6074</v>
      </c>
      <c r="M295" t="s">
        <v>6233</v>
      </c>
      <c r="N295" t="s">
        <v>7279</v>
      </c>
      <c r="O295" t="s">
        <v>7311</v>
      </c>
      <c r="Q295" t="s">
        <v>7322</v>
      </c>
      <c r="R295" t="s">
        <v>6074</v>
      </c>
      <c r="S295" t="s">
        <v>7324</v>
      </c>
      <c r="U295" t="s">
        <v>429</v>
      </c>
      <c r="V295">
        <v>820</v>
      </c>
      <c r="W295" t="s">
        <v>7362</v>
      </c>
      <c r="X295" t="s">
        <v>7376</v>
      </c>
      <c r="Z295" t="s">
        <v>7493</v>
      </c>
      <c r="AC295">
        <v>43</v>
      </c>
      <c r="AD295" t="s">
        <v>12422</v>
      </c>
      <c r="AF295">
        <v>32</v>
      </c>
      <c r="AG295">
        <v>4</v>
      </c>
      <c r="AH295">
        <v>2</v>
      </c>
      <c r="AI295">
        <v>1.39</v>
      </c>
      <c r="AL295" t="s">
        <v>12460</v>
      </c>
      <c r="AM295">
        <v>468</v>
      </c>
      <c r="AO295" t="s">
        <v>12847</v>
      </c>
      <c r="AS295">
        <v>0.1</v>
      </c>
      <c r="AT295" t="s">
        <v>276</v>
      </c>
      <c r="AU295" t="s">
        <v>88</v>
      </c>
      <c r="AV295" t="s">
        <v>13145</v>
      </c>
    </row>
    <row r="296" spans="1:48">
      <c r="A296" s="1">
        <f>HYPERLINK("https://cms.ls-nyc.org/matter/dynamic-profile/view/1880898","18-1880898")</f>
        <v>0</v>
      </c>
      <c r="B296" t="s">
        <v>99</v>
      </c>
      <c r="C296" t="s">
        <v>333</v>
      </c>
      <c r="D296" t="s">
        <v>341</v>
      </c>
      <c r="E296" t="s">
        <v>785</v>
      </c>
      <c r="F296" t="s">
        <v>2259</v>
      </c>
      <c r="G296" t="s">
        <v>3867</v>
      </c>
      <c r="H296" t="s">
        <v>5456</v>
      </c>
      <c r="I296" t="s">
        <v>6047</v>
      </c>
      <c r="J296">
        <v>10466</v>
      </c>
      <c r="K296" t="s">
        <v>6074</v>
      </c>
      <c r="L296" t="s">
        <v>6074</v>
      </c>
      <c r="M296" t="s">
        <v>6234</v>
      </c>
      <c r="N296" t="s">
        <v>7276</v>
      </c>
      <c r="O296" t="s">
        <v>7306</v>
      </c>
      <c r="P296" t="s">
        <v>7314</v>
      </c>
      <c r="Q296" t="s">
        <v>7322</v>
      </c>
      <c r="R296" t="s">
        <v>6076</v>
      </c>
      <c r="S296" t="s">
        <v>7324</v>
      </c>
      <c r="T296" t="s">
        <v>7339</v>
      </c>
      <c r="U296" t="s">
        <v>333</v>
      </c>
      <c r="V296">
        <v>0</v>
      </c>
      <c r="W296" t="s">
        <v>7363</v>
      </c>
      <c r="X296" t="s">
        <v>7376</v>
      </c>
      <c r="Y296" t="s">
        <v>7386</v>
      </c>
      <c r="Z296" t="s">
        <v>7643</v>
      </c>
      <c r="AA296" t="s">
        <v>9896</v>
      </c>
      <c r="AB296" t="s">
        <v>10473</v>
      </c>
      <c r="AC296">
        <v>3</v>
      </c>
      <c r="AD296" t="s">
        <v>12419</v>
      </c>
      <c r="AE296" t="s">
        <v>12433</v>
      </c>
      <c r="AF296">
        <v>0</v>
      </c>
      <c r="AG296">
        <v>2</v>
      </c>
      <c r="AH296">
        <v>3</v>
      </c>
      <c r="AI296">
        <v>1.51</v>
      </c>
      <c r="AL296" t="s">
        <v>12460</v>
      </c>
      <c r="AM296">
        <v>444</v>
      </c>
      <c r="AS296">
        <v>0.6</v>
      </c>
      <c r="AT296" t="s">
        <v>333</v>
      </c>
      <c r="AU296" t="s">
        <v>99</v>
      </c>
    </row>
    <row r="297" spans="1:48">
      <c r="A297" s="1">
        <f>HYPERLINK("https://cms.ls-nyc.org/matter/dynamic-profile/view/1882692","18-1882692")</f>
        <v>0</v>
      </c>
      <c r="B297" t="s">
        <v>71</v>
      </c>
      <c r="C297" t="s">
        <v>296</v>
      </c>
      <c r="D297" t="s">
        <v>300</v>
      </c>
      <c r="E297" t="s">
        <v>786</v>
      </c>
      <c r="F297" t="s">
        <v>2260</v>
      </c>
      <c r="G297" t="s">
        <v>3868</v>
      </c>
      <c r="H297" t="s">
        <v>5469</v>
      </c>
      <c r="I297" t="s">
        <v>6043</v>
      </c>
      <c r="J297">
        <v>11212</v>
      </c>
      <c r="K297" t="s">
        <v>6074</v>
      </c>
      <c r="L297" t="s">
        <v>6074</v>
      </c>
      <c r="O297" t="s">
        <v>7307</v>
      </c>
      <c r="P297" t="s">
        <v>7315</v>
      </c>
      <c r="Q297" t="s">
        <v>7322</v>
      </c>
      <c r="S297" t="s">
        <v>7324</v>
      </c>
      <c r="U297" t="s">
        <v>296</v>
      </c>
      <c r="V297">
        <v>600</v>
      </c>
      <c r="W297" t="s">
        <v>7362</v>
      </c>
      <c r="X297" t="s">
        <v>7367</v>
      </c>
      <c r="Y297" t="s">
        <v>7386</v>
      </c>
      <c r="Z297" t="s">
        <v>7644</v>
      </c>
      <c r="AA297" t="s">
        <v>9897</v>
      </c>
      <c r="AB297" t="s">
        <v>10474</v>
      </c>
      <c r="AC297">
        <v>2</v>
      </c>
      <c r="AF297">
        <v>1</v>
      </c>
      <c r="AG297">
        <v>1</v>
      </c>
      <c r="AH297">
        <v>0</v>
      </c>
      <c r="AI297">
        <v>2.57</v>
      </c>
      <c r="AL297" t="s">
        <v>12466</v>
      </c>
      <c r="AM297">
        <v>312</v>
      </c>
      <c r="AS297">
        <v>2.1</v>
      </c>
      <c r="AT297" t="s">
        <v>300</v>
      </c>
      <c r="AU297" t="s">
        <v>13084</v>
      </c>
    </row>
    <row r="298" spans="1:48">
      <c r="A298" s="1">
        <f>HYPERLINK("https://cms.ls-nyc.org/matter/dynamic-profile/view/1872015","18-1872015")</f>
        <v>0</v>
      </c>
      <c r="B298" t="s">
        <v>115</v>
      </c>
      <c r="C298" t="s">
        <v>388</v>
      </c>
      <c r="E298" t="s">
        <v>787</v>
      </c>
      <c r="F298" t="s">
        <v>2261</v>
      </c>
      <c r="G298" t="s">
        <v>3869</v>
      </c>
      <c r="H298">
        <v>315</v>
      </c>
      <c r="I298" t="s">
        <v>6047</v>
      </c>
      <c r="J298">
        <v>10459</v>
      </c>
      <c r="K298" t="s">
        <v>6074</v>
      </c>
      <c r="L298" t="s">
        <v>6074</v>
      </c>
      <c r="M298" t="s">
        <v>6235</v>
      </c>
      <c r="N298" t="s">
        <v>7274</v>
      </c>
      <c r="O298" t="s">
        <v>7308</v>
      </c>
      <c r="Q298" t="s">
        <v>7322</v>
      </c>
      <c r="R298" t="s">
        <v>6076</v>
      </c>
      <c r="S298" t="s">
        <v>7324</v>
      </c>
      <c r="T298" t="s">
        <v>7336</v>
      </c>
      <c r="U298" t="s">
        <v>388</v>
      </c>
      <c r="V298">
        <v>1640.18</v>
      </c>
      <c r="W298" t="s">
        <v>7363</v>
      </c>
      <c r="X298" t="s">
        <v>7377</v>
      </c>
      <c r="Z298" t="s">
        <v>7645</v>
      </c>
      <c r="AB298" t="s">
        <v>10475</v>
      </c>
      <c r="AC298">
        <v>123</v>
      </c>
      <c r="AD298" t="s">
        <v>12422</v>
      </c>
      <c r="AE298" t="s">
        <v>6110</v>
      </c>
      <c r="AF298">
        <v>11</v>
      </c>
      <c r="AG298">
        <v>2</v>
      </c>
      <c r="AH298">
        <v>0</v>
      </c>
      <c r="AI298">
        <v>2.92</v>
      </c>
      <c r="AL298" t="s">
        <v>12460</v>
      </c>
      <c r="AM298">
        <v>480</v>
      </c>
      <c r="AN298" t="s">
        <v>12513</v>
      </c>
      <c r="AS298">
        <v>43.2</v>
      </c>
      <c r="AT298" t="s">
        <v>391</v>
      </c>
      <c r="AU298" t="s">
        <v>13081</v>
      </c>
    </row>
    <row r="299" spans="1:48">
      <c r="A299" s="1">
        <f>HYPERLINK("https://cms.ls-nyc.org/matter/dynamic-profile/view/1886227","18-1886227")</f>
        <v>0</v>
      </c>
      <c r="B299" t="s">
        <v>101</v>
      </c>
      <c r="C299" t="s">
        <v>389</v>
      </c>
      <c r="E299" t="s">
        <v>788</v>
      </c>
      <c r="F299" t="s">
        <v>2262</v>
      </c>
      <c r="G299" t="s">
        <v>3870</v>
      </c>
      <c r="H299" t="s">
        <v>5364</v>
      </c>
      <c r="I299" t="s">
        <v>6047</v>
      </c>
      <c r="J299">
        <v>10452</v>
      </c>
      <c r="K299" t="s">
        <v>6074</v>
      </c>
      <c r="L299" t="s">
        <v>6074</v>
      </c>
      <c r="N299" t="s">
        <v>7288</v>
      </c>
      <c r="O299" t="s">
        <v>7306</v>
      </c>
      <c r="Q299" t="s">
        <v>7322</v>
      </c>
      <c r="R299" t="s">
        <v>6076</v>
      </c>
      <c r="S299" t="s">
        <v>7331</v>
      </c>
      <c r="T299" t="s">
        <v>7336</v>
      </c>
      <c r="U299" t="s">
        <v>389</v>
      </c>
      <c r="V299">
        <v>462</v>
      </c>
      <c r="W299" t="s">
        <v>7363</v>
      </c>
      <c r="X299" t="s">
        <v>7376</v>
      </c>
      <c r="Z299" t="s">
        <v>7646</v>
      </c>
      <c r="AB299" t="s">
        <v>10476</v>
      </c>
      <c r="AC299">
        <v>40</v>
      </c>
      <c r="AD299" t="s">
        <v>12422</v>
      </c>
      <c r="AE299" t="s">
        <v>12434</v>
      </c>
      <c r="AF299">
        <v>6</v>
      </c>
      <c r="AG299">
        <v>1</v>
      </c>
      <c r="AH299">
        <v>1</v>
      </c>
      <c r="AI299">
        <v>3.28</v>
      </c>
      <c r="AL299" t="s">
        <v>12461</v>
      </c>
      <c r="AM299">
        <v>540</v>
      </c>
      <c r="AS299">
        <v>2</v>
      </c>
      <c r="AT299" t="s">
        <v>410</v>
      </c>
      <c r="AU299" t="s">
        <v>98</v>
      </c>
    </row>
    <row r="300" spans="1:48">
      <c r="A300" s="1">
        <f>HYPERLINK("https://cms.ls-nyc.org/matter/dynamic-profile/view/1895311","19-1895311")</f>
        <v>0</v>
      </c>
      <c r="B300" t="s">
        <v>142</v>
      </c>
      <c r="C300" t="s">
        <v>247</v>
      </c>
      <c r="E300" t="s">
        <v>789</v>
      </c>
      <c r="F300" t="s">
        <v>2263</v>
      </c>
      <c r="G300" t="s">
        <v>3871</v>
      </c>
      <c r="H300" t="s">
        <v>5357</v>
      </c>
      <c r="I300" t="s">
        <v>6043</v>
      </c>
      <c r="J300">
        <v>11213</v>
      </c>
      <c r="K300" t="s">
        <v>6074</v>
      </c>
      <c r="L300" t="s">
        <v>6074</v>
      </c>
      <c r="N300" t="s">
        <v>7287</v>
      </c>
      <c r="O300" t="s">
        <v>7312</v>
      </c>
      <c r="Q300" t="s">
        <v>7322</v>
      </c>
      <c r="R300" t="s">
        <v>6074</v>
      </c>
      <c r="S300" t="s">
        <v>7329</v>
      </c>
      <c r="U300" t="s">
        <v>247</v>
      </c>
      <c r="V300">
        <v>643.51</v>
      </c>
      <c r="W300" t="s">
        <v>7362</v>
      </c>
      <c r="X300" t="s">
        <v>7305</v>
      </c>
      <c r="Z300" t="s">
        <v>7647</v>
      </c>
      <c r="AB300" t="s">
        <v>10477</v>
      </c>
      <c r="AC300">
        <v>19</v>
      </c>
      <c r="AD300" t="s">
        <v>12422</v>
      </c>
      <c r="AE300" t="s">
        <v>6110</v>
      </c>
      <c r="AF300">
        <v>7</v>
      </c>
      <c r="AG300">
        <v>2</v>
      </c>
      <c r="AH300">
        <v>2</v>
      </c>
      <c r="AI300">
        <v>3.96</v>
      </c>
      <c r="AL300" t="s">
        <v>12460</v>
      </c>
      <c r="AM300">
        <v>1020</v>
      </c>
      <c r="AS300">
        <v>0.2</v>
      </c>
      <c r="AT300" t="s">
        <v>505</v>
      </c>
      <c r="AU300" t="s">
        <v>180</v>
      </c>
    </row>
    <row r="301" spans="1:48">
      <c r="A301" s="1">
        <f>HYPERLINK("https://cms.ls-nyc.org/matter/dynamic-profile/view/1887906","19-1887906")</f>
        <v>0</v>
      </c>
      <c r="B301" t="s">
        <v>80</v>
      </c>
      <c r="C301" t="s">
        <v>390</v>
      </c>
      <c r="E301" t="s">
        <v>789</v>
      </c>
      <c r="F301" t="s">
        <v>2263</v>
      </c>
      <c r="G301" t="s">
        <v>3871</v>
      </c>
      <c r="H301" t="s">
        <v>5357</v>
      </c>
      <c r="I301" t="s">
        <v>6043</v>
      </c>
      <c r="J301">
        <v>11213</v>
      </c>
      <c r="K301" t="s">
        <v>6074</v>
      </c>
      <c r="L301" t="s">
        <v>6074</v>
      </c>
      <c r="N301" t="s">
        <v>7279</v>
      </c>
      <c r="O301" t="s">
        <v>7311</v>
      </c>
      <c r="Q301" t="s">
        <v>7322</v>
      </c>
      <c r="R301" t="s">
        <v>6074</v>
      </c>
      <c r="S301" t="s">
        <v>7324</v>
      </c>
      <c r="U301" t="s">
        <v>502</v>
      </c>
      <c r="V301">
        <v>643.51</v>
      </c>
      <c r="W301" t="s">
        <v>7362</v>
      </c>
      <c r="X301" t="s">
        <v>7305</v>
      </c>
      <c r="Z301" t="s">
        <v>7647</v>
      </c>
      <c r="AB301" t="s">
        <v>10477</v>
      </c>
      <c r="AC301">
        <v>19</v>
      </c>
      <c r="AD301" t="s">
        <v>12422</v>
      </c>
      <c r="AE301" t="s">
        <v>6110</v>
      </c>
      <c r="AF301">
        <v>7</v>
      </c>
      <c r="AG301">
        <v>2</v>
      </c>
      <c r="AH301">
        <v>2</v>
      </c>
      <c r="AI301">
        <v>4.06</v>
      </c>
      <c r="AL301" t="s">
        <v>12460</v>
      </c>
      <c r="AM301">
        <v>1020</v>
      </c>
      <c r="AS301">
        <v>0</v>
      </c>
      <c r="AU301" t="s">
        <v>180</v>
      </c>
    </row>
    <row r="302" spans="1:48">
      <c r="A302" s="1">
        <f>HYPERLINK("https://cms.ls-nyc.org/matter/dynamic-profile/view/1886256","18-1886256")</f>
        <v>0</v>
      </c>
      <c r="B302" t="s">
        <v>98</v>
      </c>
      <c r="C302" t="s">
        <v>389</v>
      </c>
      <c r="D302" t="s">
        <v>346</v>
      </c>
      <c r="E302" t="s">
        <v>790</v>
      </c>
      <c r="F302" t="s">
        <v>1647</v>
      </c>
      <c r="G302" t="s">
        <v>3872</v>
      </c>
      <c r="H302" t="s">
        <v>5470</v>
      </c>
      <c r="I302" t="s">
        <v>6047</v>
      </c>
      <c r="J302">
        <v>10474</v>
      </c>
      <c r="K302" t="s">
        <v>6074</v>
      </c>
      <c r="L302" t="s">
        <v>6074</v>
      </c>
      <c r="M302" t="s">
        <v>6236</v>
      </c>
      <c r="N302" t="s">
        <v>7276</v>
      </c>
      <c r="O302" t="s">
        <v>7306</v>
      </c>
      <c r="P302" t="s">
        <v>7314</v>
      </c>
      <c r="Q302" t="s">
        <v>7322</v>
      </c>
      <c r="R302" t="s">
        <v>6076</v>
      </c>
      <c r="S302" t="s">
        <v>7324</v>
      </c>
      <c r="T302" t="s">
        <v>7342</v>
      </c>
      <c r="U302" t="s">
        <v>300</v>
      </c>
      <c r="V302">
        <v>1175</v>
      </c>
      <c r="W302" t="s">
        <v>7363</v>
      </c>
      <c r="X302" t="s">
        <v>7376</v>
      </c>
      <c r="Y302" t="s">
        <v>7386</v>
      </c>
      <c r="Z302" t="s">
        <v>7544</v>
      </c>
      <c r="AB302" t="s">
        <v>10478</v>
      </c>
      <c r="AC302">
        <v>100</v>
      </c>
      <c r="AD302" t="s">
        <v>12421</v>
      </c>
      <c r="AE302" t="s">
        <v>7305</v>
      </c>
      <c r="AF302">
        <v>14</v>
      </c>
      <c r="AG302">
        <v>2</v>
      </c>
      <c r="AH302">
        <v>3</v>
      </c>
      <c r="AI302">
        <v>4.08</v>
      </c>
      <c r="AL302" t="s">
        <v>12461</v>
      </c>
      <c r="AM302">
        <v>1200</v>
      </c>
      <c r="AS302">
        <v>1.5</v>
      </c>
      <c r="AT302" t="s">
        <v>300</v>
      </c>
      <c r="AU302" t="s">
        <v>98</v>
      </c>
    </row>
    <row r="303" spans="1:48">
      <c r="A303" s="1">
        <f>HYPERLINK("https://cms.ls-nyc.org/matter/dynamic-profile/view/1872502","18-1872502")</f>
        <v>0</v>
      </c>
      <c r="B303" t="s">
        <v>131</v>
      </c>
      <c r="C303" t="s">
        <v>376</v>
      </c>
      <c r="D303" t="s">
        <v>365</v>
      </c>
      <c r="E303" t="s">
        <v>791</v>
      </c>
      <c r="F303" t="s">
        <v>2264</v>
      </c>
      <c r="G303" t="s">
        <v>3873</v>
      </c>
      <c r="H303" t="s">
        <v>5364</v>
      </c>
      <c r="I303" t="s">
        <v>6049</v>
      </c>
      <c r="J303">
        <v>10034</v>
      </c>
      <c r="K303" t="s">
        <v>6074</v>
      </c>
      <c r="L303" t="s">
        <v>6074</v>
      </c>
      <c r="O303" t="s">
        <v>7307</v>
      </c>
      <c r="P303" t="s">
        <v>7315</v>
      </c>
      <c r="Q303" t="s">
        <v>7322</v>
      </c>
      <c r="R303" t="s">
        <v>6076</v>
      </c>
      <c r="S303" t="s">
        <v>7324</v>
      </c>
      <c r="U303" t="s">
        <v>376</v>
      </c>
      <c r="V303">
        <v>0</v>
      </c>
      <c r="W303" t="s">
        <v>7365</v>
      </c>
      <c r="X303" t="s">
        <v>7367</v>
      </c>
      <c r="Y303" t="s">
        <v>7387</v>
      </c>
      <c r="Z303" t="s">
        <v>7648</v>
      </c>
      <c r="AC303">
        <v>17</v>
      </c>
      <c r="AD303" t="s">
        <v>12422</v>
      </c>
      <c r="AE303" t="s">
        <v>6110</v>
      </c>
      <c r="AF303">
        <v>9</v>
      </c>
      <c r="AG303">
        <v>1</v>
      </c>
      <c r="AH303">
        <v>0</v>
      </c>
      <c r="AI303">
        <v>5.93</v>
      </c>
      <c r="AL303" t="s">
        <v>12461</v>
      </c>
      <c r="AM303">
        <v>720</v>
      </c>
      <c r="AS303">
        <v>0.1</v>
      </c>
      <c r="AT303" t="s">
        <v>365</v>
      </c>
      <c r="AU303" t="s">
        <v>13106</v>
      </c>
    </row>
    <row r="304" spans="1:48">
      <c r="A304" s="1">
        <f>HYPERLINK("https://cms.ls-nyc.org/matter/dynamic-profile/view/1895282","19-1895282")</f>
        <v>0</v>
      </c>
      <c r="B304" t="s">
        <v>54</v>
      </c>
      <c r="C304" t="s">
        <v>247</v>
      </c>
      <c r="E304" t="s">
        <v>792</v>
      </c>
      <c r="F304" t="s">
        <v>2265</v>
      </c>
      <c r="G304" t="s">
        <v>3657</v>
      </c>
      <c r="H304" t="s">
        <v>5471</v>
      </c>
      <c r="I304" t="s">
        <v>6025</v>
      </c>
      <c r="J304">
        <v>11691</v>
      </c>
      <c r="K304" t="s">
        <v>6074</v>
      </c>
      <c r="L304" t="s">
        <v>6074</v>
      </c>
      <c r="N304" t="s">
        <v>6104</v>
      </c>
      <c r="O304" t="s">
        <v>7307</v>
      </c>
      <c r="Q304" t="s">
        <v>7322</v>
      </c>
      <c r="S304" t="s">
        <v>7324</v>
      </c>
      <c r="U304" t="s">
        <v>322</v>
      </c>
      <c r="V304">
        <v>1500</v>
      </c>
      <c r="W304" t="s">
        <v>7361</v>
      </c>
      <c r="Z304" t="s">
        <v>7649</v>
      </c>
      <c r="AC304">
        <v>917</v>
      </c>
      <c r="AD304" t="s">
        <v>12422</v>
      </c>
      <c r="AE304" t="s">
        <v>12434</v>
      </c>
      <c r="AF304">
        <v>5</v>
      </c>
      <c r="AG304">
        <v>1</v>
      </c>
      <c r="AH304">
        <v>0</v>
      </c>
      <c r="AI304">
        <v>6.1</v>
      </c>
      <c r="AL304" t="s">
        <v>12460</v>
      </c>
      <c r="AM304">
        <v>762</v>
      </c>
      <c r="AS304">
        <v>0.5</v>
      </c>
      <c r="AT304" t="s">
        <v>280</v>
      </c>
      <c r="AU304" t="s">
        <v>54</v>
      </c>
    </row>
    <row r="305" spans="1:48">
      <c r="A305" s="1">
        <f>HYPERLINK("https://cms.ls-nyc.org/matter/dynamic-profile/view/1880194","18-1880194")</f>
        <v>0</v>
      </c>
      <c r="B305" t="s">
        <v>120</v>
      </c>
      <c r="C305" t="s">
        <v>391</v>
      </c>
      <c r="E305" t="s">
        <v>793</v>
      </c>
      <c r="F305" t="s">
        <v>2266</v>
      </c>
      <c r="G305" t="s">
        <v>3817</v>
      </c>
      <c r="H305">
        <v>60</v>
      </c>
      <c r="I305" t="s">
        <v>6048</v>
      </c>
      <c r="J305">
        <v>10304</v>
      </c>
      <c r="K305" t="s">
        <v>6074</v>
      </c>
      <c r="L305" t="s">
        <v>6074</v>
      </c>
      <c r="M305" t="s">
        <v>6237</v>
      </c>
      <c r="N305" t="s">
        <v>7276</v>
      </c>
      <c r="O305" t="s">
        <v>7308</v>
      </c>
      <c r="Q305" t="s">
        <v>7322</v>
      </c>
      <c r="R305" t="s">
        <v>6076</v>
      </c>
      <c r="S305" t="s">
        <v>7331</v>
      </c>
      <c r="T305" t="s">
        <v>7336</v>
      </c>
      <c r="U305" t="s">
        <v>331</v>
      </c>
      <c r="V305">
        <v>1120</v>
      </c>
      <c r="W305" t="s">
        <v>7364</v>
      </c>
      <c r="X305" t="s">
        <v>7368</v>
      </c>
      <c r="Z305" t="s">
        <v>7650</v>
      </c>
      <c r="AB305" t="s">
        <v>10479</v>
      </c>
      <c r="AC305">
        <v>150</v>
      </c>
      <c r="AD305" t="s">
        <v>12421</v>
      </c>
      <c r="AF305">
        <v>6</v>
      </c>
      <c r="AG305">
        <v>1</v>
      </c>
      <c r="AH305">
        <v>0</v>
      </c>
      <c r="AI305">
        <v>6.62</v>
      </c>
      <c r="AL305" t="s">
        <v>12460</v>
      </c>
      <c r="AM305">
        <v>804</v>
      </c>
      <c r="AS305">
        <v>18.35</v>
      </c>
      <c r="AT305" t="s">
        <v>381</v>
      </c>
      <c r="AU305" t="s">
        <v>210</v>
      </c>
    </row>
    <row r="306" spans="1:48">
      <c r="A306" s="1">
        <f>HYPERLINK("https://cms.ls-nyc.org/matter/dynamic-profile/view/1892917","19-1892917")</f>
        <v>0</v>
      </c>
      <c r="B306" t="s">
        <v>81</v>
      </c>
      <c r="C306" t="s">
        <v>356</v>
      </c>
      <c r="E306" t="s">
        <v>636</v>
      </c>
      <c r="F306" t="s">
        <v>2267</v>
      </c>
      <c r="G306" t="s">
        <v>3874</v>
      </c>
      <c r="H306" t="s">
        <v>5439</v>
      </c>
      <c r="I306" t="s">
        <v>6043</v>
      </c>
      <c r="J306">
        <v>11225</v>
      </c>
      <c r="K306" t="s">
        <v>6074</v>
      </c>
      <c r="L306" t="s">
        <v>6074</v>
      </c>
      <c r="N306" t="s">
        <v>7282</v>
      </c>
      <c r="O306" t="s">
        <v>7308</v>
      </c>
      <c r="Q306" t="s">
        <v>7322</v>
      </c>
      <c r="S306" t="s">
        <v>7324</v>
      </c>
      <c r="U306" t="s">
        <v>477</v>
      </c>
      <c r="V306">
        <v>1108.02</v>
      </c>
      <c r="W306" t="s">
        <v>7362</v>
      </c>
      <c r="Z306" t="s">
        <v>7651</v>
      </c>
      <c r="AA306" t="s">
        <v>9898</v>
      </c>
      <c r="AB306" t="s">
        <v>10480</v>
      </c>
      <c r="AC306">
        <v>0</v>
      </c>
      <c r="AF306">
        <v>13</v>
      </c>
      <c r="AG306">
        <v>1</v>
      </c>
      <c r="AH306">
        <v>0</v>
      </c>
      <c r="AI306">
        <v>6.85</v>
      </c>
      <c r="AL306" t="s">
        <v>12460</v>
      </c>
      <c r="AM306">
        <v>855.36</v>
      </c>
      <c r="AS306">
        <v>2</v>
      </c>
      <c r="AT306" t="s">
        <v>302</v>
      </c>
      <c r="AU306" t="s">
        <v>88</v>
      </c>
      <c r="AV306" t="s">
        <v>13145</v>
      </c>
    </row>
    <row r="307" spans="1:48">
      <c r="A307" s="1">
        <f>HYPERLINK("https://cms.ls-nyc.org/matter/dynamic-profile/view/1879764","18-1879764")</f>
        <v>0</v>
      </c>
      <c r="B307" t="s">
        <v>81</v>
      </c>
      <c r="C307" t="s">
        <v>277</v>
      </c>
      <c r="E307" t="s">
        <v>636</v>
      </c>
      <c r="F307" t="s">
        <v>2267</v>
      </c>
      <c r="G307" t="s">
        <v>3874</v>
      </c>
      <c r="H307" t="s">
        <v>5439</v>
      </c>
      <c r="I307" t="s">
        <v>6043</v>
      </c>
      <c r="J307">
        <v>11225</v>
      </c>
      <c r="K307" t="s">
        <v>6074</v>
      </c>
      <c r="L307" t="s">
        <v>6074</v>
      </c>
      <c r="N307" t="s">
        <v>7282</v>
      </c>
      <c r="O307" t="s">
        <v>7308</v>
      </c>
      <c r="Q307" t="s">
        <v>7322</v>
      </c>
      <c r="S307" t="s">
        <v>7324</v>
      </c>
      <c r="U307" t="s">
        <v>477</v>
      </c>
      <c r="V307">
        <v>0</v>
      </c>
      <c r="W307" t="s">
        <v>7362</v>
      </c>
      <c r="Z307" t="s">
        <v>7651</v>
      </c>
      <c r="AA307" t="s">
        <v>9898</v>
      </c>
      <c r="AB307" t="s">
        <v>10480</v>
      </c>
      <c r="AC307">
        <v>0</v>
      </c>
      <c r="AF307">
        <v>0</v>
      </c>
      <c r="AG307">
        <v>1</v>
      </c>
      <c r="AH307">
        <v>0</v>
      </c>
      <c r="AI307">
        <v>7.05</v>
      </c>
      <c r="AL307" t="s">
        <v>12460</v>
      </c>
      <c r="AM307">
        <v>855.36</v>
      </c>
      <c r="AS307">
        <v>0</v>
      </c>
      <c r="AU307" t="s">
        <v>69</v>
      </c>
    </row>
    <row r="308" spans="1:48">
      <c r="A308" s="1">
        <f>HYPERLINK("https://cms.ls-nyc.org/matter/dynamic-profile/view/1894369","19-1894369")</f>
        <v>0</v>
      </c>
      <c r="B308" t="s">
        <v>74</v>
      </c>
      <c r="C308" t="s">
        <v>392</v>
      </c>
      <c r="E308" t="s">
        <v>794</v>
      </c>
      <c r="F308" t="s">
        <v>2268</v>
      </c>
      <c r="G308" t="s">
        <v>3875</v>
      </c>
      <c r="H308" t="s">
        <v>5351</v>
      </c>
      <c r="I308" t="s">
        <v>6043</v>
      </c>
      <c r="J308">
        <v>11231</v>
      </c>
      <c r="K308" t="s">
        <v>6074</v>
      </c>
      <c r="L308" t="s">
        <v>6074</v>
      </c>
      <c r="M308" t="s">
        <v>6238</v>
      </c>
      <c r="N308" t="s">
        <v>7274</v>
      </c>
      <c r="O308" t="s">
        <v>7308</v>
      </c>
      <c r="Q308" t="s">
        <v>7322</v>
      </c>
      <c r="R308" t="s">
        <v>6076</v>
      </c>
      <c r="S308" t="s">
        <v>7324</v>
      </c>
      <c r="T308" t="s">
        <v>7336</v>
      </c>
      <c r="U308" t="s">
        <v>392</v>
      </c>
      <c r="V308">
        <v>0</v>
      </c>
      <c r="W308" t="s">
        <v>7362</v>
      </c>
      <c r="X308" t="s">
        <v>7369</v>
      </c>
      <c r="Z308" t="s">
        <v>7652</v>
      </c>
      <c r="AC308">
        <v>3</v>
      </c>
      <c r="AD308" t="s">
        <v>12419</v>
      </c>
      <c r="AE308" t="s">
        <v>6110</v>
      </c>
      <c r="AF308">
        <v>0</v>
      </c>
      <c r="AG308">
        <v>1</v>
      </c>
      <c r="AH308">
        <v>1</v>
      </c>
      <c r="AI308">
        <v>7.1</v>
      </c>
      <c r="AL308" t="s">
        <v>12463</v>
      </c>
      <c r="AM308">
        <v>1200</v>
      </c>
      <c r="AS308">
        <v>6.5</v>
      </c>
      <c r="AT308" t="s">
        <v>392</v>
      </c>
      <c r="AU308" t="s">
        <v>180</v>
      </c>
    </row>
    <row r="309" spans="1:48">
      <c r="A309" s="1">
        <f>HYPERLINK("https://cms.ls-nyc.org/matter/dynamic-profile/view/1894373","19-1894373")</f>
        <v>0</v>
      </c>
      <c r="B309" t="s">
        <v>74</v>
      </c>
      <c r="C309" t="s">
        <v>392</v>
      </c>
      <c r="E309" t="s">
        <v>794</v>
      </c>
      <c r="F309" t="s">
        <v>2268</v>
      </c>
      <c r="G309" t="s">
        <v>3875</v>
      </c>
      <c r="H309" t="s">
        <v>5351</v>
      </c>
      <c r="I309" t="s">
        <v>6043</v>
      </c>
      <c r="J309">
        <v>11231</v>
      </c>
      <c r="K309" t="s">
        <v>6074</v>
      </c>
      <c r="L309" t="s">
        <v>6074</v>
      </c>
      <c r="M309" t="s">
        <v>6239</v>
      </c>
      <c r="N309" t="s">
        <v>7274</v>
      </c>
      <c r="O309" t="s">
        <v>7308</v>
      </c>
      <c r="Q309" t="s">
        <v>7322</v>
      </c>
      <c r="R309" t="s">
        <v>6076</v>
      </c>
      <c r="S309" t="s">
        <v>7324</v>
      </c>
      <c r="T309" t="s">
        <v>7336</v>
      </c>
      <c r="U309" t="s">
        <v>392</v>
      </c>
      <c r="V309">
        <v>0</v>
      </c>
      <c r="W309" t="s">
        <v>7362</v>
      </c>
      <c r="X309" t="s">
        <v>7369</v>
      </c>
      <c r="Z309" t="s">
        <v>7652</v>
      </c>
      <c r="AC309">
        <v>3</v>
      </c>
      <c r="AD309" t="s">
        <v>12419</v>
      </c>
      <c r="AE309" t="s">
        <v>6110</v>
      </c>
      <c r="AF309">
        <v>0</v>
      </c>
      <c r="AG309">
        <v>1</v>
      </c>
      <c r="AH309">
        <v>1</v>
      </c>
      <c r="AI309">
        <v>7.1</v>
      </c>
      <c r="AL309" t="s">
        <v>12463</v>
      </c>
      <c r="AM309">
        <v>1200</v>
      </c>
      <c r="AS309">
        <v>34.3</v>
      </c>
      <c r="AT309" t="s">
        <v>445</v>
      </c>
      <c r="AU309" t="s">
        <v>180</v>
      </c>
    </row>
    <row r="310" spans="1:48">
      <c r="A310" s="1">
        <f>HYPERLINK("https://cms.ls-nyc.org/matter/dynamic-profile/view/1881125","18-1881125")</f>
        <v>0</v>
      </c>
      <c r="B310" t="s">
        <v>118</v>
      </c>
      <c r="C310" t="s">
        <v>298</v>
      </c>
      <c r="E310" t="s">
        <v>795</v>
      </c>
      <c r="F310" t="s">
        <v>2269</v>
      </c>
      <c r="G310" t="s">
        <v>3876</v>
      </c>
      <c r="H310" t="s">
        <v>5387</v>
      </c>
      <c r="I310" t="s">
        <v>6048</v>
      </c>
      <c r="J310">
        <v>10301</v>
      </c>
      <c r="K310" t="s">
        <v>6074</v>
      </c>
      <c r="L310" t="s">
        <v>6074</v>
      </c>
      <c r="M310" t="s">
        <v>6240</v>
      </c>
      <c r="N310" t="s">
        <v>7276</v>
      </c>
      <c r="O310" t="s">
        <v>7308</v>
      </c>
      <c r="Q310" t="s">
        <v>7322</v>
      </c>
      <c r="R310" t="s">
        <v>6076</v>
      </c>
      <c r="S310" t="s">
        <v>7324</v>
      </c>
      <c r="T310" t="s">
        <v>7340</v>
      </c>
      <c r="U310" t="s">
        <v>298</v>
      </c>
      <c r="V310">
        <v>1650</v>
      </c>
      <c r="W310" t="s">
        <v>7364</v>
      </c>
      <c r="X310" t="s">
        <v>7305</v>
      </c>
      <c r="Z310" t="s">
        <v>7653</v>
      </c>
      <c r="AC310">
        <v>5</v>
      </c>
      <c r="AD310" t="s">
        <v>12419</v>
      </c>
      <c r="AE310" t="s">
        <v>6110</v>
      </c>
      <c r="AF310">
        <v>5</v>
      </c>
      <c r="AG310">
        <v>2</v>
      </c>
      <c r="AH310">
        <v>2</v>
      </c>
      <c r="AI310">
        <v>7.17</v>
      </c>
      <c r="AL310" t="s">
        <v>12460</v>
      </c>
      <c r="AM310">
        <v>1800</v>
      </c>
      <c r="AS310">
        <v>26.1</v>
      </c>
      <c r="AT310" t="s">
        <v>460</v>
      </c>
      <c r="AU310" t="s">
        <v>210</v>
      </c>
    </row>
    <row r="311" spans="1:48">
      <c r="A311" s="1">
        <f>HYPERLINK("https://cms.ls-nyc.org/matter/dynamic-profile/view/1881267","18-1881267")</f>
        <v>0</v>
      </c>
      <c r="B311" t="s">
        <v>70</v>
      </c>
      <c r="C311" t="s">
        <v>240</v>
      </c>
      <c r="D311" t="s">
        <v>362</v>
      </c>
      <c r="E311" t="s">
        <v>796</v>
      </c>
      <c r="F311" t="s">
        <v>2139</v>
      </c>
      <c r="G311" t="s">
        <v>3759</v>
      </c>
      <c r="H311" t="s">
        <v>5472</v>
      </c>
      <c r="I311" t="s">
        <v>6043</v>
      </c>
      <c r="J311">
        <v>11203</v>
      </c>
      <c r="K311" t="s">
        <v>6074</v>
      </c>
      <c r="L311" t="s">
        <v>6074</v>
      </c>
      <c r="N311" t="s">
        <v>7275</v>
      </c>
      <c r="O311" t="s">
        <v>7309</v>
      </c>
      <c r="P311" t="s">
        <v>7317</v>
      </c>
      <c r="Q311" t="s">
        <v>7322</v>
      </c>
      <c r="R311" t="s">
        <v>6074</v>
      </c>
      <c r="S311" t="s">
        <v>7324</v>
      </c>
      <c r="U311" t="s">
        <v>240</v>
      </c>
      <c r="V311">
        <v>0</v>
      </c>
      <c r="W311" t="s">
        <v>7362</v>
      </c>
      <c r="X311" t="s">
        <v>7368</v>
      </c>
      <c r="Y311" t="s">
        <v>7394</v>
      </c>
      <c r="Z311" t="s">
        <v>7654</v>
      </c>
      <c r="AB311" t="s">
        <v>9856</v>
      </c>
      <c r="AC311">
        <v>0</v>
      </c>
      <c r="AD311" t="s">
        <v>12422</v>
      </c>
      <c r="AF311">
        <v>41</v>
      </c>
      <c r="AG311">
        <v>2</v>
      </c>
      <c r="AH311">
        <v>0</v>
      </c>
      <c r="AI311">
        <v>7.29</v>
      </c>
      <c r="AL311" t="s">
        <v>12460</v>
      </c>
      <c r="AM311">
        <v>1200</v>
      </c>
      <c r="AQ311" t="s">
        <v>12909</v>
      </c>
      <c r="AR311" t="s">
        <v>12937</v>
      </c>
      <c r="AS311">
        <v>1.25</v>
      </c>
      <c r="AT311" t="s">
        <v>362</v>
      </c>
      <c r="AU311" t="s">
        <v>13084</v>
      </c>
    </row>
    <row r="312" spans="1:48">
      <c r="A312" s="1">
        <f>HYPERLINK("https://cms.ls-nyc.org/matter/dynamic-profile/view/1884239","18-1884239")</f>
        <v>0</v>
      </c>
      <c r="B312" t="s">
        <v>103</v>
      </c>
      <c r="C312" t="s">
        <v>297</v>
      </c>
      <c r="E312" t="s">
        <v>767</v>
      </c>
      <c r="F312" t="s">
        <v>2270</v>
      </c>
      <c r="G312" t="s">
        <v>3877</v>
      </c>
      <c r="H312" t="s">
        <v>5473</v>
      </c>
      <c r="I312" t="s">
        <v>6047</v>
      </c>
      <c r="J312">
        <v>10458</v>
      </c>
      <c r="K312" t="s">
        <v>6074</v>
      </c>
      <c r="L312" t="s">
        <v>6074</v>
      </c>
      <c r="M312" t="s">
        <v>6241</v>
      </c>
      <c r="N312" t="s">
        <v>7276</v>
      </c>
      <c r="O312" t="s">
        <v>7308</v>
      </c>
      <c r="Q312" t="s">
        <v>7322</v>
      </c>
      <c r="S312" t="s">
        <v>7324</v>
      </c>
      <c r="U312" t="s">
        <v>297</v>
      </c>
      <c r="V312">
        <v>2600</v>
      </c>
      <c r="W312" t="s">
        <v>7363</v>
      </c>
      <c r="X312" t="s">
        <v>7366</v>
      </c>
      <c r="Z312" t="s">
        <v>7655</v>
      </c>
      <c r="AA312" t="s">
        <v>9899</v>
      </c>
      <c r="AB312" t="s">
        <v>10481</v>
      </c>
      <c r="AC312">
        <v>0</v>
      </c>
      <c r="AD312" t="s">
        <v>6322</v>
      </c>
      <c r="AF312">
        <v>0</v>
      </c>
      <c r="AG312">
        <v>1</v>
      </c>
      <c r="AH312">
        <v>2</v>
      </c>
      <c r="AI312">
        <v>7.38</v>
      </c>
      <c r="AL312" t="s">
        <v>12461</v>
      </c>
      <c r="AM312">
        <v>1534</v>
      </c>
      <c r="AS312">
        <v>9.300000000000001</v>
      </c>
      <c r="AT312" t="s">
        <v>341</v>
      </c>
      <c r="AU312" t="s">
        <v>13112</v>
      </c>
    </row>
    <row r="313" spans="1:48">
      <c r="A313" s="1">
        <f>HYPERLINK("https://cms.ls-nyc.org/matter/dynamic-profile/view/1891009","19-1891009")</f>
        <v>0</v>
      </c>
      <c r="B313" t="s">
        <v>97</v>
      </c>
      <c r="C313" t="s">
        <v>393</v>
      </c>
      <c r="D313" t="s">
        <v>367</v>
      </c>
      <c r="E313" t="s">
        <v>684</v>
      </c>
      <c r="F313" t="s">
        <v>2271</v>
      </c>
      <c r="G313" t="s">
        <v>3878</v>
      </c>
      <c r="H313" t="s">
        <v>5402</v>
      </c>
      <c r="I313" t="s">
        <v>6047</v>
      </c>
      <c r="J313">
        <v>10459</v>
      </c>
      <c r="K313" t="s">
        <v>6074</v>
      </c>
      <c r="L313" t="s">
        <v>6074</v>
      </c>
      <c r="N313" t="s">
        <v>6104</v>
      </c>
      <c r="O313" t="s">
        <v>7307</v>
      </c>
      <c r="P313" t="s">
        <v>7315</v>
      </c>
      <c r="Q313" t="s">
        <v>7322</v>
      </c>
      <c r="R313" t="s">
        <v>6076</v>
      </c>
      <c r="S313" t="s">
        <v>7324</v>
      </c>
      <c r="U313" t="s">
        <v>251</v>
      </c>
      <c r="V313">
        <v>1048.5</v>
      </c>
      <c r="W313" t="s">
        <v>7363</v>
      </c>
      <c r="X313" t="s">
        <v>7376</v>
      </c>
      <c r="Y313" t="s">
        <v>7386</v>
      </c>
      <c r="Z313" t="s">
        <v>7656</v>
      </c>
      <c r="AB313" t="s">
        <v>10482</v>
      </c>
      <c r="AC313">
        <v>9</v>
      </c>
      <c r="AD313" t="s">
        <v>12422</v>
      </c>
      <c r="AE313" t="s">
        <v>6110</v>
      </c>
      <c r="AF313">
        <v>5</v>
      </c>
      <c r="AG313">
        <v>1</v>
      </c>
      <c r="AH313">
        <v>0</v>
      </c>
      <c r="AI313">
        <v>8.01</v>
      </c>
      <c r="AL313" t="s">
        <v>12460</v>
      </c>
      <c r="AM313">
        <v>1000</v>
      </c>
      <c r="AS313">
        <v>3.05</v>
      </c>
      <c r="AT313" t="s">
        <v>367</v>
      </c>
      <c r="AU313" t="s">
        <v>97</v>
      </c>
    </row>
    <row r="314" spans="1:48">
      <c r="A314" s="1">
        <f>HYPERLINK("https://cms.ls-nyc.org/matter/dynamic-profile/view/1873456","18-1873456")</f>
        <v>0</v>
      </c>
      <c r="B314" t="s">
        <v>72</v>
      </c>
      <c r="C314" t="s">
        <v>394</v>
      </c>
      <c r="D314" t="s">
        <v>495</v>
      </c>
      <c r="E314" t="s">
        <v>797</v>
      </c>
      <c r="F314" t="s">
        <v>2272</v>
      </c>
      <c r="G314" t="s">
        <v>3879</v>
      </c>
      <c r="H314" t="s">
        <v>5398</v>
      </c>
      <c r="I314" t="s">
        <v>6043</v>
      </c>
      <c r="J314">
        <v>11217</v>
      </c>
      <c r="K314" t="s">
        <v>6074</v>
      </c>
      <c r="L314" t="s">
        <v>6074</v>
      </c>
      <c r="M314" t="s">
        <v>6242</v>
      </c>
      <c r="N314" t="s">
        <v>7274</v>
      </c>
      <c r="O314" t="s">
        <v>7306</v>
      </c>
      <c r="P314" t="s">
        <v>7314</v>
      </c>
      <c r="Q314" t="s">
        <v>7322</v>
      </c>
      <c r="R314" t="s">
        <v>6076</v>
      </c>
      <c r="S314" t="s">
        <v>7324</v>
      </c>
      <c r="U314" t="s">
        <v>394</v>
      </c>
      <c r="V314">
        <v>1113.78</v>
      </c>
      <c r="W314" t="s">
        <v>7362</v>
      </c>
      <c r="X314" t="s">
        <v>7368</v>
      </c>
      <c r="Y314" t="s">
        <v>7388</v>
      </c>
      <c r="Z314" t="s">
        <v>7657</v>
      </c>
      <c r="AA314" t="s">
        <v>9900</v>
      </c>
      <c r="AB314" t="s">
        <v>10483</v>
      </c>
      <c r="AC314">
        <v>36</v>
      </c>
      <c r="AD314" t="s">
        <v>12422</v>
      </c>
      <c r="AE314" t="s">
        <v>12437</v>
      </c>
      <c r="AF314">
        <v>20</v>
      </c>
      <c r="AG314">
        <v>1</v>
      </c>
      <c r="AH314">
        <v>0</v>
      </c>
      <c r="AI314">
        <v>8.199999999999999</v>
      </c>
      <c r="AL314" t="s">
        <v>12460</v>
      </c>
      <c r="AM314">
        <v>996</v>
      </c>
      <c r="AS314">
        <v>0.5</v>
      </c>
      <c r="AT314" t="s">
        <v>495</v>
      </c>
      <c r="AU314" t="s">
        <v>72</v>
      </c>
    </row>
    <row r="315" spans="1:48">
      <c r="A315" s="1">
        <f>HYPERLINK("https://cms.ls-nyc.org/matter/dynamic-profile/view/1891547","19-1891547")</f>
        <v>0</v>
      </c>
      <c r="B315" t="s">
        <v>109</v>
      </c>
      <c r="C315" t="s">
        <v>278</v>
      </c>
      <c r="D315" t="s">
        <v>235</v>
      </c>
      <c r="E315" t="s">
        <v>737</v>
      </c>
      <c r="F315" t="s">
        <v>2273</v>
      </c>
      <c r="G315" t="s">
        <v>3880</v>
      </c>
      <c r="H315">
        <v>1</v>
      </c>
      <c r="I315" t="s">
        <v>6047</v>
      </c>
      <c r="J315">
        <v>10453</v>
      </c>
      <c r="K315" t="s">
        <v>6074</v>
      </c>
      <c r="L315" t="s">
        <v>6074</v>
      </c>
      <c r="M315" t="s">
        <v>6243</v>
      </c>
      <c r="N315" t="s">
        <v>7276</v>
      </c>
      <c r="O315" t="s">
        <v>7306</v>
      </c>
      <c r="P315" t="s">
        <v>7314</v>
      </c>
      <c r="Q315" t="s">
        <v>7322</v>
      </c>
      <c r="R315" t="s">
        <v>6076</v>
      </c>
      <c r="S315" t="s">
        <v>7324</v>
      </c>
      <c r="T315" t="s">
        <v>7339</v>
      </c>
      <c r="U315" t="s">
        <v>251</v>
      </c>
      <c r="V315">
        <v>1515</v>
      </c>
      <c r="W315" t="s">
        <v>7363</v>
      </c>
      <c r="X315" t="s">
        <v>7376</v>
      </c>
      <c r="Y315" t="s">
        <v>7386</v>
      </c>
      <c r="Z315" t="s">
        <v>7658</v>
      </c>
      <c r="AB315" t="s">
        <v>10484</v>
      </c>
      <c r="AC315">
        <v>3</v>
      </c>
      <c r="AD315" t="s">
        <v>12419</v>
      </c>
      <c r="AE315" t="s">
        <v>12435</v>
      </c>
      <c r="AF315">
        <v>2</v>
      </c>
      <c r="AG315">
        <v>2</v>
      </c>
      <c r="AH315">
        <v>1</v>
      </c>
      <c r="AI315">
        <v>8.33</v>
      </c>
      <c r="AL315" t="s">
        <v>12461</v>
      </c>
      <c r="AM315">
        <v>1776</v>
      </c>
      <c r="AS315">
        <v>1</v>
      </c>
      <c r="AT315" t="s">
        <v>278</v>
      </c>
      <c r="AU315" t="s">
        <v>13092</v>
      </c>
    </row>
    <row r="316" spans="1:48">
      <c r="A316" s="1">
        <f>HYPERLINK("https://cms.ls-nyc.org/matter/dynamic-profile/view/1892236","19-1892236")</f>
        <v>0</v>
      </c>
      <c r="B316" t="s">
        <v>113</v>
      </c>
      <c r="C316" t="s">
        <v>359</v>
      </c>
      <c r="D316" t="s">
        <v>315</v>
      </c>
      <c r="E316" t="s">
        <v>798</v>
      </c>
      <c r="F316" t="s">
        <v>2274</v>
      </c>
      <c r="G316" t="s">
        <v>3881</v>
      </c>
      <c r="H316" t="s">
        <v>5474</v>
      </c>
      <c r="I316" t="s">
        <v>6047</v>
      </c>
      <c r="J316">
        <v>10459</v>
      </c>
      <c r="K316" t="s">
        <v>6074</v>
      </c>
      <c r="L316" t="s">
        <v>6074</v>
      </c>
      <c r="M316" t="s">
        <v>6244</v>
      </c>
      <c r="N316" t="s">
        <v>7274</v>
      </c>
      <c r="O316" t="s">
        <v>7306</v>
      </c>
      <c r="P316" t="s">
        <v>7314</v>
      </c>
      <c r="Q316" t="s">
        <v>7322</v>
      </c>
      <c r="R316" t="s">
        <v>6076</v>
      </c>
      <c r="S316" t="s">
        <v>7324</v>
      </c>
      <c r="T316" t="s">
        <v>7336</v>
      </c>
      <c r="U316" t="s">
        <v>359</v>
      </c>
      <c r="V316">
        <v>900</v>
      </c>
      <c r="W316" t="s">
        <v>7363</v>
      </c>
      <c r="X316" t="s">
        <v>7375</v>
      </c>
      <c r="Y316" t="s">
        <v>7386</v>
      </c>
      <c r="Z316" t="s">
        <v>7659</v>
      </c>
      <c r="AC316">
        <v>0</v>
      </c>
      <c r="AD316" t="s">
        <v>12427</v>
      </c>
      <c r="AE316" t="s">
        <v>6110</v>
      </c>
      <c r="AF316">
        <v>2</v>
      </c>
      <c r="AG316">
        <v>2</v>
      </c>
      <c r="AH316">
        <v>1</v>
      </c>
      <c r="AI316">
        <v>8.44</v>
      </c>
      <c r="AL316" t="s">
        <v>12461</v>
      </c>
      <c r="AM316">
        <v>1800</v>
      </c>
      <c r="AS316">
        <v>0.1</v>
      </c>
      <c r="AT316" t="s">
        <v>313</v>
      </c>
      <c r="AU316" t="s">
        <v>102</v>
      </c>
    </row>
    <row r="317" spans="1:48">
      <c r="A317" s="1">
        <f>HYPERLINK("https://cms.ls-nyc.org/matter/dynamic-profile/view/1894548","19-1894548")</f>
        <v>0</v>
      </c>
      <c r="B317" t="s">
        <v>77</v>
      </c>
      <c r="C317" t="s">
        <v>338</v>
      </c>
      <c r="E317" t="s">
        <v>799</v>
      </c>
      <c r="F317" t="s">
        <v>2275</v>
      </c>
      <c r="G317" t="s">
        <v>3882</v>
      </c>
      <c r="H317" t="s">
        <v>5475</v>
      </c>
      <c r="I317" t="s">
        <v>6043</v>
      </c>
      <c r="J317">
        <v>11208</v>
      </c>
      <c r="K317" t="s">
        <v>6074</v>
      </c>
      <c r="L317" t="s">
        <v>6074</v>
      </c>
      <c r="M317" t="s">
        <v>6245</v>
      </c>
      <c r="N317" t="s">
        <v>7276</v>
      </c>
      <c r="O317" t="s">
        <v>7308</v>
      </c>
      <c r="Q317" t="s">
        <v>7322</v>
      </c>
      <c r="S317" t="s">
        <v>7324</v>
      </c>
      <c r="U317" t="s">
        <v>338</v>
      </c>
      <c r="V317">
        <v>1488</v>
      </c>
      <c r="W317" t="s">
        <v>7362</v>
      </c>
      <c r="X317" t="s">
        <v>7366</v>
      </c>
      <c r="Z317" t="s">
        <v>7660</v>
      </c>
      <c r="AA317" t="s">
        <v>9901</v>
      </c>
      <c r="AB317" t="s">
        <v>10485</v>
      </c>
      <c r="AC317">
        <v>18</v>
      </c>
      <c r="AD317" t="s">
        <v>6322</v>
      </c>
      <c r="AF317">
        <v>2</v>
      </c>
      <c r="AG317">
        <v>2</v>
      </c>
      <c r="AH317">
        <v>2</v>
      </c>
      <c r="AI317">
        <v>8.890000000000001</v>
      </c>
      <c r="AL317" t="s">
        <v>12460</v>
      </c>
      <c r="AM317">
        <v>2288</v>
      </c>
      <c r="AS317">
        <v>27</v>
      </c>
      <c r="AT317" t="s">
        <v>496</v>
      </c>
      <c r="AU317" t="s">
        <v>13084</v>
      </c>
    </row>
    <row r="318" spans="1:48">
      <c r="A318" s="1">
        <f>HYPERLINK("https://cms.ls-nyc.org/matter/dynamic-profile/view/1882742","18-1882742")</f>
        <v>0</v>
      </c>
      <c r="B318" t="s">
        <v>69</v>
      </c>
      <c r="C318" t="s">
        <v>296</v>
      </c>
      <c r="D318" t="s">
        <v>375</v>
      </c>
      <c r="E318" t="s">
        <v>800</v>
      </c>
      <c r="F318" t="s">
        <v>2276</v>
      </c>
      <c r="G318" t="s">
        <v>3883</v>
      </c>
      <c r="H318" t="s">
        <v>5476</v>
      </c>
      <c r="I318" t="s">
        <v>6043</v>
      </c>
      <c r="J318">
        <v>11210</v>
      </c>
      <c r="K318" t="s">
        <v>6074</v>
      </c>
      <c r="L318" t="s">
        <v>6074</v>
      </c>
      <c r="M318" t="s">
        <v>6246</v>
      </c>
      <c r="N318" t="s">
        <v>7276</v>
      </c>
      <c r="O318" t="s">
        <v>7307</v>
      </c>
      <c r="P318" t="s">
        <v>7314</v>
      </c>
      <c r="Q318" t="s">
        <v>7322</v>
      </c>
      <c r="S318" t="s">
        <v>7324</v>
      </c>
      <c r="U318" t="s">
        <v>296</v>
      </c>
      <c r="V318">
        <v>2350</v>
      </c>
      <c r="W318" t="s">
        <v>7362</v>
      </c>
      <c r="Y318" t="s">
        <v>7386</v>
      </c>
      <c r="Z318" t="s">
        <v>7661</v>
      </c>
      <c r="AB318" t="s">
        <v>10486</v>
      </c>
      <c r="AC318">
        <v>6</v>
      </c>
      <c r="AF318">
        <v>2</v>
      </c>
      <c r="AG318">
        <v>2</v>
      </c>
      <c r="AH318">
        <v>3</v>
      </c>
      <c r="AI318">
        <v>9.18</v>
      </c>
      <c r="AL318" t="s">
        <v>12460</v>
      </c>
      <c r="AM318">
        <v>2700</v>
      </c>
      <c r="AS318">
        <v>3.1</v>
      </c>
      <c r="AT318" t="s">
        <v>375</v>
      </c>
      <c r="AU318" t="s">
        <v>13084</v>
      </c>
    </row>
    <row r="319" spans="1:48">
      <c r="A319" s="1">
        <f>HYPERLINK("https://cms.ls-nyc.org/matter/dynamic-profile/view/1891270","19-1891270")</f>
        <v>0</v>
      </c>
      <c r="B319" t="s">
        <v>86</v>
      </c>
      <c r="C319" t="s">
        <v>371</v>
      </c>
      <c r="E319" t="s">
        <v>689</v>
      </c>
      <c r="F319" t="s">
        <v>2258</v>
      </c>
      <c r="G319" t="s">
        <v>3865</v>
      </c>
      <c r="H319" t="s">
        <v>5361</v>
      </c>
      <c r="I319" t="s">
        <v>6043</v>
      </c>
      <c r="J319">
        <v>11208</v>
      </c>
      <c r="K319" t="s">
        <v>6074</v>
      </c>
      <c r="L319" t="s">
        <v>6074</v>
      </c>
      <c r="N319" t="s">
        <v>7280</v>
      </c>
      <c r="O319" t="s">
        <v>7311</v>
      </c>
      <c r="Q319" t="s">
        <v>7322</v>
      </c>
      <c r="R319" t="s">
        <v>6076</v>
      </c>
      <c r="S319" t="s">
        <v>7327</v>
      </c>
      <c r="U319" t="s">
        <v>387</v>
      </c>
      <c r="V319">
        <v>1980</v>
      </c>
      <c r="W319" t="s">
        <v>7362</v>
      </c>
      <c r="Z319" t="s">
        <v>7641</v>
      </c>
      <c r="AB319" t="s">
        <v>10472</v>
      </c>
      <c r="AC319">
        <v>0</v>
      </c>
      <c r="AD319" t="s">
        <v>12419</v>
      </c>
      <c r="AE319" t="s">
        <v>12435</v>
      </c>
      <c r="AF319">
        <v>0</v>
      </c>
      <c r="AG319">
        <v>2</v>
      </c>
      <c r="AH319">
        <v>5</v>
      </c>
      <c r="AI319">
        <v>9.23</v>
      </c>
      <c r="AL319" t="s">
        <v>12460</v>
      </c>
      <c r="AM319">
        <v>3600</v>
      </c>
      <c r="AS319">
        <v>14.5</v>
      </c>
      <c r="AT319" t="s">
        <v>257</v>
      </c>
      <c r="AU319" t="s">
        <v>180</v>
      </c>
    </row>
    <row r="320" spans="1:48">
      <c r="A320" s="1">
        <f>HYPERLINK("https://cms.ls-nyc.org/matter/dynamic-profile/view/1892732","19-1892732")</f>
        <v>0</v>
      </c>
      <c r="B320" t="s">
        <v>135</v>
      </c>
      <c r="C320" t="s">
        <v>395</v>
      </c>
      <c r="D320" t="s">
        <v>397</v>
      </c>
      <c r="E320" t="s">
        <v>801</v>
      </c>
      <c r="F320" t="s">
        <v>2277</v>
      </c>
      <c r="G320" t="s">
        <v>3884</v>
      </c>
      <c r="H320" t="s">
        <v>5477</v>
      </c>
      <c r="I320" t="s">
        <v>6049</v>
      </c>
      <c r="J320">
        <v>10029</v>
      </c>
      <c r="K320" t="s">
        <v>6074</v>
      </c>
      <c r="L320" t="s">
        <v>6074</v>
      </c>
      <c r="N320" t="s">
        <v>7289</v>
      </c>
      <c r="O320" t="s">
        <v>7306</v>
      </c>
      <c r="P320" t="s">
        <v>7314</v>
      </c>
      <c r="Q320" t="s">
        <v>7322</v>
      </c>
      <c r="R320" t="s">
        <v>6076</v>
      </c>
      <c r="S320" t="s">
        <v>7324</v>
      </c>
      <c r="T320" t="s">
        <v>7336</v>
      </c>
      <c r="U320" t="s">
        <v>338</v>
      </c>
      <c r="V320">
        <v>1400</v>
      </c>
      <c r="W320" t="s">
        <v>7365</v>
      </c>
      <c r="X320" t="s">
        <v>7378</v>
      </c>
      <c r="Y320" t="s">
        <v>7386</v>
      </c>
      <c r="Z320" t="s">
        <v>7662</v>
      </c>
      <c r="AB320" t="s">
        <v>10487</v>
      </c>
      <c r="AC320">
        <v>120</v>
      </c>
      <c r="AD320" t="s">
        <v>6322</v>
      </c>
      <c r="AE320" t="s">
        <v>6110</v>
      </c>
      <c r="AF320">
        <v>3</v>
      </c>
      <c r="AG320">
        <v>1</v>
      </c>
      <c r="AH320">
        <v>0</v>
      </c>
      <c r="AI320">
        <v>9.609999999999999</v>
      </c>
      <c r="AL320" t="s">
        <v>12460</v>
      </c>
      <c r="AM320">
        <v>1200</v>
      </c>
      <c r="AS320">
        <v>2.5</v>
      </c>
      <c r="AT320" t="s">
        <v>270</v>
      </c>
      <c r="AU320" t="s">
        <v>13081</v>
      </c>
    </row>
    <row r="321" spans="1:48">
      <c r="A321" s="1">
        <f>HYPERLINK("https://cms.ls-nyc.org/matter/dynamic-profile/view/1884493","18-1884493")</f>
        <v>0</v>
      </c>
      <c r="B321" t="s">
        <v>98</v>
      </c>
      <c r="C321" t="s">
        <v>396</v>
      </c>
      <c r="D321" t="s">
        <v>361</v>
      </c>
      <c r="E321" t="s">
        <v>802</v>
      </c>
      <c r="F321" t="s">
        <v>2278</v>
      </c>
      <c r="G321" t="s">
        <v>3885</v>
      </c>
      <c r="H321" t="s">
        <v>5436</v>
      </c>
      <c r="I321" t="s">
        <v>6047</v>
      </c>
      <c r="J321">
        <v>10456</v>
      </c>
      <c r="K321" t="s">
        <v>6074</v>
      </c>
      <c r="L321" t="s">
        <v>6074</v>
      </c>
      <c r="N321" t="s">
        <v>7278</v>
      </c>
      <c r="O321" t="s">
        <v>7309</v>
      </c>
      <c r="P321" t="s">
        <v>7315</v>
      </c>
      <c r="Q321" t="s">
        <v>7322</v>
      </c>
      <c r="S321" t="s">
        <v>7332</v>
      </c>
      <c r="U321" t="s">
        <v>337</v>
      </c>
      <c r="V321">
        <v>1108</v>
      </c>
      <c r="W321" t="s">
        <v>7363</v>
      </c>
      <c r="X321" t="s">
        <v>7368</v>
      </c>
      <c r="Y321" t="s">
        <v>7387</v>
      </c>
      <c r="Z321" t="s">
        <v>7663</v>
      </c>
      <c r="AA321" t="s">
        <v>9902</v>
      </c>
      <c r="AB321" t="s">
        <v>10488</v>
      </c>
      <c r="AC321">
        <v>0</v>
      </c>
      <c r="AD321" t="s">
        <v>12422</v>
      </c>
      <c r="AE321" t="s">
        <v>12438</v>
      </c>
      <c r="AF321">
        <v>8</v>
      </c>
      <c r="AG321">
        <v>1</v>
      </c>
      <c r="AH321">
        <v>0</v>
      </c>
      <c r="AI321">
        <v>9.880000000000001</v>
      </c>
      <c r="AL321" t="s">
        <v>12461</v>
      </c>
      <c r="AM321">
        <v>1200</v>
      </c>
      <c r="AN321" t="s">
        <v>12524</v>
      </c>
      <c r="AS321">
        <v>0.5</v>
      </c>
      <c r="AT321" t="s">
        <v>235</v>
      </c>
      <c r="AU321" t="s">
        <v>13092</v>
      </c>
    </row>
    <row r="322" spans="1:48">
      <c r="A322" s="1">
        <f>HYPERLINK("https://cms.ls-nyc.org/matter/dynamic-profile/view/1895909","19-1895909")</f>
        <v>0</v>
      </c>
      <c r="B322" t="s">
        <v>113</v>
      </c>
      <c r="C322" t="s">
        <v>270</v>
      </c>
      <c r="E322" t="s">
        <v>637</v>
      </c>
      <c r="F322" t="s">
        <v>2279</v>
      </c>
      <c r="G322" t="s">
        <v>3886</v>
      </c>
      <c r="H322">
        <v>59</v>
      </c>
      <c r="I322" t="s">
        <v>6047</v>
      </c>
      <c r="J322">
        <v>10458</v>
      </c>
      <c r="K322" t="s">
        <v>6074</v>
      </c>
      <c r="L322" t="s">
        <v>6074</v>
      </c>
      <c r="N322" t="s">
        <v>7273</v>
      </c>
      <c r="O322" t="s">
        <v>7308</v>
      </c>
      <c r="Q322" t="s">
        <v>7322</v>
      </c>
      <c r="R322" t="s">
        <v>6076</v>
      </c>
      <c r="S322" t="s">
        <v>7324</v>
      </c>
      <c r="U322" t="s">
        <v>270</v>
      </c>
      <c r="V322">
        <v>1092</v>
      </c>
      <c r="W322" t="s">
        <v>7363</v>
      </c>
      <c r="X322" t="s">
        <v>7376</v>
      </c>
      <c r="Z322" t="s">
        <v>7664</v>
      </c>
      <c r="AA322" t="s">
        <v>9903</v>
      </c>
      <c r="AB322" t="s">
        <v>10489</v>
      </c>
      <c r="AC322">
        <v>48</v>
      </c>
      <c r="AD322" t="s">
        <v>12422</v>
      </c>
      <c r="AE322" t="s">
        <v>12435</v>
      </c>
      <c r="AF322">
        <v>6</v>
      </c>
      <c r="AG322">
        <v>2</v>
      </c>
      <c r="AH322">
        <v>3</v>
      </c>
      <c r="AI322">
        <v>9.94</v>
      </c>
      <c r="AL322" t="s">
        <v>12460</v>
      </c>
      <c r="AM322">
        <v>3000</v>
      </c>
      <c r="AS322">
        <v>7.7</v>
      </c>
      <c r="AT322" t="s">
        <v>316</v>
      </c>
      <c r="AU322" t="s">
        <v>106</v>
      </c>
      <c r="AV322" t="s">
        <v>13146</v>
      </c>
    </row>
    <row r="323" spans="1:48">
      <c r="A323" s="1">
        <f>HYPERLINK("https://cms.ls-nyc.org/matter/dynamic-profile/view/1896904","19-1896904")</f>
        <v>0</v>
      </c>
      <c r="B323" t="s">
        <v>69</v>
      </c>
      <c r="C323" t="s">
        <v>397</v>
      </c>
      <c r="D323" t="s">
        <v>343</v>
      </c>
      <c r="E323" t="s">
        <v>803</v>
      </c>
      <c r="F323" t="s">
        <v>2280</v>
      </c>
      <c r="G323" t="s">
        <v>3887</v>
      </c>
      <c r="H323" t="s">
        <v>5417</v>
      </c>
      <c r="I323" t="s">
        <v>6043</v>
      </c>
      <c r="J323">
        <v>11230</v>
      </c>
      <c r="K323" t="s">
        <v>6075</v>
      </c>
      <c r="L323" t="s">
        <v>6075</v>
      </c>
      <c r="O323" t="s">
        <v>7306</v>
      </c>
      <c r="P323" t="s">
        <v>7314</v>
      </c>
      <c r="Q323" t="s">
        <v>7322</v>
      </c>
      <c r="S323" t="s">
        <v>7324</v>
      </c>
      <c r="U323" t="s">
        <v>397</v>
      </c>
      <c r="V323">
        <v>0</v>
      </c>
      <c r="W323" t="s">
        <v>7362</v>
      </c>
      <c r="Y323" t="s">
        <v>7386</v>
      </c>
      <c r="Z323" t="s">
        <v>7665</v>
      </c>
      <c r="AB323" t="s">
        <v>10490</v>
      </c>
      <c r="AC323">
        <v>0</v>
      </c>
      <c r="AF323">
        <v>0</v>
      </c>
      <c r="AG323">
        <v>1</v>
      </c>
      <c r="AH323">
        <v>3</v>
      </c>
      <c r="AI323">
        <v>10.02</v>
      </c>
      <c r="AL323" t="s">
        <v>12460</v>
      </c>
      <c r="AM323">
        <v>2580</v>
      </c>
      <c r="AS323">
        <v>1.4</v>
      </c>
      <c r="AT323" t="s">
        <v>343</v>
      </c>
      <c r="AU323" t="s">
        <v>69</v>
      </c>
    </row>
    <row r="324" spans="1:48">
      <c r="A324" s="1">
        <f>HYPERLINK("https://cms.ls-nyc.org/matter/dynamic-profile/view/1874744","18-1874744")</f>
        <v>0</v>
      </c>
      <c r="B324" t="s">
        <v>86</v>
      </c>
      <c r="C324" t="s">
        <v>378</v>
      </c>
      <c r="E324" t="s">
        <v>574</v>
      </c>
      <c r="F324" t="s">
        <v>2169</v>
      </c>
      <c r="G324" t="s">
        <v>3888</v>
      </c>
      <c r="H324" t="s">
        <v>5444</v>
      </c>
      <c r="I324" t="s">
        <v>6049</v>
      </c>
      <c r="J324">
        <v>10035</v>
      </c>
      <c r="K324" t="s">
        <v>6074</v>
      </c>
      <c r="L324" t="s">
        <v>6074</v>
      </c>
      <c r="N324" t="s">
        <v>7290</v>
      </c>
      <c r="O324" t="s">
        <v>7311</v>
      </c>
      <c r="Q324" t="s">
        <v>7322</v>
      </c>
      <c r="R324" t="s">
        <v>6076</v>
      </c>
      <c r="S324" t="s">
        <v>7333</v>
      </c>
      <c r="T324" t="s">
        <v>7336</v>
      </c>
      <c r="U324" t="s">
        <v>378</v>
      </c>
      <c r="V324">
        <v>550</v>
      </c>
      <c r="W324" t="s">
        <v>7365</v>
      </c>
      <c r="X324" t="s">
        <v>7370</v>
      </c>
      <c r="Z324" t="s">
        <v>7666</v>
      </c>
      <c r="AA324" t="s">
        <v>9904</v>
      </c>
      <c r="AB324" t="s">
        <v>10491</v>
      </c>
      <c r="AC324">
        <v>30</v>
      </c>
      <c r="AD324" t="s">
        <v>12422</v>
      </c>
      <c r="AE324" t="s">
        <v>6110</v>
      </c>
      <c r="AF324">
        <v>20</v>
      </c>
      <c r="AG324">
        <v>1</v>
      </c>
      <c r="AH324">
        <v>2</v>
      </c>
      <c r="AI324">
        <v>10.97</v>
      </c>
      <c r="AL324" t="s">
        <v>12460</v>
      </c>
      <c r="AM324">
        <v>2280</v>
      </c>
      <c r="AS324">
        <v>16.3</v>
      </c>
      <c r="AT324" t="s">
        <v>382</v>
      </c>
      <c r="AU324" t="s">
        <v>13107</v>
      </c>
    </row>
    <row r="325" spans="1:48">
      <c r="A325" s="1">
        <f>HYPERLINK("https://cms.ls-nyc.org/matter/dynamic-profile/view/1888301","19-1888301")</f>
        <v>0</v>
      </c>
      <c r="B325" t="s">
        <v>100</v>
      </c>
      <c r="C325" t="s">
        <v>292</v>
      </c>
      <c r="E325" t="s">
        <v>804</v>
      </c>
      <c r="F325" t="s">
        <v>2281</v>
      </c>
      <c r="G325" t="s">
        <v>3889</v>
      </c>
      <c r="H325" t="s">
        <v>5478</v>
      </c>
      <c r="I325" t="s">
        <v>6048</v>
      </c>
      <c r="J325">
        <v>10304</v>
      </c>
      <c r="K325" t="s">
        <v>6074</v>
      </c>
      <c r="L325" t="s">
        <v>6074</v>
      </c>
      <c r="M325" t="s">
        <v>6247</v>
      </c>
      <c r="N325" t="s">
        <v>7276</v>
      </c>
      <c r="O325" t="s">
        <v>7308</v>
      </c>
      <c r="Q325" t="s">
        <v>7322</v>
      </c>
      <c r="R325" t="s">
        <v>6076</v>
      </c>
      <c r="S325" t="s">
        <v>7324</v>
      </c>
      <c r="T325" t="s">
        <v>7336</v>
      </c>
      <c r="U325" t="s">
        <v>292</v>
      </c>
      <c r="V325">
        <v>1515</v>
      </c>
      <c r="W325" t="s">
        <v>7364</v>
      </c>
      <c r="X325" t="s">
        <v>7305</v>
      </c>
      <c r="Z325" t="s">
        <v>7667</v>
      </c>
      <c r="AA325" t="s">
        <v>9905</v>
      </c>
      <c r="AC325">
        <v>2</v>
      </c>
      <c r="AD325" t="s">
        <v>12419</v>
      </c>
      <c r="AE325" t="s">
        <v>12438</v>
      </c>
      <c r="AF325">
        <v>4</v>
      </c>
      <c r="AG325">
        <v>2</v>
      </c>
      <c r="AH325">
        <v>2</v>
      </c>
      <c r="AI325">
        <v>11.47</v>
      </c>
      <c r="AL325" t="s">
        <v>12461</v>
      </c>
      <c r="AM325">
        <v>2880</v>
      </c>
      <c r="AS325">
        <v>12.75</v>
      </c>
      <c r="AT325" t="s">
        <v>257</v>
      </c>
      <c r="AU325" t="s">
        <v>123</v>
      </c>
    </row>
    <row r="326" spans="1:48">
      <c r="A326" s="1">
        <f>HYPERLINK("https://cms.ls-nyc.org/matter/dynamic-profile/view/1882716","18-1882716")</f>
        <v>0</v>
      </c>
      <c r="B326" t="s">
        <v>132</v>
      </c>
      <c r="C326" t="s">
        <v>296</v>
      </c>
      <c r="D326" t="s">
        <v>504</v>
      </c>
      <c r="E326" t="s">
        <v>805</v>
      </c>
      <c r="F326" t="s">
        <v>1977</v>
      </c>
      <c r="G326" t="s">
        <v>3890</v>
      </c>
      <c r="H326">
        <v>24</v>
      </c>
      <c r="I326" t="s">
        <v>6049</v>
      </c>
      <c r="J326">
        <v>10034</v>
      </c>
      <c r="K326" t="s">
        <v>6074</v>
      </c>
      <c r="L326" t="s">
        <v>6074</v>
      </c>
      <c r="O326" t="s">
        <v>7306</v>
      </c>
      <c r="P326" t="s">
        <v>7314</v>
      </c>
      <c r="Q326" t="s">
        <v>7322</v>
      </c>
      <c r="R326" t="s">
        <v>6076</v>
      </c>
      <c r="S326" t="s">
        <v>7324</v>
      </c>
      <c r="U326" t="s">
        <v>296</v>
      </c>
      <c r="V326">
        <v>1264.81</v>
      </c>
      <c r="W326" t="s">
        <v>7365</v>
      </c>
      <c r="X326" t="s">
        <v>7367</v>
      </c>
      <c r="Y326" t="s">
        <v>7386</v>
      </c>
      <c r="Z326" t="s">
        <v>7668</v>
      </c>
      <c r="AC326">
        <v>31</v>
      </c>
      <c r="AD326" t="s">
        <v>12422</v>
      </c>
      <c r="AE326" t="s">
        <v>6110</v>
      </c>
      <c r="AF326">
        <v>31</v>
      </c>
      <c r="AG326">
        <v>5</v>
      </c>
      <c r="AH326">
        <v>1</v>
      </c>
      <c r="AI326">
        <v>11.74</v>
      </c>
      <c r="AL326" t="s">
        <v>12461</v>
      </c>
      <c r="AM326">
        <v>3960</v>
      </c>
      <c r="AS326">
        <v>0.25</v>
      </c>
      <c r="AT326" t="s">
        <v>504</v>
      </c>
      <c r="AU326" t="s">
        <v>13106</v>
      </c>
    </row>
    <row r="327" spans="1:48">
      <c r="A327" s="1">
        <f>HYPERLINK("https://cms.ls-nyc.org/matter/dynamic-profile/view/1890032","19-1890032")</f>
        <v>0</v>
      </c>
      <c r="B327" t="s">
        <v>96</v>
      </c>
      <c r="C327" t="s">
        <v>366</v>
      </c>
      <c r="E327" t="s">
        <v>806</v>
      </c>
      <c r="F327" t="s">
        <v>2282</v>
      </c>
      <c r="G327" t="s">
        <v>3792</v>
      </c>
      <c r="H327" t="s">
        <v>5479</v>
      </c>
      <c r="I327" t="s">
        <v>6047</v>
      </c>
      <c r="J327">
        <v>10453</v>
      </c>
      <c r="K327" t="s">
        <v>6074</v>
      </c>
      <c r="L327" t="s">
        <v>6074</v>
      </c>
      <c r="N327" t="s">
        <v>7279</v>
      </c>
      <c r="O327" t="s">
        <v>7311</v>
      </c>
      <c r="Q327" t="s">
        <v>7322</v>
      </c>
      <c r="R327" t="s">
        <v>6074</v>
      </c>
      <c r="S327" t="s">
        <v>7324</v>
      </c>
      <c r="U327" t="s">
        <v>457</v>
      </c>
      <c r="V327">
        <v>1400</v>
      </c>
      <c r="W327" t="s">
        <v>7363</v>
      </c>
      <c r="X327" t="s">
        <v>7376</v>
      </c>
      <c r="Z327" t="s">
        <v>7669</v>
      </c>
      <c r="AB327" t="s">
        <v>10492</v>
      </c>
      <c r="AC327">
        <v>170</v>
      </c>
      <c r="AD327" t="s">
        <v>12422</v>
      </c>
      <c r="AF327">
        <v>8</v>
      </c>
      <c r="AG327">
        <v>2</v>
      </c>
      <c r="AH327">
        <v>0</v>
      </c>
      <c r="AI327">
        <v>11.83</v>
      </c>
      <c r="AL327" t="s">
        <v>12461</v>
      </c>
      <c r="AM327">
        <v>2000</v>
      </c>
      <c r="AS327">
        <v>0</v>
      </c>
      <c r="AU327" t="s">
        <v>13113</v>
      </c>
    </row>
    <row r="328" spans="1:48">
      <c r="A328" s="1">
        <f>HYPERLINK("https://cms.ls-nyc.org/matter/dynamic-profile/view/1869305","18-1869305")</f>
        <v>0</v>
      </c>
      <c r="B328" t="s">
        <v>76</v>
      </c>
      <c r="C328" t="s">
        <v>398</v>
      </c>
      <c r="E328" t="s">
        <v>807</v>
      </c>
      <c r="F328" t="s">
        <v>2283</v>
      </c>
      <c r="G328" t="s">
        <v>3891</v>
      </c>
      <c r="H328" t="s">
        <v>5400</v>
      </c>
      <c r="I328" t="s">
        <v>6043</v>
      </c>
      <c r="J328">
        <v>11207</v>
      </c>
      <c r="K328" t="s">
        <v>6074</v>
      </c>
      <c r="L328" t="s">
        <v>6074</v>
      </c>
      <c r="M328" t="s">
        <v>6248</v>
      </c>
      <c r="N328" t="s">
        <v>7274</v>
      </c>
      <c r="O328" t="s">
        <v>7308</v>
      </c>
      <c r="Q328" t="s">
        <v>7322</v>
      </c>
      <c r="R328" t="s">
        <v>6076</v>
      </c>
      <c r="S328" t="s">
        <v>7324</v>
      </c>
      <c r="U328" t="s">
        <v>453</v>
      </c>
      <c r="V328">
        <v>215</v>
      </c>
      <c r="W328" t="s">
        <v>7362</v>
      </c>
      <c r="Z328" t="s">
        <v>7670</v>
      </c>
      <c r="AA328">
        <v>33843008</v>
      </c>
      <c r="AB328" t="s">
        <v>10493</v>
      </c>
      <c r="AC328">
        <v>60</v>
      </c>
      <c r="AD328" t="s">
        <v>12421</v>
      </c>
      <c r="AE328" t="s">
        <v>12434</v>
      </c>
      <c r="AF328">
        <v>20</v>
      </c>
      <c r="AG328">
        <v>1</v>
      </c>
      <c r="AH328">
        <v>0</v>
      </c>
      <c r="AI328">
        <v>11.86</v>
      </c>
      <c r="AL328" t="s">
        <v>12460</v>
      </c>
      <c r="AM328">
        <v>1440</v>
      </c>
      <c r="AS328">
        <v>58.15</v>
      </c>
      <c r="AT328" t="s">
        <v>382</v>
      </c>
      <c r="AU328" t="s">
        <v>218</v>
      </c>
    </row>
    <row r="329" spans="1:48">
      <c r="A329" s="1">
        <f>HYPERLINK("https://cms.ls-nyc.org/matter/dynamic-profile/view/1880957","18-1880957")</f>
        <v>0</v>
      </c>
      <c r="B329" t="s">
        <v>103</v>
      </c>
      <c r="C329" t="s">
        <v>256</v>
      </c>
      <c r="E329" t="s">
        <v>808</v>
      </c>
      <c r="F329" t="s">
        <v>2284</v>
      </c>
      <c r="G329" t="s">
        <v>3892</v>
      </c>
      <c r="H329">
        <v>2</v>
      </c>
      <c r="I329" t="s">
        <v>6047</v>
      </c>
      <c r="J329">
        <v>10453</v>
      </c>
      <c r="K329" t="s">
        <v>6074</v>
      </c>
      <c r="L329" t="s">
        <v>6074</v>
      </c>
      <c r="M329" t="s">
        <v>6249</v>
      </c>
      <c r="N329" t="s">
        <v>7274</v>
      </c>
      <c r="O329" t="s">
        <v>7308</v>
      </c>
      <c r="Q329" t="s">
        <v>7322</v>
      </c>
      <c r="S329" t="s">
        <v>7324</v>
      </c>
      <c r="T329" t="s">
        <v>7336</v>
      </c>
      <c r="U329" t="s">
        <v>256</v>
      </c>
      <c r="V329">
        <v>1300</v>
      </c>
      <c r="W329" t="s">
        <v>7363</v>
      </c>
      <c r="X329" t="s">
        <v>7376</v>
      </c>
      <c r="Z329" t="s">
        <v>7671</v>
      </c>
      <c r="AB329" t="s">
        <v>10494</v>
      </c>
      <c r="AC329">
        <v>0</v>
      </c>
      <c r="AD329" t="s">
        <v>12419</v>
      </c>
      <c r="AE329" t="s">
        <v>12434</v>
      </c>
      <c r="AF329">
        <v>13</v>
      </c>
      <c r="AG329">
        <v>1</v>
      </c>
      <c r="AH329">
        <v>0</v>
      </c>
      <c r="AI329">
        <v>11.86</v>
      </c>
      <c r="AL329" t="s">
        <v>12460</v>
      </c>
      <c r="AM329">
        <v>1440</v>
      </c>
      <c r="AS329">
        <v>31</v>
      </c>
      <c r="AT329" t="s">
        <v>260</v>
      </c>
      <c r="AU329" t="s">
        <v>13095</v>
      </c>
    </row>
    <row r="330" spans="1:48">
      <c r="A330" s="1">
        <f>HYPERLINK("https://cms.ls-nyc.org/matter/dynamic-profile/view/1887787","19-1887787")</f>
        <v>0</v>
      </c>
      <c r="B330" t="s">
        <v>133</v>
      </c>
      <c r="C330" t="s">
        <v>390</v>
      </c>
      <c r="D330" t="s">
        <v>456</v>
      </c>
      <c r="E330" t="s">
        <v>809</v>
      </c>
      <c r="F330" t="s">
        <v>2285</v>
      </c>
      <c r="G330" t="s">
        <v>3893</v>
      </c>
      <c r="H330">
        <v>51</v>
      </c>
      <c r="I330" t="s">
        <v>6049</v>
      </c>
      <c r="J330">
        <v>10033</v>
      </c>
      <c r="K330" t="s">
        <v>6074</v>
      </c>
      <c r="L330" t="s">
        <v>6074</v>
      </c>
      <c r="O330" t="s">
        <v>7306</v>
      </c>
      <c r="P330" t="s">
        <v>7314</v>
      </c>
      <c r="Q330" t="s">
        <v>7322</v>
      </c>
      <c r="R330" t="s">
        <v>6076</v>
      </c>
      <c r="S330" t="s">
        <v>7324</v>
      </c>
      <c r="U330" t="s">
        <v>390</v>
      </c>
      <c r="V330">
        <v>942.42</v>
      </c>
      <c r="W330" t="s">
        <v>7365</v>
      </c>
      <c r="X330" t="s">
        <v>7367</v>
      </c>
      <c r="Y330" t="s">
        <v>7386</v>
      </c>
      <c r="Z330" t="s">
        <v>7672</v>
      </c>
      <c r="AB330" t="s">
        <v>10495</v>
      </c>
      <c r="AC330">
        <v>0</v>
      </c>
      <c r="AD330" t="s">
        <v>12422</v>
      </c>
      <c r="AE330" t="s">
        <v>6110</v>
      </c>
      <c r="AF330">
        <v>35</v>
      </c>
      <c r="AG330">
        <v>1</v>
      </c>
      <c r="AH330">
        <v>0</v>
      </c>
      <c r="AI330">
        <v>11.86</v>
      </c>
      <c r="AL330" t="s">
        <v>12461</v>
      </c>
      <c r="AM330">
        <v>1440</v>
      </c>
      <c r="AS330">
        <v>0.1</v>
      </c>
      <c r="AT330" t="s">
        <v>370</v>
      </c>
      <c r="AU330" t="s">
        <v>13106</v>
      </c>
    </row>
    <row r="331" spans="1:48">
      <c r="A331" s="1">
        <f>HYPERLINK("https://cms.ls-nyc.org/matter/dynamic-profile/view/1887044","19-1887044")</f>
        <v>0</v>
      </c>
      <c r="B331" t="s">
        <v>101</v>
      </c>
      <c r="C331" t="s">
        <v>272</v>
      </c>
      <c r="E331" t="s">
        <v>810</v>
      </c>
      <c r="F331" t="s">
        <v>2286</v>
      </c>
      <c r="G331" t="s">
        <v>3779</v>
      </c>
      <c r="H331" t="s">
        <v>5480</v>
      </c>
      <c r="I331" t="s">
        <v>6047</v>
      </c>
      <c r="J331">
        <v>10460</v>
      </c>
      <c r="K331" t="s">
        <v>6074</v>
      </c>
      <c r="L331" t="s">
        <v>6074</v>
      </c>
      <c r="M331" t="s">
        <v>6250</v>
      </c>
      <c r="N331" t="s">
        <v>7276</v>
      </c>
      <c r="O331" t="s">
        <v>7308</v>
      </c>
      <c r="Q331" t="s">
        <v>7322</v>
      </c>
      <c r="R331" t="s">
        <v>6076</v>
      </c>
      <c r="S331" t="s">
        <v>7324</v>
      </c>
      <c r="T331" t="s">
        <v>7339</v>
      </c>
      <c r="U331" t="s">
        <v>306</v>
      </c>
      <c r="V331">
        <v>233</v>
      </c>
      <c r="W331" t="s">
        <v>7363</v>
      </c>
      <c r="X331" t="s">
        <v>7368</v>
      </c>
      <c r="Z331" t="s">
        <v>7673</v>
      </c>
      <c r="AB331" t="s">
        <v>10496</v>
      </c>
      <c r="AC331">
        <v>248</v>
      </c>
      <c r="AD331" t="s">
        <v>12426</v>
      </c>
      <c r="AE331" t="s">
        <v>12440</v>
      </c>
      <c r="AF331">
        <v>25</v>
      </c>
      <c r="AG331">
        <v>2</v>
      </c>
      <c r="AH331">
        <v>0</v>
      </c>
      <c r="AI331">
        <v>11.92</v>
      </c>
      <c r="AL331" t="s">
        <v>12460</v>
      </c>
      <c r="AM331">
        <v>1962</v>
      </c>
      <c r="AS331">
        <v>22.8</v>
      </c>
      <c r="AT331" t="s">
        <v>257</v>
      </c>
      <c r="AU331" t="s">
        <v>13095</v>
      </c>
    </row>
    <row r="332" spans="1:48">
      <c r="A332" s="1">
        <f>HYPERLINK("https://cms.ls-nyc.org/matter/dynamic-profile/view/1888474","19-1888474")</f>
        <v>0</v>
      </c>
      <c r="B332" t="s">
        <v>77</v>
      </c>
      <c r="C332" t="s">
        <v>306</v>
      </c>
      <c r="E332" t="s">
        <v>811</v>
      </c>
      <c r="F332" t="s">
        <v>2287</v>
      </c>
      <c r="G332" t="s">
        <v>3894</v>
      </c>
      <c r="H332" t="s">
        <v>5347</v>
      </c>
      <c r="I332" t="s">
        <v>6043</v>
      </c>
      <c r="J332">
        <v>11233</v>
      </c>
      <c r="K332" t="s">
        <v>6074</v>
      </c>
      <c r="L332" t="s">
        <v>6074</v>
      </c>
      <c r="M332" t="s">
        <v>6251</v>
      </c>
      <c r="N332" t="s">
        <v>7276</v>
      </c>
      <c r="O332" t="s">
        <v>7310</v>
      </c>
      <c r="Q332" t="s">
        <v>7322</v>
      </c>
      <c r="R332" t="s">
        <v>6076</v>
      </c>
      <c r="S332" t="s">
        <v>7324</v>
      </c>
      <c r="U332" t="s">
        <v>292</v>
      </c>
      <c r="V332">
        <v>2000</v>
      </c>
      <c r="W332" t="s">
        <v>7362</v>
      </c>
      <c r="X332" t="s">
        <v>7366</v>
      </c>
      <c r="Z332" t="s">
        <v>7674</v>
      </c>
      <c r="AA332" t="s">
        <v>9906</v>
      </c>
      <c r="AB332" t="s">
        <v>10497</v>
      </c>
      <c r="AC332">
        <v>3</v>
      </c>
      <c r="AD332" t="s">
        <v>12419</v>
      </c>
      <c r="AE332" t="s">
        <v>7305</v>
      </c>
      <c r="AF332">
        <v>1</v>
      </c>
      <c r="AG332">
        <v>2</v>
      </c>
      <c r="AH332">
        <v>2</v>
      </c>
      <c r="AI332">
        <v>11.95</v>
      </c>
      <c r="AL332" t="s">
        <v>12460</v>
      </c>
      <c r="AM332">
        <v>3000</v>
      </c>
      <c r="AS332">
        <v>28.05</v>
      </c>
      <c r="AT332" t="s">
        <v>279</v>
      </c>
      <c r="AU332" t="s">
        <v>180</v>
      </c>
    </row>
    <row r="333" spans="1:48">
      <c r="A333" s="1">
        <f>HYPERLINK("https://cms.ls-nyc.org/matter/dynamic-profile/view/1875261","18-1875261")</f>
        <v>0</v>
      </c>
      <c r="B333" t="s">
        <v>110</v>
      </c>
      <c r="C333" t="s">
        <v>399</v>
      </c>
      <c r="D333" t="s">
        <v>241</v>
      </c>
      <c r="E333" t="s">
        <v>812</v>
      </c>
      <c r="F333" t="s">
        <v>895</v>
      </c>
      <c r="G333" t="s">
        <v>3895</v>
      </c>
      <c r="H333" t="s">
        <v>5448</v>
      </c>
      <c r="I333" t="s">
        <v>6047</v>
      </c>
      <c r="J333">
        <v>10460</v>
      </c>
      <c r="K333" t="s">
        <v>6074</v>
      </c>
      <c r="L333" t="s">
        <v>6074</v>
      </c>
      <c r="M333" t="s">
        <v>6252</v>
      </c>
      <c r="N333" t="s">
        <v>7276</v>
      </c>
      <c r="O333" t="s">
        <v>7308</v>
      </c>
      <c r="P333" t="s">
        <v>7316</v>
      </c>
      <c r="Q333" t="s">
        <v>7322</v>
      </c>
      <c r="R333" t="s">
        <v>6076</v>
      </c>
      <c r="S333" t="s">
        <v>7324</v>
      </c>
      <c r="T333" t="s">
        <v>7336</v>
      </c>
      <c r="U333" t="s">
        <v>399</v>
      </c>
      <c r="V333">
        <v>918</v>
      </c>
      <c r="W333" t="s">
        <v>7363</v>
      </c>
      <c r="X333" t="s">
        <v>7373</v>
      </c>
      <c r="Y333" t="s">
        <v>7388</v>
      </c>
      <c r="Z333" t="s">
        <v>7675</v>
      </c>
      <c r="AA333" t="s">
        <v>9907</v>
      </c>
      <c r="AB333" t="s">
        <v>10498</v>
      </c>
      <c r="AC333">
        <v>6</v>
      </c>
      <c r="AD333" t="s">
        <v>6322</v>
      </c>
      <c r="AE333" t="s">
        <v>6110</v>
      </c>
      <c r="AF333">
        <v>5</v>
      </c>
      <c r="AG333">
        <v>2</v>
      </c>
      <c r="AH333">
        <v>0</v>
      </c>
      <c r="AI333">
        <v>11.96</v>
      </c>
      <c r="AL333" t="s">
        <v>12460</v>
      </c>
      <c r="AM333">
        <v>1968</v>
      </c>
      <c r="AO333" t="s">
        <v>12846</v>
      </c>
      <c r="AS333">
        <v>32.2</v>
      </c>
      <c r="AT333" t="s">
        <v>309</v>
      </c>
      <c r="AU333" t="s">
        <v>13099</v>
      </c>
    </row>
    <row r="334" spans="1:48">
      <c r="A334" s="1">
        <f>HYPERLINK("https://cms.ls-nyc.org/matter/dynamic-profile/view/1900521","19-1900521")</f>
        <v>0</v>
      </c>
      <c r="B334" t="s">
        <v>135</v>
      </c>
      <c r="C334" t="s">
        <v>260</v>
      </c>
      <c r="E334" t="s">
        <v>813</v>
      </c>
      <c r="F334" t="s">
        <v>2288</v>
      </c>
      <c r="G334" t="s">
        <v>3896</v>
      </c>
      <c r="H334" t="s">
        <v>5481</v>
      </c>
      <c r="I334" t="s">
        <v>6049</v>
      </c>
      <c r="J334">
        <v>10035</v>
      </c>
      <c r="K334" t="s">
        <v>6074</v>
      </c>
      <c r="L334" t="s">
        <v>6075</v>
      </c>
      <c r="M334" t="s">
        <v>6253</v>
      </c>
      <c r="N334" t="s">
        <v>7276</v>
      </c>
      <c r="O334" t="s">
        <v>7308</v>
      </c>
      <c r="Q334" t="s">
        <v>7322</v>
      </c>
      <c r="R334" t="s">
        <v>6076</v>
      </c>
      <c r="S334" t="s">
        <v>7324</v>
      </c>
      <c r="T334" t="s">
        <v>7336</v>
      </c>
      <c r="U334" t="s">
        <v>260</v>
      </c>
      <c r="V334">
        <v>1390</v>
      </c>
      <c r="W334" t="s">
        <v>7365</v>
      </c>
      <c r="X334" t="s">
        <v>7375</v>
      </c>
      <c r="Z334" t="s">
        <v>7676</v>
      </c>
      <c r="AA334">
        <v>230649601</v>
      </c>
      <c r="AB334" t="s">
        <v>10499</v>
      </c>
      <c r="AC334">
        <v>0</v>
      </c>
      <c r="AD334" t="s">
        <v>12422</v>
      </c>
      <c r="AE334" t="s">
        <v>7305</v>
      </c>
      <c r="AF334">
        <v>19</v>
      </c>
      <c r="AG334">
        <v>1</v>
      </c>
      <c r="AH334">
        <v>0</v>
      </c>
      <c r="AI334">
        <v>12.49</v>
      </c>
      <c r="AL334" t="s">
        <v>12460</v>
      </c>
      <c r="AM334">
        <v>1560</v>
      </c>
      <c r="AS334">
        <v>1.5</v>
      </c>
      <c r="AT334" t="s">
        <v>317</v>
      </c>
      <c r="AU334" t="s">
        <v>13109</v>
      </c>
      <c r="AV334" t="s">
        <v>13146</v>
      </c>
    </row>
    <row r="335" spans="1:48">
      <c r="A335" s="1">
        <f>HYPERLINK("https://cms.ls-nyc.org/matter/dynamic-profile/view/1871483","18-1871483")</f>
        <v>0</v>
      </c>
      <c r="B335" t="s">
        <v>143</v>
      </c>
      <c r="C335" t="s">
        <v>374</v>
      </c>
      <c r="D335" t="s">
        <v>353</v>
      </c>
      <c r="E335" t="s">
        <v>814</v>
      </c>
      <c r="F335" t="s">
        <v>2289</v>
      </c>
      <c r="G335" t="s">
        <v>3802</v>
      </c>
      <c r="H335" t="s">
        <v>5363</v>
      </c>
      <c r="I335" t="s">
        <v>6047</v>
      </c>
      <c r="J335">
        <v>10453</v>
      </c>
      <c r="K335" t="s">
        <v>6074</v>
      </c>
      <c r="L335" t="s">
        <v>6074</v>
      </c>
      <c r="M335" t="s">
        <v>6101</v>
      </c>
      <c r="N335" t="s">
        <v>7286</v>
      </c>
      <c r="O335" t="s">
        <v>7309</v>
      </c>
      <c r="P335" t="s">
        <v>7321</v>
      </c>
      <c r="Q335" t="s">
        <v>7322</v>
      </c>
      <c r="R335" t="s">
        <v>6076</v>
      </c>
      <c r="S335" t="s">
        <v>7331</v>
      </c>
      <c r="U335" t="s">
        <v>374</v>
      </c>
      <c r="V335">
        <v>1509.69</v>
      </c>
      <c r="W335" t="s">
        <v>7363</v>
      </c>
      <c r="X335" t="s">
        <v>7367</v>
      </c>
      <c r="Y335" t="s">
        <v>7387</v>
      </c>
      <c r="Z335" t="s">
        <v>7677</v>
      </c>
      <c r="AA335">
        <v>36928205</v>
      </c>
      <c r="AB335" t="s">
        <v>10500</v>
      </c>
      <c r="AC335">
        <v>99</v>
      </c>
      <c r="AD335" t="s">
        <v>12422</v>
      </c>
      <c r="AE335" t="s">
        <v>12434</v>
      </c>
      <c r="AF335">
        <v>8</v>
      </c>
      <c r="AG335">
        <v>1</v>
      </c>
      <c r="AH335">
        <v>2</v>
      </c>
      <c r="AI335">
        <v>12.59</v>
      </c>
      <c r="AL335" t="s">
        <v>12460</v>
      </c>
      <c r="AM335">
        <v>2616</v>
      </c>
      <c r="AR335" t="s">
        <v>12938</v>
      </c>
      <c r="AS335">
        <v>0.8</v>
      </c>
      <c r="AT335" t="s">
        <v>353</v>
      </c>
      <c r="AU335" t="s">
        <v>13114</v>
      </c>
    </row>
    <row r="336" spans="1:48">
      <c r="A336" s="1">
        <f>HYPERLINK("https://cms.ls-nyc.org/matter/dynamic-profile/view/1895932","19-1895932")</f>
        <v>0</v>
      </c>
      <c r="B336" t="s">
        <v>86</v>
      </c>
      <c r="C336" t="s">
        <v>234</v>
      </c>
      <c r="E336" t="s">
        <v>815</v>
      </c>
      <c r="F336" t="s">
        <v>2290</v>
      </c>
      <c r="G336" t="s">
        <v>3897</v>
      </c>
      <c r="H336">
        <v>226</v>
      </c>
      <c r="I336" t="s">
        <v>6043</v>
      </c>
      <c r="J336">
        <v>11233</v>
      </c>
      <c r="K336" t="s">
        <v>6074</v>
      </c>
      <c r="L336" t="s">
        <v>6074</v>
      </c>
      <c r="M336" t="s">
        <v>6254</v>
      </c>
      <c r="N336" t="s">
        <v>7276</v>
      </c>
      <c r="Q336" t="s">
        <v>7322</v>
      </c>
      <c r="R336" t="s">
        <v>6076</v>
      </c>
      <c r="S336" t="s">
        <v>7327</v>
      </c>
      <c r="U336" t="s">
        <v>302</v>
      </c>
      <c r="V336">
        <v>1208</v>
      </c>
      <c r="W336" t="s">
        <v>7362</v>
      </c>
      <c r="Z336" t="s">
        <v>7678</v>
      </c>
      <c r="AA336" t="s">
        <v>9908</v>
      </c>
      <c r="AC336">
        <v>137</v>
      </c>
      <c r="AD336" t="s">
        <v>12422</v>
      </c>
      <c r="AE336" t="s">
        <v>12438</v>
      </c>
      <c r="AF336">
        <v>1</v>
      </c>
      <c r="AG336">
        <v>1</v>
      </c>
      <c r="AH336">
        <v>1</v>
      </c>
      <c r="AI336">
        <v>12.99</v>
      </c>
      <c r="AL336" t="s">
        <v>12460</v>
      </c>
      <c r="AM336">
        <v>2196</v>
      </c>
      <c r="AS336">
        <v>6.25</v>
      </c>
      <c r="AT336" t="s">
        <v>343</v>
      </c>
      <c r="AU336" t="s">
        <v>180</v>
      </c>
    </row>
    <row r="337" spans="1:47">
      <c r="A337" s="1">
        <f>HYPERLINK("https://cms.ls-nyc.org/matter/dynamic-profile/view/1875405","18-1875405")</f>
        <v>0</v>
      </c>
      <c r="B337" t="s">
        <v>113</v>
      </c>
      <c r="C337" t="s">
        <v>399</v>
      </c>
      <c r="E337" t="s">
        <v>816</v>
      </c>
      <c r="F337" t="s">
        <v>2291</v>
      </c>
      <c r="G337" t="s">
        <v>3898</v>
      </c>
      <c r="H337" t="s">
        <v>5471</v>
      </c>
      <c r="I337" t="s">
        <v>6047</v>
      </c>
      <c r="J337">
        <v>10453</v>
      </c>
      <c r="K337" t="s">
        <v>6074</v>
      </c>
      <c r="L337" t="s">
        <v>6074</v>
      </c>
      <c r="M337" t="s">
        <v>6255</v>
      </c>
      <c r="N337" t="s">
        <v>7276</v>
      </c>
      <c r="O337" t="s">
        <v>7308</v>
      </c>
      <c r="Q337" t="s">
        <v>7322</v>
      </c>
      <c r="R337" t="s">
        <v>6076</v>
      </c>
      <c r="S337" t="s">
        <v>7324</v>
      </c>
      <c r="T337" t="s">
        <v>7336</v>
      </c>
      <c r="U337" t="s">
        <v>383</v>
      </c>
      <c r="V337">
        <v>1385</v>
      </c>
      <c r="W337" t="s">
        <v>7363</v>
      </c>
      <c r="X337" t="s">
        <v>7368</v>
      </c>
      <c r="Z337" t="s">
        <v>7679</v>
      </c>
      <c r="AA337" t="s">
        <v>9909</v>
      </c>
      <c r="AB337" t="s">
        <v>10501</v>
      </c>
      <c r="AC337">
        <v>64</v>
      </c>
      <c r="AD337" t="s">
        <v>12422</v>
      </c>
      <c r="AE337" t="s">
        <v>6110</v>
      </c>
      <c r="AF337">
        <v>40</v>
      </c>
      <c r="AG337">
        <v>2</v>
      </c>
      <c r="AH337">
        <v>0</v>
      </c>
      <c r="AI337">
        <v>13.34</v>
      </c>
      <c r="AL337" t="s">
        <v>12460</v>
      </c>
      <c r="AM337">
        <v>2196</v>
      </c>
      <c r="AO337" t="s">
        <v>12846</v>
      </c>
      <c r="AP337" t="s">
        <v>7305</v>
      </c>
      <c r="AS337">
        <v>24.1</v>
      </c>
      <c r="AT337" t="s">
        <v>241</v>
      </c>
      <c r="AU337" t="s">
        <v>13099</v>
      </c>
    </row>
    <row r="338" spans="1:47">
      <c r="A338" s="1">
        <f>HYPERLINK("https://cms.ls-nyc.org/matter/dynamic-profile/view/1875244","18-1875244")</f>
        <v>0</v>
      </c>
      <c r="B338" t="s">
        <v>144</v>
      </c>
      <c r="C338" t="s">
        <v>399</v>
      </c>
      <c r="E338" t="s">
        <v>639</v>
      </c>
      <c r="F338" t="s">
        <v>2198</v>
      </c>
      <c r="G338" t="s">
        <v>3899</v>
      </c>
      <c r="H338" t="s">
        <v>5359</v>
      </c>
      <c r="I338" t="s">
        <v>6043</v>
      </c>
      <c r="J338">
        <v>11208</v>
      </c>
      <c r="K338" t="s">
        <v>6074</v>
      </c>
      <c r="L338" t="s">
        <v>6076</v>
      </c>
      <c r="M338" t="s">
        <v>6256</v>
      </c>
      <c r="N338" t="s">
        <v>7276</v>
      </c>
      <c r="O338" t="s">
        <v>7308</v>
      </c>
      <c r="Q338" t="s">
        <v>7322</v>
      </c>
      <c r="S338" t="s">
        <v>7324</v>
      </c>
      <c r="U338" t="s">
        <v>399</v>
      </c>
      <c r="V338">
        <v>1515</v>
      </c>
      <c r="W338" t="s">
        <v>7362</v>
      </c>
      <c r="X338" t="s">
        <v>7368</v>
      </c>
      <c r="Z338" t="s">
        <v>7680</v>
      </c>
      <c r="AA338" t="s">
        <v>9910</v>
      </c>
      <c r="AB338" t="s">
        <v>10502</v>
      </c>
      <c r="AC338">
        <v>6</v>
      </c>
      <c r="AD338" t="s">
        <v>12422</v>
      </c>
      <c r="AE338" t="s">
        <v>12438</v>
      </c>
      <c r="AF338">
        <v>3</v>
      </c>
      <c r="AG338">
        <v>1</v>
      </c>
      <c r="AH338">
        <v>2</v>
      </c>
      <c r="AI338">
        <v>13.74</v>
      </c>
      <c r="AL338" t="s">
        <v>12460</v>
      </c>
      <c r="AM338">
        <v>2856</v>
      </c>
      <c r="AS338">
        <v>11</v>
      </c>
      <c r="AT338" t="s">
        <v>252</v>
      </c>
      <c r="AU338" t="s">
        <v>218</v>
      </c>
    </row>
    <row r="339" spans="1:47">
      <c r="A339" s="1">
        <f>HYPERLINK("https://cms.ls-nyc.org/matter/dynamic-profile/view/1882298","18-1882298")</f>
        <v>0</v>
      </c>
      <c r="B339" t="s">
        <v>103</v>
      </c>
      <c r="C339" t="s">
        <v>360</v>
      </c>
      <c r="E339" t="s">
        <v>817</v>
      </c>
      <c r="F339" t="s">
        <v>2059</v>
      </c>
      <c r="G339" t="s">
        <v>3810</v>
      </c>
      <c r="H339" t="s">
        <v>5482</v>
      </c>
      <c r="I339" t="s">
        <v>6047</v>
      </c>
      <c r="J339">
        <v>10451</v>
      </c>
      <c r="K339" t="s">
        <v>6074</v>
      </c>
      <c r="L339" t="s">
        <v>6074</v>
      </c>
      <c r="N339" t="s">
        <v>7273</v>
      </c>
      <c r="O339" t="s">
        <v>7306</v>
      </c>
      <c r="Q339" t="s">
        <v>7322</v>
      </c>
      <c r="R339" t="s">
        <v>6074</v>
      </c>
      <c r="S339" t="s">
        <v>7324</v>
      </c>
      <c r="U339" t="s">
        <v>472</v>
      </c>
      <c r="V339">
        <v>1400</v>
      </c>
      <c r="W339" t="s">
        <v>7363</v>
      </c>
      <c r="X339" t="s">
        <v>7376</v>
      </c>
      <c r="Z339" t="s">
        <v>7681</v>
      </c>
      <c r="AB339" t="s">
        <v>10503</v>
      </c>
      <c r="AC339">
        <v>100</v>
      </c>
      <c r="AD339" t="s">
        <v>12422</v>
      </c>
      <c r="AE339" t="s">
        <v>12434</v>
      </c>
      <c r="AF339">
        <v>3</v>
      </c>
      <c r="AG339">
        <v>1</v>
      </c>
      <c r="AH339">
        <v>0</v>
      </c>
      <c r="AI339">
        <v>13.84</v>
      </c>
      <c r="AL339" t="s">
        <v>12461</v>
      </c>
      <c r="AM339">
        <v>1680</v>
      </c>
      <c r="AS339">
        <v>0</v>
      </c>
      <c r="AU339" t="s">
        <v>13095</v>
      </c>
    </row>
    <row r="340" spans="1:47">
      <c r="A340" s="1">
        <f>HYPERLINK("https://cms.ls-nyc.org/matter/dynamic-profile/view/1895751","19-1895751")</f>
        <v>0</v>
      </c>
      <c r="B340" t="s">
        <v>54</v>
      </c>
      <c r="C340" t="s">
        <v>315</v>
      </c>
      <c r="E340" t="s">
        <v>818</v>
      </c>
      <c r="F340" t="s">
        <v>2174</v>
      </c>
      <c r="G340" t="s">
        <v>3900</v>
      </c>
      <c r="H340">
        <v>28</v>
      </c>
      <c r="I340" t="s">
        <v>6025</v>
      </c>
      <c r="J340">
        <v>11691</v>
      </c>
      <c r="K340" t="s">
        <v>6074</v>
      </c>
      <c r="L340" t="s">
        <v>6074</v>
      </c>
      <c r="N340" t="s">
        <v>7279</v>
      </c>
      <c r="O340" t="s">
        <v>7311</v>
      </c>
      <c r="Q340" t="s">
        <v>7322</v>
      </c>
      <c r="R340" t="s">
        <v>6074</v>
      </c>
      <c r="S340" t="s">
        <v>7324</v>
      </c>
      <c r="U340" t="s">
        <v>315</v>
      </c>
      <c r="V340">
        <v>540</v>
      </c>
      <c r="W340" t="s">
        <v>7361</v>
      </c>
      <c r="X340" t="s">
        <v>7375</v>
      </c>
      <c r="Z340" t="s">
        <v>7682</v>
      </c>
      <c r="AB340" t="s">
        <v>10504</v>
      </c>
      <c r="AC340">
        <v>43</v>
      </c>
      <c r="AD340" t="s">
        <v>12422</v>
      </c>
      <c r="AF340">
        <v>28</v>
      </c>
      <c r="AG340">
        <v>2</v>
      </c>
      <c r="AH340">
        <v>0</v>
      </c>
      <c r="AI340">
        <v>14.19</v>
      </c>
      <c r="AL340" t="s">
        <v>12460</v>
      </c>
      <c r="AM340">
        <v>2400</v>
      </c>
      <c r="AS340">
        <v>0</v>
      </c>
      <c r="AU340" t="s">
        <v>13078</v>
      </c>
    </row>
    <row r="341" spans="1:47">
      <c r="A341" s="1">
        <f>HYPERLINK("https://cms.ls-nyc.org/matter/dynamic-profile/view/1895768","19-1895768")</f>
        <v>0</v>
      </c>
      <c r="B341" t="s">
        <v>54</v>
      </c>
      <c r="C341" t="s">
        <v>315</v>
      </c>
      <c r="E341" t="s">
        <v>818</v>
      </c>
      <c r="F341" t="s">
        <v>2174</v>
      </c>
      <c r="G341" t="s">
        <v>3900</v>
      </c>
      <c r="H341">
        <v>4</v>
      </c>
      <c r="I341" t="s">
        <v>6025</v>
      </c>
      <c r="J341">
        <v>11691</v>
      </c>
      <c r="K341" t="s">
        <v>6074</v>
      </c>
      <c r="L341" t="s">
        <v>6074</v>
      </c>
      <c r="N341" t="s">
        <v>7278</v>
      </c>
      <c r="O341" t="s">
        <v>7307</v>
      </c>
      <c r="Q341" t="s">
        <v>7322</v>
      </c>
      <c r="R341" t="s">
        <v>6074</v>
      </c>
      <c r="S341" t="s">
        <v>7324</v>
      </c>
      <c r="U341" t="s">
        <v>315</v>
      </c>
      <c r="V341">
        <v>540</v>
      </c>
      <c r="W341" t="s">
        <v>7361</v>
      </c>
      <c r="X341" t="s">
        <v>7375</v>
      </c>
      <c r="Z341" t="s">
        <v>7682</v>
      </c>
      <c r="AB341" t="s">
        <v>10504</v>
      </c>
      <c r="AC341">
        <v>43</v>
      </c>
      <c r="AF341">
        <v>28</v>
      </c>
      <c r="AG341">
        <v>2</v>
      </c>
      <c r="AH341">
        <v>0</v>
      </c>
      <c r="AI341">
        <v>14.19</v>
      </c>
      <c r="AL341" t="s">
        <v>12460</v>
      </c>
      <c r="AM341">
        <v>2400</v>
      </c>
      <c r="AS341">
        <v>0</v>
      </c>
      <c r="AU341" t="s">
        <v>13078</v>
      </c>
    </row>
    <row r="342" spans="1:47">
      <c r="A342" s="1">
        <f>HYPERLINK("https://cms.ls-nyc.org/matter/dynamic-profile/view/1886259","18-1886259")</f>
        <v>0</v>
      </c>
      <c r="B342" t="s">
        <v>68</v>
      </c>
      <c r="C342" t="s">
        <v>389</v>
      </c>
      <c r="D342" t="s">
        <v>351</v>
      </c>
      <c r="E342" t="s">
        <v>819</v>
      </c>
      <c r="F342" t="s">
        <v>2292</v>
      </c>
      <c r="G342" t="s">
        <v>3901</v>
      </c>
      <c r="H342" t="s">
        <v>5358</v>
      </c>
      <c r="I342" t="s">
        <v>6043</v>
      </c>
      <c r="J342">
        <v>11212</v>
      </c>
      <c r="K342" t="s">
        <v>6074</v>
      </c>
      <c r="L342" t="s">
        <v>6074</v>
      </c>
      <c r="M342" t="s">
        <v>6257</v>
      </c>
      <c r="N342" t="s">
        <v>7276</v>
      </c>
      <c r="O342" t="s">
        <v>7306</v>
      </c>
      <c r="P342" t="s">
        <v>7314</v>
      </c>
      <c r="Q342" t="s">
        <v>7322</v>
      </c>
      <c r="R342" t="s">
        <v>6076</v>
      </c>
      <c r="S342" t="s">
        <v>7324</v>
      </c>
      <c r="T342" t="s">
        <v>7336</v>
      </c>
      <c r="U342" t="s">
        <v>351</v>
      </c>
      <c r="V342">
        <v>1750</v>
      </c>
      <c r="W342" t="s">
        <v>7362</v>
      </c>
      <c r="Y342" t="s">
        <v>7386</v>
      </c>
      <c r="Z342" t="s">
        <v>7510</v>
      </c>
      <c r="AA342">
        <v>6359075</v>
      </c>
      <c r="AB342" t="s">
        <v>10505</v>
      </c>
      <c r="AC342">
        <v>4</v>
      </c>
      <c r="AD342" t="s">
        <v>12419</v>
      </c>
      <c r="AE342" t="s">
        <v>12435</v>
      </c>
      <c r="AF342">
        <v>3</v>
      </c>
      <c r="AG342">
        <v>1</v>
      </c>
      <c r="AH342">
        <v>1</v>
      </c>
      <c r="AI342">
        <v>14.22</v>
      </c>
      <c r="AL342" t="s">
        <v>12460</v>
      </c>
      <c r="AM342">
        <v>2340</v>
      </c>
      <c r="AS342">
        <v>5.55</v>
      </c>
      <c r="AT342" t="s">
        <v>259</v>
      </c>
      <c r="AU342" t="s">
        <v>13104</v>
      </c>
    </row>
    <row r="343" spans="1:47">
      <c r="A343" s="1">
        <f>HYPERLINK("https://cms.ls-nyc.org/matter/dynamic-profile/view/1863697","18-1863697")</f>
        <v>0</v>
      </c>
      <c r="B343" t="s">
        <v>121</v>
      </c>
      <c r="C343" t="s">
        <v>400</v>
      </c>
      <c r="D343" t="s">
        <v>304</v>
      </c>
      <c r="E343" t="s">
        <v>820</v>
      </c>
      <c r="F343" t="s">
        <v>2293</v>
      </c>
      <c r="G343" t="s">
        <v>3902</v>
      </c>
      <c r="I343" t="s">
        <v>6048</v>
      </c>
      <c r="J343">
        <v>10305</v>
      </c>
      <c r="K343" t="s">
        <v>6074</v>
      </c>
      <c r="L343" t="s">
        <v>6074</v>
      </c>
      <c r="M343" t="s">
        <v>6258</v>
      </c>
      <c r="N343" t="s">
        <v>7274</v>
      </c>
      <c r="O343" t="s">
        <v>7308</v>
      </c>
      <c r="P343" t="s">
        <v>7316</v>
      </c>
      <c r="Q343" t="s">
        <v>7322</v>
      </c>
      <c r="R343" t="s">
        <v>6076</v>
      </c>
      <c r="S343" t="s">
        <v>7324</v>
      </c>
      <c r="T343" t="s">
        <v>7336</v>
      </c>
      <c r="U343" t="s">
        <v>304</v>
      </c>
      <c r="V343">
        <v>1800</v>
      </c>
      <c r="W343" t="s">
        <v>7364</v>
      </c>
      <c r="X343" t="s">
        <v>7375</v>
      </c>
      <c r="Y343" t="s">
        <v>7391</v>
      </c>
      <c r="Z343" t="s">
        <v>7683</v>
      </c>
      <c r="AA343" t="s">
        <v>9911</v>
      </c>
      <c r="AC343">
        <v>2</v>
      </c>
      <c r="AD343" t="s">
        <v>12419</v>
      </c>
      <c r="AE343" t="s">
        <v>6110</v>
      </c>
      <c r="AF343">
        <v>6</v>
      </c>
      <c r="AG343">
        <v>2</v>
      </c>
      <c r="AH343">
        <v>2</v>
      </c>
      <c r="AI343">
        <v>14.34</v>
      </c>
      <c r="AL343" t="s">
        <v>12460</v>
      </c>
      <c r="AM343">
        <v>3600</v>
      </c>
      <c r="AO343" t="s">
        <v>12847</v>
      </c>
      <c r="AP343" t="s">
        <v>7305</v>
      </c>
      <c r="AQ343" t="s">
        <v>12910</v>
      </c>
      <c r="AR343" t="s">
        <v>12939</v>
      </c>
      <c r="AS343">
        <v>11.8</v>
      </c>
      <c r="AT343" t="s">
        <v>304</v>
      </c>
      <c r="AU343" t="s">
        <v>13102</v>
      </c>
    </row>
    <row r="344" spans="1:47">
      <c r="A344" s="1">
        <f>HYPERLINK("https://cms.ls-nyc.org/matter/dynamic-profile/view/1876521","18-1876521")</f>
        <v>0</v>
      </c>
      <c r="B344" t="s">
        <v>90</v>
      </c>
      <c r="C344" t="s">
        <v>401</v>
      </c>
      <c r="D344" t="s">
        <v>472</v>
      </c>
      <c r="E344" t="s">
        <v>821</v>
      </c>
      <c r="F344" t="s">
        <v>646</v>
      </c>
      <c r="G344" t="s">
        <v>3903</v>
      </c>
      <c r="H344" t="s">
        <v>5483</v>
      </c>
      <c r="I344" t="s">
        <v>6043</v>
      </c>
      <c r="J344">
        <v>11212</v>
      </c>
      <c r="K344" t="s">
        <v>6074</v>
      </c>
      <c r="L344" t="s">
        <v>6074</v>
      </c>
      <c r="M344" t="s">
        <v>6204</v>
      </c>
      <c r="N344" t="s">
        <v>7281</v>
      </c>
      <c r="O344" t="s">
        <v>7307</v>
      </c>
      <c r="P344" t="s">
        <v>7315</v>
      </c>
      <c r="Q344" t="s">
        <v>7322</v>
      </c>
      <c r="R344" t="s">
        <v>6074</v>
      </c>
      <c r="S344" t="s">
        <v>7331</v>
      </c>
      <c r="T344" t="s">
        <v>7336</v>
      </c>
      <c r="U344" t="s">
        <v>401</v>
      </c>
      <c r="V344">
        <v>2150</v>
      </c>
      <c r="W344" t="s">
        <v>7362</v>
      </c>
      <c r="Y344" t="s">
        <v>7396</v>
      </c>
      <c r="Z344" t="s">
        <v>7684</v>
      </c>
      <c r="AB344" t="s">
        <v>10506</v>
      </c>
      <c r="AC344">
        <v>35</v>
      </c>
      <c r="AD344" t="s">
        <v>12420</v>
      </c>
      <c r="AE344" t="s">
        <v>12434</v>
      </c>
      <c r="AF344">
        <v>27</v>
      </c>
      <c r="AG344">
        <v>1</v>
      </c>
      <c r="AH344">
        <v>1</v>
      </c>
      <c r="AI344">
        <v>14.37</v>
      </c>
      <c r="AL344" t="s">
        <v>12460</v>
      </c>
      <c r="AM344">
        <v>2366</v>
      </c>
      <c r="AN344" t="s">
        <v>12525</v>
      </c>
      <c r="AS344">
        <v>2.5</v>
      </c>
      <c r="AT344" t="s">
        <v>472</v>
      </c>
      <c r="AU344" t="s">
        <v>90</v>
      </c>
    </row>
    <row r="345" spans="1:47">
      <c r="A345" s="1">
        <f>HYPERLINK("https://cms.ls-nyc.org/matter/dynamic-profile/view/1877677","18-1877677")</f>
        <v>0</v>
      </c>
      <c r="B345" t="s">
        <v>103</v>
      </c>
      <c r="C345" t="s">
        <v>383</v>
      </c>
      <c r="D345" t="s">
        <v>383</v>
      </c>
      <c r="E345" t="s">
        <v>822</v>
      </c>
      <c r="F345" t="s">
        <v>2294</v>
      </c>
      <c r="G345" t="s">
        <v>3904</v>
      </c>
      <c r="I345" t="s">
        <v>6047</v>
      </c>
      <c r="J345">
        <v>10467</v>
      </c>
      <c r="K345" t="s">
        <v>6074</v>
      </c>
      <c r="L345" t="s">
        <v>6074</v>
      </c>
      <c r="N345" t="s">
        <v>7278</v>
      </c>
      <c r="O345" t="s">
        <v>7307</v>
      </c>
      <c r="P345" t="s">
        <v>7315</v>
      </c>
      <c r="Q345" t="s">
        <v>7322</v>
      </c>
      <c r="S345" t="s">
        <v>7324</v>
      </c>
      <c r="U345" t="s">
        <v>383</v>
      </c>
      <c r="V345">
        <v>0</v>
      </c>
      <c r="W345" t="s">
        <v>7363</v>
      </c>
      <c r="Y345" t="s">
        <v>7387</v>
      </c>
      <c r="Z345" t="s">
        <v>7685</v>
      </c>
      <c r="AB345" t="s">
        <v>10507</v>
      </c>
      <c r="AC345">
        <v>0</v>
      </c>
      <c r="AF345">
        <v>0</v>
      </c>
      <c r="AG345">
        <v>2</v>
      </c>
      <c r="AH345">
        <v>0</v>
      </c>
      <c r="AI345">
        <v>14.37</v>
      </c>
      <c r="AL345" t="s">
        <v>12460</v>
      </c>
      <c r="AM345">
        <v>2366</v>
      </c>
      <c r="AN345" t="s">
        <v>12526</v>
      </c>
      <c r="AS345">
        <v>1.5</v>
      </c>
      <c r="AT345" t="s">
        <v>383</v>
      </c>
      <c r="AU345" t="s">
        <v>103</v>
      </c>
    </row>
    <row r="346" spans="1:47">
      <c r="A346" s="1">
        <f>HYPERLINK("https://cms.ls-nyc.org/matter/dynamic-profile/view/1890990","19-1890990")</f>
        <v>0</v>
      </c>
      <c r="B346" t="s">
        <v>96</v>
      </c>
      <c r="C346" t="s">
        <v>393</v>
      </c>
      <c r="E346" t="s">
        <v>823</v>
      </c>
      <c r="F346" t="s">
        <v>2295</v>
      </c>
      <c r="G346" t="s">
        <v>3792</v>
      </c>
      <c r="H346" t="s">
        <v>5379</v>
      </c>
      <c r="I346" t="s">
        <v>6047</v>
      </c>
      <c r="J346">
        <v>10453</v>
      </c>
      <c r="K346" t="s">
        <v>6074</v>
      </c>
      <c r="L346" t="s">
        <v>6074</v>
      </c>
      <c r="M346" t="s">
        <v>6259</v>
      </c>
      <c r="N346" t="s">
        <v>7273</v>
      </c>
      <c r="O346" t="s">
        <v>7308</v>
      </c>
      <c r="Q346" t="s">
        <v>7322</v>
      </c>
      <c r="R346" t="s">
        <v>6074</v>
      </c>
      <c r="S346" t="s">
        <v>7324</v>
      </c>
      <c r="U346" t="s">
        <v>457</v>
      </c>
      <c r="V346">
        <v>685.95</v>
      </c>
      <c r="W346" t="s">
        <v>7363</v>
      </c>
      <c r="X346" t="s">
        <v>7376</v>
      </c>
      <c r="Z346" t="s">
        <v>7686</v>
      </c>
      <c r="AB346" t="s">
        <v>10508</v>
      </c>
      <c r="AC346">
        <v>167</v>
      </c>
      <c r="AD346" t="s">
        <v>12422</v>
      </c>
      <c r="AE346" t="s">
        <v>6110</v>
      </c>
      <c r="AF346">
        <v>26</v>
      </c>
      <c r="AG346">
        <v>1</v>
      </c>
      <c r="AH346">
        <v>0</v>
      </c>
      <c r="AI346">
        <v>14.38</v>
      </c>
      <c r="AL346" t="s">
        <v>12460</v>
      </c>
      <c r="AM346">
        <v>1796</v>
      </c>
      <c r="AS346">
        <v>0</v>
      </c>
      <c r="AU346" t="s">
        <v>13092</v>
      </c>
    </row>
    <row r="347" spans="1:47">
      <c r="A347" s="1">
        <f>HYPERLINK("https://cms.ls-nyc.org/matter/dynamic-profile/view/1873749","18-1873749")</f>
        <v>0</v>
      </c>
      <c r="B347" t="s">
        <v>145</v>
      </c>
      <c r="C347" t="s">
        <v>402</v>
      </c>
      <c r="E347" t="s">
        <v>824</v>
      </c>
      <c r="F347" t="s">
        <v>2296</v>
      </c>
      <c r="G347" t="s">
        <v>3905</v>
      </c>
      <c r="H347" t="s">
        <v>5372</v>
      </c>
      <c r="I347" t="s">
        <v>6025</v>
      </c>
      <c r="J347">
        <v>11691</v>
      </c>
      <c r="K347" t="s">
        <v>6074</v>
      </c>
      <c r="L347" t="s">
        <v>6074</v>
      </c>
      <c r="M347" t="s">
        <v>6260</v>
      </c>
      <c r="N347" t="s">
        <v>7276</v>
      </c>
      <c r="O347" t="s">
        <v>7310</v>
      </c>
      <c r="Q347" t="s">
        <v>7322</v>
      </c>
      <c r="R347" t="s">
        <v>6076</v>
      </c>
      <c r="S347" t="s">
        <v>7324</v>
      </c>
      <c r="T347" t="s">
        <v>7338</v>
      </c>
      <c r="U347" t="s">
        <v>7343</v>
      </c>
      <c r="V347">
        <v>1956</v>
      </c>
      <c r="W347" t="s">
        <v>7361</v>
      </c>
      <c r="X347" t="s">
        <v>7366</v>
      </c>
      <c r="Z347" t="s">
        <v>7687</v>
      </c>
      <c r="AB347" t="s">
        <v>10509</v>
      </c>
      <c r="AC347">
        <v>26</v>
      </c>
      <c r="AD347" t="s">
        <v>12422</v>
      </c>
      <c r="AE347" t="s">
        <v>12433</v>
      </c>
      <c r="AF347">
        <v>3</v>
      </c>
      <c r="AG347">
        <v>1</v>
      </c>
      <c r="AH347">
        <v>2</v>
      </c>
      <c r="AI347">
        <v>14.51</v>
      </c>
      <c r="AK347" t="s">
        <v>12457</v>
      </c>
      <c r="AL347" t="s">
        <v>12460</v>
      </c>
      <c r="AM347">
        <v>3016</v>
      </c>
      <c r="AS347">
        <v>19.7</v>
      </c>
      <c r="AT347" t="s">
        <v>239</v>
      </c>
      <c r="AU347" t="s">
        <v>189</v>
      </c>
    </row>
    <row r="348" spans="1:47">
      <c r="A348" s="1">
        <f>HYPERLINK("https://cms.ls-nyc.org/matter/dynamic-profile/view/1894421","19-1894421")</f>
        <v>0</v>
      </c>
      <c r="B348" t="s">
        <v>120</v>
      </c>
      <c r="C348" t="s">
        <v>392</v>
      </c>
      <c r="D348" t="s">
        <v>280</v>
      </c>
      <c r="E348" t="s">
        <v>825</v>
      </c>
      <c r="F348" t="s">
        <v>2297</v>
      </c>
      <c r="G348" t="s">
        <v>3906</v>
      </c>
      <c r="H348" t="s">
        <v>5484</v>
      </c>
      <c r="I348" t="s">
        <v>6048</v>
      </c>
      <c r="J348">
        <v>10309</v>
      </c>
      <c r="K348" t="s">
        <v>6074</v>
      </c>
      <c r="L348" t="s">
        <v>6074</v>
      </c>
      <c r="M348" t="s">
        <v>6261</v>
      </c>
      <c r="N348" t="s">
        <v>7276</v>
      </c>
      <c r="O348" t="s">
        <v>7308</v>
      </c>
      <c r="P348" t="s">
        <v>7314</v>
      </c>
      <c r="Q348" t="s">
        <v>7323</v>
      </c>
      <c r="S348" t="s">
        <v>7324</v>
      </c>
      <c r="T348" t="s">
        <v>7340</v>
      </c>
      <c r="U348" t="s">
        <v>392</v>
      </c>
      <c r="V348">
        <v>0</v>
      </c>
      <c r="W348" t="s">
        <v>7364</v>
      </c>
      <c r="X348" t="s">
        <v>7369</v>
      </c>
      <c r="Y348" t="s">
        <v>7386</v>
      </c>
      <c r="Z348" t="s">
        <v>7688</v>
      </c>
      <c r="AC348">
        <v>0</v>
      </c>
      <c r="AF348">
        <v>3</v>
      </c>
      <c r="AG348">
        <v>1</v>
      </c>
      <c r="AH348">
        <v>2</v>
      </c>
      <c r="AI348">
        <v>14.63</v>
      </c>
      <c r="AJ348" t="s">
        <v>12443</v>
      </c>
      <c r="AK348" t="s">
        <v>12455</v>
      </c>
      <c r="AL348" t="s">
        <v>12460</v>
      </c>
      <c r="AM348">
        <v>3120</v>
      </c>
      <c r="AS348">
        <v>1.1</v>
      </c>
      <c r="AT348" t="s">
        <v>347</v>
      </c>
      <c r="AU348" t="s">
        <v>120</v>
      </c>
    </row>
    <row r="349" spans="1:47">
      <c r="A349" s="1">
        <f>HYPERLINK("https://cms.ls-nyc.org/matter/dynamic-profile/view/1893711","19-1893711")</f>
        <v>0</v>
      </c>
      <c r="B349" t="s">
        <v>70</v>
      </c>
      <c r="C349" t="s">
        <v>275</v>
      </c>
      <c r="E349" t="s">
        <v>691</v>
      </c>
      <c r="F349" t="s">
        <v>633</v>
      </c>
      <c r="G349" t="s">
        <v>3757</v>
      </c>
      <c r="H349" t="s">
        <v>5423</v>
      </c>
      <c r="I349" t="s">
        <v>6043</v>
      </c>
      <c r="J349">
        <v>11206</v>
      </c>
      <c r="K349" t="s">
        <v>6074</v>
      </c>
      <c r="L349" t="s">
        <v>6074</v>
      </c>
      <c r="M349" t="s">
        <v>6262</v>
      </c>
      <c r="N349" t="s">
        <v>7276</v>
      </c>
      <c r="O349" t="s">
        <v>7308</v>
      </c>
      <c r="Q349" t="s">
        <v>7322</v>
      </c>
      <c r="R349" t="s">
        <v>6076</v>
      </c>
      <c r="S349" t="s">
        <v>7324</v>
      </c>
      <c r="T349" t="s">
        <v>7336</v>
      </c>
      <c r="U349" t="s">
        <v>367</v>
      </c>
      <c r="V349">
        <v>225</v>
      </c>
      <c r="W349" t="s">
        <v>7362</v>
      </c>
      <c r="X349" t="s">
        <v>7368</v>
      </c>
      <c r="Z349" t="s">
        <v>7529</v>
      </c>
      <c r="AB349" t="s">
        <v>10379</v>
      </c>
      <c r="AC349">
        <v>0</v>
      </c>
      <c r="AD349" t="s">
        <v>12420</v>
      </c>
      <c r="AF349">
        <v>15</v>
      </c>
      <c r="AG349">
        <v>1</v>
      </c>
      <c r="AH349">
        <v>0</v>
      </c>
      <c r="AI349">
        <v>14.78</v>
      </c>
      <c r="AL349" t="s">
        <v>12460</v>
      </c>
      <c r="AM349">
        <v>1846</v>
      </c>
      <c r="AS349">
        <v>5.5</v>
      </c>
      <c r="AT349" t="s">
        <v>446</v>
      </c>
      <c r="AU349" t="s">
        <v>88</v>
      </c>
    </row>
    <row r="350" spans="1:47">
      <c r="A350" s="1">
        <f>HYPERLINK("https://cms.ls-nyc.org/matter/dynamic-profile/view/1883258","18-1883258")</f>
        <v>0</v>
      </c>
      <c r="B350" t="s">
        <v>77</v>
      </c>
      <c r="C350" t="s">
        <v>403</v>
      </c>
      <c r="D350" t="s">
        <v>344</v>
      </c>
      <c r="E350" t="s">
        <v>826</v>
      </c>
      <c r="F350" t="s">
        <v>2298</v>
      </c>
      <c r="G350" t="s">
        <v>3907</v>
      </c>
      <c r="H350" t="s">
        <v>5438</v>
      </c>
      <c r="I350" t="s">
        <v>6043</v>
      </c>
      <c r="J350">
        <v>11233</v>
      </c>
      <c r="K350" t="s">
        <v>6074</v>
      </c>
      <c r="L350" t="s">
        <v>6074</v>
      </c>
      <c r="M350" t="s">
        <v>6263</v>
      </c>
      <c r="N350" t="s">
        <v>7276</v>
      </c>
      <c r="O350" t="s">
        <v>7306</v>
      </c>
      <c r="P350" t="s">
        <v>7314</v>
      </c>
      <c r="Q350" t="s">
        <v>7322</v>
      </c>
      <c r="R350" t="s">
        <v>6074</v>
      </c>
      <c r="S350" t="s">
        <v>7324</v>
      </c>
      <c r="U350" t="s">
        <v>403</v>
      </c>
      <c r="V350">
        <v>67</v>
      </c>
      <c r="W350" t="s">
        <v>7362</v>
      </c>
      <c r="X350" t="s">
        <v>7378</v>
      </c>
      <c r="Y350" t="s">
        <v>7386</v>
      </c>
      <c r="Z350" t="s">
        <v>7689</v>
      </c>
      <c r="AA350" t="s">
        <v>9912</v>
      </c>
      <c r="AB350" t="s">
        <v>10510</v>
      </c>
      <c r="AC350">
        <v>120</v>
      </c>
      <c r="AD350" t="s">
        <v>12420</v>
      </c>
      <c r="AE350" t="s">
        <v>12434</v>
      </c>
      <c r="AF350">
        <v>20</v>
      </c>
      <c r="AG350">
        <v>1</v>
      </c>
      <c r="AH350">
        <v>0</v>
      </c>
      <c r="AI350">
        <v>14.83</v>
      </c>
      <c r="AL350" t="s">
        <v>12460</v>
      </c>
      <c r="AM350">
        <v>1800</v>
      </c>
      <c r="AS350">
        <v>3.5</v>
      </c>
      <c r="AT350" t="s">
        <v>413</v>
      </c>
      <c r="AU350" t="s">
        <v>13080</v>
      </c>
    </row>
    <row r="351" spans="1:47">
      <c r="A351" s="1">
        <f>HYPERLINK("https://cms.ls-nyc.org/matter/dynamic-profile/view/1877019","18-1877019")</f>
        <v>0</v>
      </c>
      <c r="B351" t="s">
        <v>140</v>
      </c>
      <c r="C351" t="s">
        <v>404</v>
      </c>
      <c r="E351" t="s">
        <v>827</v>
      </c>
      <c r="F351" t="s">
        <v>2299</v>
      </c>
      <c r="G351" t="s">
        <v>3908</v>
      </c>
      <c r="H351" t="s">
        <v>5418</v>
      </c>
      <c r="I351" t="s">
        <v>6049</v>
      </c>
      <c r="J351">
        <v>10030</v>
      </c>
      <c r="K351" t="s">
        <v>6074</v>
      </c>
      <c r="L351" t="s">
        <v>6075</v>
      </c>
      <c r="M351" t="s">
        <v>6264</v>
      </c>
      <c r="N351" t="s">
        <v>7276</v>
      </c>
      <c r="O351" t="s">
        <v>7307</v>
      </c>
      <c r="Q351" t="s">
        <v>7322</v>
      </c>
      <c r="R351" t="s">
        <v>6076</v>
      </c>
      <c r="S351" t="s">
        <v>7324</v>
      </c>
      <c r="U351" t="s">
        <v>404</v>
      </c>
      <c r="V351">
        <v>1950</v>
      </c>
      <c r="W351" t="s">
        <v>7365</v>
      </c>
      <c r="X351" t="s">
        <v>7367</v>
      </c>
      <c r="Z351" t="s">
        <v>518</v>
      </c>
      <c r="AB351" t="s">
        <v>10511</v>
      </c>
      <c r="AC351">
        <v>30</v>
      </c>
      <c r="AD351" t="s">
        <v>12422</v>
      </c>
      <c r="AE351" t="s">
        <v>6110</v>
      </c>
      <c r="AF351">
        <v>13</v>
      </c>
      <c r="AG351">
        <v>2</v>
      </c>
      <c r="AH351">
        <v>4</v>
      </c>
      <c r="AI351">
        <v>14.95</v>
      </c>
      <c r="AL351" t="s">
        <v>12460</v>
      </c>
      <c r="AM351">
        <v>5044</v>
      </c>
      <c r="AS351">
        <v>10.65</v>
      </c>
      <c r="AT351" t="s">
        <v>299</v>
      </c>
      <c r="AU351" t="s">
        <v>13107</v>
      </c>
    </row>
    <row r="352" spans="1:47">
      <c r="A352" s="1">
        <f>HYPERLINK("https://cms.ls-nyc.org/matter/dynamic-profile/view/1872924","18-1872924")</f>
        <v>0</v>
      </c>
      <c r="B352" t="s">
        <v>146</v>
      </c>
      <c r="C352" t="s">
        <v>319</v>
      </c>
      <c r="D352" t="s">
        <v>413</v>
      </c>
      <c r="E352" t="s">
        <v>828</v>
      </c>
      <c r="F352" t="s">
        <v>2300</v>
      </c>
      <c r="G352" t="s">
        <v>3909</v>
      </c>
      <c r="H352" t="s">
        <v>5485</v>
      </c>
      <c r="I352" t="s">
        <v>6049</v>
      </c>
      <c r="J352">
        <v>10030</v>
      </c>
      <c r="K352" t="s">
        <v>6074</v>
      </c>
      <c r="L352" t="s">
        <v>6076</v>
      </c>
      <c r="M352" t="s">
        <v>6265</v>
      </c>
      <c r="N352" t="s">
        <v>7276</v>
      </c>
      <c r="O352" t="s">
        <v>7306</v>
      </c>
      <c r="P352" t="s">
        <v>7314</v>
      </c>
      <c r="Q352" t="s">
        <v>7322</v>
      </c>
      <c r="R352" t="s">
        <v>6076</v>
      </c>
      <c r="S352" t="s">
        <v>7324</v>
      </c>
      <c r="U352" t="s">
        <v>281</v>
      </c>
      <c r="V352">
        <v>988.66</v>
      </c>
      <c r="W352" t="s">
        <v>7365</v>
      </c>
      <c r="X352" t="s">
        <v>7367</v>
      </c>
      <c r="Y352" t="s">
        <v>7386</v>
      </c>
      <c r="Z352" t="s">
        <v>7690</v>
      </c>
      <c r="AB352" t="s">
        <v>10512</v>
      </c>
      <c r="AC352">
        <v>52</v>
      </c>
      <c r="AD352" t="s">
        <v>12422</v>
      </c>
      <c r="AF352">
        <v>18</v>
      </c>
      <c r="AG352">
        <v>1</v>
      </c>
      <c r="AH352">
        <v>0</v>
      </c>
      <c r="AI352">
        <v>14.99</v>
      </c>
      <c r="AL352" t="s">
        <v>12460</v>
      </c>
      <c r="AM352">
        <v>1820</v>
      </c>
      <c r="AS352">
        <v>1.4</v>
      </c>
      <c r="AT352" t="s">
        <v>413</v>
      </c>
      <c r="AU352" t="s">
        <v>13115</v>
      </c>
    </row>
    <row r="353" spans="1:47">
      <c r="A353" s="1">
        <f>HYPERLINK("https://cms.ls-nyc.org/matter/dynamic-profile/view/1897714","19-1897714")</f>
        <v>0</v>
      </c>
      <c r="B353" t="s">
        <v>51</v>
      </c>
      <c r="C353" t="s">
        <v>263</v>
      </c>
      <c r="E353" t="s">
        <v>829</v>
      </c>
      <c r="F353" t="s">
        <v>2008</v>
      </c>
      <c r="I353" t="s">
        <v>6026</v>
      </c>
      <c r="J353">
        <v>11434</v>
      </c>
      <c r="K353" t="s">
        <v>6074</v>
      </c>
      <c r="L353" t="s">
        <v>6074</v>
      </c>
      <c r="M353" t="s">
        <v>6266</v>
      </c>
      <c r="N353" t="s">
        <v>7273</v>
      </c>
      <c r="O353" t="s">
        <v>7306</v>
      </c>
      <c r="Q353" t="s">
        <v>7322</v>
      </c>
      <c r="R353" t="s">
        <v>6076</v>
      </c>
      <c r="S353" t="s">
        <v>7324</v>
      </c>
      <c r="U353" t="s">
        <v>263</v>
      </c>
      <c r="V353">
        <v>2100</v>
      </c>
      <c r="W353" t="s">
        <v>7361</v>
      </c>
      <c r="X353" t="s">
        <v>7366</v>
      </c>
      <c r="Z353" t="s">
        <v>7691</v>
      </c>
      <c r="AB353" t="s">
        <v>10513</v>
      </c>
      <c r="AC353">
        <v>2</v>
      </c>
      <c r="AD353" t="s">
        <v>6322</v>
      </c>
      <c r="AE353" t="s">
        <v>6110</v>
      </c>
      <c r="AF353">
        <v>2</v>
      </c>
      <c r="AG353">
        <v>2</v>
      </c>
      <c r="AH353">
        <v>1</v>
      </c>
      <c r="AI353">
        <v>15</v>
      </c>
      <c r="AL353" t="s">
        <v>12460</v>
      </c>
      <c r="AM353">
        <v>3200</v>
      </c>
      <c r="AN353" t="s">
        <v>12527</v>
      </c>
      <c r="AS353">
        <v>0</v>
      </c>
      <c r="AU353" t="s">
        <v>51</v>
      </c>
    </row>
    <row r="354" spans="1:47">
      <c r="A354" s="1">
        <f>HYPERLINK("https://cms.ls-nyc.org/matter/dynamic-profile/view/1892147","19-1892147")</f>
        <v>0</v>
      </c>
      <c r="B354" t="s">
        <v>68</v>
      </c>
      <c r="C354" t="s">
        <v>405</v>
      </c>
      <c r="D354" t="s">
        <v>332</v>
      </c>
      <c r="E354" t="s">
        <v>737</v>
      </c>
      <c r="F354" t="s">
        <v>2052</v>
      </c>
      <c r="G354" t="s">
        <v>3910</v>
      </c>
      <c r="H354" t="s">
        <v>5422</v>
      </c>
      <c r="I354" t="s">
        <v>6043</v>
      </c>
      <c r="J354">
        <v>11208</v>
      </c>
      <c r="K354" t="s">
        <v>6074</v>
      </c>
      <c r="L354" t="s">
        <v>6074</v>
      </c>
      <c r="M354" t="s">
        <v>6267</v>
      </c>
      <c r="N354" t="s">
        <v>7276</v>
      </c>
      <c r="O354" t="s">
        <v>7306</v>
      </c>
      <c r="P354" t="s">
        <v>7314</v>
      </c>
      <c r="Q354" t="s">
        <v>7322</v>
      </c>
      <c r="R354" t="s">
        <v>6076</v>
      </c>
      <c r="S354" t="s">
        <v>7324</v>
      </c>
      <c r="U354" t="s">
        <v>332</v>
      </c>
      <c r="V354">
        <v>835</v>
      </c>
      <c r="W354" t="s">
        <v>7362</v>
      </c>
      <c r="Y354" t="s">
        <v>7386</v>
      </c>
      <c r="Z354" t="s">
        <v>7692</v>
      </c>
      <c r="AB354" t="s">
        <v>10514</v>
      </c>
      <c r="AC354">
        <v>6</v>
      </c>
      <c r="AD354" t="s">
        <v>12422</v>
      </c>
      <c r="AE354" t="s">
        <v>12434</v>
      </c>
      <c r="AF354">
        <v>0</v>
      </c>
      <c r="AG354">
        <v>1</v>
      </c>
      <c r="AH354">
        <v>0</v>
      </c>
      <c r="AI354">
        <v>15.03</v>
      </c>
      <c r="AL354" t="s">
        <v>12460</v>
      </c>
      <c r="AM354">
        <v>1877.2</v>
      </c>
      <c r="AS354">
        <v>1.4</v>
      </c>
      <c r="AT354" t="s">
        <v>367</v>
      </c>
      <c r="AU354" t="s">
        <v>180</v>
      </c>
    </row>
    <row r="355" spans="1:47">
      <c r="A355" s="1">
        <f>HYPERLINK("https://cms.ls-nyc.org/matter/dynamic-profile/view/1875333","18-1875333")</f>
        <v>0</v>
      </c>
      <c r="B355" t="s">
        <v>147</v>
      </c>
      <c r="C355" t="s">
        <v>406</v>
      </c>
      <c r="E355" t="s">
        <v>830</v>
      </c>
      <c r="F355" t="s">
        <v>2172</v>
      </c>
      <c r="G355" t="s">
        <v>3911</v>
      </c>
      <c r="H355" t="s">
        <v>5486</v>
      </c>
      <c r="I355" t="s">
        <v>6049</v>
      </c>
      <c r="J355">
        <v>10039</v>
      </c>
      <c r="K355" t="s">
        <v>6074</v>
      </c>
      <c r="L355" t="s">
        <v>6074</v>
      </c>
      <c r="M355" t="s">
        <v>6268</v>
      </c>
      <c r="N355" t="s">
        <v>7273</v>
      </c>
      <c r="O355" t="s">
        <v>7306</v>
      </c>
      <c r="Q355" t="s">
        <v>7322</v>
      </c>
      <c r="R355" t="s">
        <v>6076</v>
      </c>
      <c r="S355" t="s">
        <v>7324</v>
      </c>
      <c r="U355" t="s">
        <v>406</v>
      </c>
      <c r="V355">
        <v>831</v>
      </c>
      <c r="W355" t="s">
        <v>7365</v>
      </c>
      <c r="X355" t="s">
        <v>7367</v>
      </c>
      <c r="Z355" t="s">
        <v>7693</v>
      </c>
      <c r="AB355" t="s">
        <v>10515</v>
      </c>
      <c r="AC355">
        <v>312</v>
      </c>
      <c r="AD355" t="s">
        <v>12423</v>
      </c>
      <c r="AE355" t="s">
        <v>6110</v>
      </c>
      <c r="AF355">
        <v>29</v>
      </c>
      <c r="AG355">
        <v>1</v>
      </c>
      <c r="AH355">
        <v>0</v>
      </c>
      <c r="AI355">
        <v>15.33</v>
      </c>
      <c r="AL355" t="s">
        <v>12460</v>
      </c>
      <c r="AM355">
        <v>1861.6</v>
      </c>
      <c r="AS355">
        <v>1.5</v>
      </c>
      <c r="AT355" t="s">
        <v>406</v>
      </c>
      <c r="AU355" t="s">
        <v>13107</v>
      </c>
    </row>
    <row r="356" spans="1:47">
      <c r="A356" s="1">
        <f>HYPERLINK("https://cms.ls-nyc.org/matter/dynamic-profile/view/1896637","19-1896637")</f>
        <v>0</v>
      </c>
      <c r="B356" t="s">
        <v>71</v>
      </c>
      <c r="C356" t="s">
        <v>387</v>
      </c>
      <c r="E356" t="s">
        <v>831</v>
      </c>
      <c r="F356" t="s">
        <v>2301</v>
      </c>
      <c r="G356" t="s">
        <v>3912</v>
      </c>
      <c r="H356">
        <v>4</v>
      </c>
      <c r="I356" t="s">
        <v>6043</v>
      </c>
      <c r="J356">
        <v>11233</v>
      </c>
      <c r="K356" t="s">
        <v>6076</v>
      </c>
      <c r="L356" t="s">
        <v>6076</v>
      </c>
      <c r="N356" t="s">
        <v>6104</v>
      </c>
      <c r="Q356" t="s">
        <v>7322</v>
      </c>
      <c r="R356" t="s">
        <v>6076</v>
      </c>
      <c r="S356" t="s">
        <v>7324</v>
      </c>
      <c r="T356" t="s">
        <v>7336</v>
      </c>
      <c r="U356" t="s">
        <v>526</v>
      </c>
      <c r="V356">
        <v>1477</v>
      </c>
      <c r="W356" t="s">
        <v>7362</v>
      </c>
      <c r="X356" t="s">
        <v>7368</v>
      </c>
      <c r="Z356" t="s">
        <v>7694</v>
      </c>
      <c r="AA356" t="s">
        <v>9913</v>
      </c>
      <c r="AB356" t="s">
        <v>10516</v>
      </c>
      <c r="AC356">
        <v>8</v>
      </c>
      <c r="AD356" t="s">
        <v>12422</v>
      </c>
      <c r="AE356" t="s">
        <v>12434</v>
      </c>
      <c r="AF356">
        <v>4</v>
      </c>
      <c r="AG356">
        <v>3</v>
      </c>
      <c r="AH356">
        <v>1</v>
      </c>
      <c r="AI356">
        <v>15.45</v>
      </c>
      <c r="AL356" t="s">
        <v>12460</v>
      </c>
      <c r="AM356">
        <v>3978</v>
      </c>
      <c r="AS356">
        <v>5.1</v>
      </c>
      <c r="AT356" t="s">
        <v>13065</v>
      </c>
      <c r="AU356" t="s">
        <v>218</v>
      </c>
    </row>
    <row r="357" spans="1:47">
      <c r="A357" s="1">
        <f>HYPERLINK("https://cms.ls-nyc.org/matter/dynamic-profile/view/1880283","18-1880283")</f>
        <v>0</v>
      </c>
      <c r="B357" t="s">
        <v>71</v>
      </c>
      <c r="C357" t="s">
        <v>354</v>
      </c>
      <c r="E357" t="s">
        <v>832</v>
      </c>
      <c r="F357" t="s">
        <v>846</v>
      </c>
      <c r="G357" t="s">
        <v>3913</v>
      </c>
      <c r="H357" t="s">
        <v>5487</v>
      </c>
      <c r="I357" t="s">
        <v>6043</v>
      </c>
      <c r="J357">
        <v>11208</v>
      </c>
      <c r="K357" t="s">
        <v>6074</v>
      </c>
      <c r="L357" t="s">
        <v>6074</v>
      </c>
      <c r="M357" t="s">
        <v>6269</v>
      </c>
      <c r="N357" t="s">
        <v>7276</v>
      </c>
      <c r="O357" t="s">
        <v>7308</v>
      </c>
      <c r="Q357" t="s">
        <v>7322</v>
      </c>
      <c r="S357" t="s">
        <v>7324</v>
      </c>
      <c r="U357" t="s">
        <v>337</v>
      </c>
      <c r="V357">
        <v>1186</v>
      </c>
      <c r="W357" t="s">
        <v>7362</v>
      </c>
      <c r="X357" t="s">
        <v>7366</v>
      </c>
      <c r="Z357" t="s">
        <v>7695</v>
      </c>
      <c r="AA357" t="s">
        <v>9914</v>
      </c>
      <c r="AB357" t="s">
        <v>10517</v>
      </c>
      <c r="AC357">
        <v>0</v>
      </c>
      <c r="AF357">
        <v>11</v>
      </c>
      <c r="AG357">
        <v>1</v>
      </c>
      <c r="AH357">
        <v>1</v>
      </c>
      <c r="AI357">
        <v>15.48</v>
      </c>
      <c r="AL357" t="s">
        <v>12460</v>
      </c>
      <c r="AM357">
        <v>2548</v>
      </c>
      <c r="AS357">
        <v>53.65</v>
      </c>
      <c r="AT357" t="s">
        <v>260</v>
      </c>
      <c r="AU357" t="s">
        <v>13083</v>
      </c>
    </row>
    <row r="358" spans="1:47">
      <c r="A358" s="1">
        <f>HYPERLINK("https://cms.ls-nyc.org/matter/dynamic-profile/view/1885698","18-1885698")</f>
        <v>0</v>
      </c>
      <c r="B358" t="s">
        <v>126</v>
      </c>
      <c r="C358" t="s">
        <v>344</v>
      </c>
      <c r="D358" t="s">
        <v>462</v>
      </c>
      <c r="E358" t="s">
        <v>689</v>
      </c>
      <c r="F358" t="s">
        <v>2302</v>
      </c>
      <c r="G358" t="s">
        <v>3914</v>
      </c>
      <c r="H358">
        <v>510</v>
      </c>
      <c r="I358" t="s">
        <v>6049</v>
      </c>
      <c r="J358">
        <v>10035</v>
      </c>
      <c r="K358" t="s">
        <v>6074</v>
      </c>
      <c r="L358" t="s">
        <v>6074</v>
      </c>
      <c r="N358" t="s">
        <v>7275</v>
      </c>
      <c r="O358" t="s">
        <v>7309</v>
      </c>
      <c r="P358" t="s">
        <v>7319</v>
      </c>
      <c r="Q358" t="s">
        <v>7322</v>
      </c>
      <c r="R358" t="s">
        <v>6076</v>
      </c>
      <c r="S358" t="s">
        <v>7333</v>
      </c>
      <c r="T358" t="s">
        <v>7339</v>
      </c>
      <c r="U358" t="s">
        <v>344</v>
      </c>
      <c r="V358">
        <v>1361</v>
      </c>
      <c r="W358" t="s">
        <v>7365</v>
      </c>
      <c r="X358" t="s">
        <v>7367</v>
      </c>
      <c r="Y358" t="s">
        <v>7397</v>
      </c>
      <c r="Z358" t="s">
        <v>7696</v>
      </c>
      <c r="AB358" t="s">
        <v>10518</v>
      </c>
      <c r="AC358">
        <v>87</v>
      </c>
      <c r="AD358" t="s">
        <v>12422</v>
      </c>
      <c r="AE358" t="s">
        <v>12434</v>
      </c>
      <c r="AF358">
        <v>3</v>
      </c>
      <c r="AG358">
        <v>2</v>
      </c>
      <c r="AH358">
        <v>0</v>
      </c>
      <c r="AI358">
        <v>15.67</v>
      </c>
      <c r="AL358" t="s">
        <v>12460</v>
      </c>
      <c r="AM358">
        <v>2580</v>
      </c>
      <c r="AP358" t="s">
        <v>12858</v>
      </c>
      <c r="AQ358" t="s">
        <v>12909</v>
      </c>
      <c r="AR358" t="s">
        <v>12940</v>
      </c>
      <c r="AS358">
        <v>0.2</v>
      </c>
      <c r="AT358" t="s">
        <v>344</v>
      </c>
      <c r="AU358" t="s">
        <v>126</v>
      </c>
    </row>
    <row r="359" spans="1:47">
      <c r="A359" s="1">
        <f>HYPERLINK("https://cms.ls-nyc.org/matter/dynamic-profile/view/1881881","18-1881881")</f>
        <v>0</v>
      </c>
      <c r="B359" t="s">
        <v>133</v>
      </c>
      <c r="C359" t="s">
        <v>258</v>
      </c>
      <c r="E359" t="s">
        <v>833</v>
      </c>
      <c r="F359" t="s">
        <v>2303</v>
      </c>
      <c r="G359" t="s">
        <v>3915</v>
      </c>
      <c r="H359" t="s">
        <v>5447</v>
      </c>
      <c r="I359" t="s">
        <v>6049</v>
      </c>
      <c r="J359">
        <v>10032</v>
      </c>
      <c r="K359" t="s">
        <v>6074</v>
      </c>
      <c r="L359" t="s">
        <v>6074</v>
      </c>
      <c r="N359" t="s">
        <v>7273</v>
      </c>
      <c r="O359" t="s">
        <v>7308</v>
      </c>
      <c r="Q359" t="s">
        <v>7322</v>
      </c>
      <c r="R359" t="s">
        <v>6076</v>
      </c>
      <c r="S359" t="s">
        <v>7324</v>
      </c>
      <c r="U359" t="s">
        <v>258</v>
      </c>
      <c r="V359">
        <v>762.59</v>
      </c>
      <c r="W359" t="s">
        <v>7365</v>
      </c>
      <c r="X359" t="s">
        <v>7373</v>
      </c>
      <c r="Z359" t="s">
        <v>7697</v>
      </c>
      <c r="AB359" t="s">
        <v>10519</v>
      </c>
      <c r="AC359">
        <v>20</v>
      </c>
      <c r="AD359" t="s">
        <v>12422</v>
      </c>
      <c r="AE359" t="s">
        <v>6110</v>
      </c>
      <c r="AF359">
        <v>35</v>
      </c>
      <c r="AG359">
        <v>3</v>
      </c>
      <c r="AH359">
        <v>2</v>
      </c>
      <c r="AI359">
        <v>15.95</v>
      </c>
      <c r="AL359" t="s">
        <v>12460</v>
      </c>
      <c r="AM359">
        <v>4692</v>
      </c>
      <c r="AS359">
        <v>1.6</v>
      </c>
      <c r="AT359" t="s">
        <v>416</v>
      </c>
      <c r="AU359" t="s">
        <v>13106</v>
      </c>
    </row>
    <row r="360" spans="1:47">
      <c r="A360" s="1">
        <f>HYPERLINK("https://cms.ls-nyc.org/matter/dynamic-profile/view/1876972","18-1876972")</f>
        <v>0</v>
      </c>
      <c r="B360" t="s">
        <v>131</v>
      </c>
      <c r="C360" t="s">
        <v>290</v>
      </c>
      <c r="D360" t="s">
        <v>435</v>
      </c>
      <c r="E360" t="s">
        <v>834</v>
      </c>
      <c r="F360" t="s">
        <v>2304</v>
      </c>
      <c r="G360" t="s">
        <v>3916</v>
      </c>
      <c r="H360" t="s">
        <v>5402</v>
      </c>
      <c r="I360" t="s">
        <v>6049</v>
      </c>
      <c r="J360">
        <v>10034</v>
      </c>
      <c r="K360" t="s">
        <v>6074</v>
      </c>
      <c r="L360" t="s">
        <v>6074</v>
      </c>
      <c r="N360" t="s">
        <v>7276</v>
      </c>
      <c r="O360" t="s">
        <v>7307</v>
      </c>
      <c r="P360" t="s">
        <v>7315</v>
      </c>
      <c r="Q360" t="s">
        <v>7322</v>
      </c>
      <c r="R360" t="s">
        <v>6076</v>
      </c>
      <c r="S360" t="s">
        <v>7324</v>
      </c>
      <c r="T360" t="s">
        <v>7339</v>
      </c>
      <c r="U360" t="s">
        <v>290</v>
      </c>
      <c r="V360">
        <v>1409</v>
      </c>
      <c r="W360" t="s">
        <v>7365</v>
      </c>
      <c r="X360" t="s">
        <v>7367</v>
      </c>
      <c r="Y360" t="s">
        <v>7387</v>
      </c>
      <c r="Z360" t="s">
        <v>7698</v>
      </c>
      <c r="AB360" t="s">
        <v>10520</v>
      </c>
      <c r="AC360">
        <v>228</v>
      </c>
      <c r="AD360" t="s">
        <v>12422</v>
      </c>
      <c r="AE360" t="s">
        <v>6110</v>
      </c>
      <c r="AF360">
        <v>18</v>
      </c>
      <c r="AG360">
        <v>1</v>
      </c>
      <c r="AH360">
        <v>0</v>
      </c>
      <c r="AI360">
        <v>16.06</v>
      </c>
      <c r="AL360" t="s">
        <v>12460</v>
      </c>
      <c r="AM360">
        <v>1950</v>
      </c>
      <c r="AS360">
        <v>3.7</v>
      </c>
      <c r="AT360" t="s">
        <v>269</v>
      </c>
      <c r="AU360" t="s">
        <v>13106</v>
      </c>
    </row>
    <row r="361" spans="1:47">
      <c r="A361" s="1">
        <f>HYPERLINK("https://cms.ls-nyc.org/matter/dynamic-profile/view/1874522","18-1874522")</f>
        <v>0</v>
      </c>
      <c r="B361" t="s">
        <v>51</v>
      </c>
      <c r="C361" t="s">
        <v>237</v>
      </c>
      <c r="E361" t="s">
        <v>835</v>
      </c>
      <c r="F361" t="s">
        <v>2305</v>
      </c>
      <c r="G361" t="s">
        <v>3917</v>
      </c>
      <c r="H361" t="s">
        <v>5476</v>
      </c>
      <c r="I361" t="s">
        <v>6044</v>
      </c>
      <c r="J361">
        <v>11106</v>
      </c>
      <c r="K361" t="s">
        <v>6074</v>
      </c>
      <c r="L361" t="s">
        <v>6074</v>
      </c>
      <c r="M361" t="s">
        <v>6270</v>
      </c>
      <c r="N361" t="s">
        <v>7279</v>
      </c>
      <c r="O361" t="s">
        <v>7311</v>
      </c>
      <c r="Q361" t="s">
        <v>7323</v>
      </c>
      <c r="R361" t="s">
        <v>6076</v>
      </c>
      <c r="S361" t="s">
        <v>7324</v>
      </c>
      <c r="T361" t="s">
        <v>7336</v>
      </c>
      <c r="U361" t="s">
        <v>237</v>
      </c>
      <c r="V361">
        <v>1100</v>
      </c>
      <c r="W361" t="s">
        <v>7361</v>
      </c>
      <c r="X361" t="s">
        <v>7369</v>
      </c>
      <c r="Z361" t="s">
        <v>7699</v>
      </c>
      <c r="AB361" t="s">
        <v>10521</v>
      </c>
      <c r="AC361">
        <v>40</v>
      </c>
      <c r="AD361" t="s">
        <v>12422</v>
      </c>
      <c r="AE361" t="s">
        <v>6110</v>
      </c>
      <c r="AF361">
        <v>25</v>
      </c>
      <c r="AG361">
        <v>6</v>
      </c>
      <c r="AH361">
        <v>4</v>
      </c>
      <c r="AI361">
        <v>16.11</v>
      </c>
      <c r="AJ361" t="s">
        <v>12443</v>
      </c>
      <c r="AK361" t="s">
        <v>12455</v>
      </c>
      <c r="AL361" t="s">
        <v>12467</v>
      </c>
      <c r="AM361">
        <v>8220</v>
      </c>
      <c r="AS361">
        <v>10.4</v>
      </c>
      <c r="AT361" t="s">
        <v>457</v>
      </c>
      <c r="AU361" t="s">
        <v>189</v>
      </c>
    </row>
    <row r="362" spans="1:47">
      <c r="A362" s="1">
        <f>HYPERLINK("https://cms.ls-nyc.org/matter/dynamic-profile/view/1880204","18-1880204")</f>
        <v>0</v>
      </c>
      <c r="B362" t="s">
        <v>102</v>
      </c>
      <c r="C362" t="s">
        <v>391</v>
      </c>
      <c r="E362" t="s">
        <v>694</v>
      </c>
      <c r="F362" t="s">
        <v>2052</v>
      </c>
      <c r="G362" t="s">
        <v>3918</v>
      </c>
      <c r="H362" t="s">
        <v>5447</v>
      </c>
      <c r="I362" t="s">
        <v>6047</v>
      </c>
      <c r="J362">
        <v>10459</v>
      </c>
      <c r="K362" t="s">
        <v>6074</v>
      </c>
      <c r="L362" t="s">
        <v>6074</v>
      </c>
      <c r="M362" t="s">
        <v>6271</v>
      </c>
      <c r="N362" t="s">
        <v>7276</v>
      </c>
      <c r="O362" t="s">
        <v>7308</v>
      </c>
      <c r="Q362" t="s">
        <v>7322</v>
      </c>
      <c r="R362" t="s">
        <v>6076</v>
      </c>
      <c r="S362" t="s">
        <v>7324</v>
      </c>
      <c r="U362" t="s">
        <v>391</v>
      </c>
      <c r="V362">
        <v>350</v>
      </c>
      <c r="W362" t="s">
        <v>7363</v>
      </c>
      <c r="X362" t="s">
        <v>7366</v>
      </c>
      <c r="Z362" t="s">
        <v>7700</v>
      </c>
      <c r="AA362" t="s">
        <v>9915</v>
      </c>
      <c r="AB362" t="s">
        <v>10522</v>
      </c>
      <c r="AC362">
        <v>20</v>
      </c>
      <c r="AD362" t="s">
        <v>12425</v>
      </c>
      <c r="AE362" t="s">
        <v>6110</v>
      </c>
      <c r="AF362">
        <v>24</v>
      </c>
      <c r="AG362">
        <v>1</v>
      </c>
      <c r="AH362">
        <v>0</v>
      </c>
      <c r="AI362">
        <v>16.21</v>
      </c>
      <c r="AL362" t="s">
        <v>12460</v>
      </c>
      <c r="AM362">
        <v>1968</v>
      </c>
      <c r="AS362">
        <v>82.8</v>
      </c>
      <c r="AT362" t="s">
        <v>260</v>
      </c>
      <c r="AU362" t="s">
        <v>13116</v>
      </c>
    </row>
    <row r="363" spans="1:47">
      <c r="A363" s="1">
        <f>HYPERLINK("https://cms.ls-nyc.org/matter/dynamic-profile/view/1895370","19-1895370")</f>
        <v>0</v>
      </c>
      <c r="B363" t="s">
        <v>78</v>
      </c>
      <c r="C363" t="s">
        <v>247</v>
      </c>
      <c r="E363" t="s">
        <v>610</v>
      </c>
      <c r="F363" t="s">
        <v>1977</v>
      </c>
      <c r="G363" t="s">
        <v>3919</v>
      </c>
      <c r="H363" t="s">
        <v>5398</v>
      </c>
      <c r="I363" t="s">
        <v>6043</v>
      </c>
      <c r="J363">
        <v>11212</v>
      </c>
      <c r="K363" t="s">
        <v>6074</v>
      </c>
      <c r="L363" t="s">
        <v>6074</v>
      </c>
      <c r="N363" t="s">
        <v>7287</v>
      </c>
      <c r="O363" t="s">
        <v>7312</v>
      </c>
      <c r="Q363" t="s">
        <v>7322</v>
      </c>
      <c r="R363" t="s">
        <v>6074</v>
      </c>
      <c r="S363" t="s">
        <v>7324</v>
      </c>
      <c r="U363" t="s">
        <v>247</v>
      </c>
      <c r="V363">
        <v>8730</v>
      </c>
      <c r="W363" t="s">
        <v>7362</v>
      </c>
      <c r="X363" t="s">
        <v>7378</v>
      </c>
      <c r="Z363" t="s">
        <v>7701</v>
      </c>
      <c r="AA363" t="s">
        <v>9916</v>
      </c>
      <c r="AB363" t="s">
        <v>10523</v>
      </c>
      <c r="AC363">
        <v>10</v>
      </c>
      <c r="AD363" t="s">
        <v>12422</v>
      </c>
      <c r="AE363" t="s">
        <v>12437</v>
      </c>
      <c r="AF363">
        <v>1</v>
      </c>
      <c r="AG363">
        <v>1</v>
      </c>
      <c r="AH363">
        <v>0</v>
      </c>
      <c r="AI363">
        <v>16.24</v>
      </c>
      <c r="AL363" t="s">
        <v>12460</v>
      </c>
      <c r="AM363">
        <v>2028</v>
      </c>
      <c r="AS363">
        <v>0</v>
      </c>
      <c r="AU363" t="s">
        <v>180</v>
      </c>
    </row>
    <row r="364" spans="1:47">
      <c r="A364" s="1">
        <f>HYPERLINK("https://cms.ls-nyc.org/matter/dynamic-profile/view/1892268","19-1892268")</f>
        <v>0</v>
      </c>
      <c r="B364" t="s">
        <v>113</v>
      </c>
      <c r="C364" t="s">
        <v>359</v>
      </c>
      <c r="E364" t="s">
        <v>574</v>
      </c>
      <c r="F364" t="s">
        <v>2306</v>
      </c>
      <c r="G364" t="s">
        <v>3920</v>
      </c>
      <c r="H364" t="s">
        <v>5453</v>
      </c>
      <c r="I364" t="s">
        <v>6047</v>
      </c>
      <c r="J364">
        <v>10452</v>
      </c>
      <c r="K364" t="s">
        <v>6074</v>
      </c>
      <c r="L364" t="s">
        <v>6074</v>
      </c>
      <c r="O364" t="s">
        <v>7306</v>
      </c>
      <c r="Q364" t="s">
        <v>7322</v>
      </c>
      <c r="S364" t="s">
        <v>7324</v>
      </c>
      <c r="U364" t="s">
        <v>359</v>
      </c>
      <c r="V364">
        <v>0</v>
      </c>
      <c r="W364" t="s">
        <v>7363</v>
      </c>
      <c r="X364" t="s">
        <v>7375</v>
      </c>
      <c r="Z364" t="s">
        <v>7702</v>
      </c>
      <c r="AB364" t="s">
        <v>10524</v>
      </c>
      <c r="AC364">
        <v>0</v>
      </c>
      <c r="AE364" t="s">
        <v>7305</v>
      </c>
      <c r="AF364">
        <v>7</v>
      </c>
      <c r="AG364">
        <v>2</v>
      </c>
      <c r="AH364">
        <v>2</v>
      </c>
      <c r="AI364">
        <v>16.31</v>
      </c>
      <c r="AL364" t="s">
        <v>12460</v>
      </c>
      <c r="AM364">
        <v>4200</v>
      </c>
      <c r="AS364">
        <v>1.1</v>
      </c>
      <c r="AT364" t="s">
        <v>322</v>
      </c>
      <c r="AU364" t="s">
        <v>113</v>
      </c>
    </row>
    <row r="365" spans="1:47">
      <c r="A365" s="1">
        <f>HYPERLINK("https://cms.ls-nyc.org/matter/dynamic-profile/view/1874395","18-1874395")</f>
        <v>0</v>
      </c>
      <c r="B365" t="s">
        <v>78</v>
      </c>
      <c r="C365" t="s">
        <v>236</v>
      </c>
      <c r="E365" t="s">
        <v>610</v>
      </c>
      <c r="F365" t="s">
        <v>1977</v>
      </c>
      <c r="G365" t="s">
        <v>3919</v>
      </c>
      <c r="H365" t="s">
        <v>5398</v>
      </c>
      <c r="I365" t="s">
        <v>6043</v>
      </c>
      <c r="J365">
        <v>11212</v>
      </c>
      <c r="K365" t="s">
        <v>6074</v>
      </c>
      <c r="L365" t="s">
        <v>6074</v>
      </c>
      <c r="M365" t="s">
        <v>6272</v>
      </c>
      <c r="N365" t="s">
        <v>7276</v>
      </c>
      <c r="O365" t="s">
        <v>7308</v>
      </c>
      <c r="Q365" t="s">
        <v>7322</v>
      </c>
      <c r="R365" t="s">
        <v>6076</v>
      </c>
      <c r="S365" t="s">
        <v>7324</v>
      </c>
      <c r="T365" t="s">
        <v>7336</v>
      </c>
      <c r="U365" t="s">
        <v>550</v>
      </c>
      <c r="V365">
        <v>873</v>
      </c>
      <c r="W365" t="s">
        <v>7362</v>
      </c>
      <c r="X365" t="s">
        <v>7378</v>
      </c>
      <c r="Z365" t="s">
        <v>7701</v>
      </c>
      <c r="AA365" t="s">
        <v>9917</v>
      </c>
      <c r="AB365" t="s">
        <v>10523</v>
      </c>
      <c r="AC365">
        <v>10</v>
      </c>
      <c r="AD365" t="s">
        <v>12422</v>
      </c>
      <c r="AE365" t="s">
        <v>12437</v>
      </c>
      <c r="AF365">
        <v>1</v>
      </c>
      <c r="AG365">
        <v>1</v>
      </c>
      <c r="AH365">
        <v>0</v>
      </c>
      <c r="AI365">
        <v>16.71</v>
      </c>
      <c r="AL365" t="s">
        <v>12460</v>
      </c>
      <c r="AM365">
        <v>2028</v>
      </c>
      <c r="AN365" t="s">
        <v>12528</v>
      </c>
      <c r="AO365" t="s">
        <v>12846</v>
      </c>
      <c r="AP365" t="s">
        <v>7305</v>
      </c>
      <c r="AQ365" t="s">
        <v>12909</v>
      </c>
      <c r="AS365">
        <v>45.45</v>
      </c>
      <c r="AT365" t="s">
        <v>324</v>
      </c>
      <c r="AU365" t="s">
        <v>218</v>
      </c>
    </row>
    <row r="366" spans="1:47">
      <c r="A366" s="1">
        <f>HYPERLINK("https://cms.ls-nyc.org/matter/dynamic-profile/view/1879187","18-1879187")</f>
        <v>0</v>
      </c>
      <c r="B366" t="s">
        <v>101</v>
      </c>
      <c r="C366" t="s">
        <v>355</v>
      </c>
      <c r="E366" t="s">
        <v>836</v>
      </c>
      <c r="F366" t="s">
        <v>2307</v>
      </c>
      <c r="G366" t="s">
        <v>3921</v>
      </c>
      <c r="H366" t="s">
        <v>5400</v>
      </c>
      <c r="I366" t="s">
        <v>6047</v>
      </c>
      <c r="J366">
        <v>10452</v>
      </c>
      <c r="K366" t="s">
        <v>6074</v>
      </c>
      <c r="L366" t="s">
        <v>6074</v>
      </c>
      <c r="M366" t="s">
        <v>6273</v>
      </c>
      <c r="N366" t="s">
        <v>7276</v>
      </c>
      <c r="O366" t="s">
        <v>7306</v>
      </c>
      <c r="Q366" t="s">
        <v>7322</v>
      </c>
      <c r="R366" t="s">
        <v>6076</v>
      </c>
      <c r="S366" t="s">
        <v>7324</v>
      </c>
      <c r="U366" t="s">
        <v>391</v>
      </c>
      <c r="V366">
        <v>1342.11</v>
      </c>
      <c r="W366" t="s">
        <v>7363</v>
      </c>
      <c r="X366" t="s">
        <v>7380</v>
      </c>
      <c r="Z366" t="s">
        <v>7703</v>
      </c>
      <c r="AA366" t="s">
        <v>9918</v>
      </c>
      <c r="AB366" t="s">
        <v>10525</v>
      </c>
      <c r="AC366">
        <v>6</v>
      </c>
      <c r="AD366" t="s">
        <v>12422</v>
      </c>
      <c r="AE366" t="s">
        <v>6110</v>
      </c>
      <c r="AF366">
        <v>22</v>
      </c>
      <c r="AG366">
        <v>1</v>
      </c>
      <c r="AH366">
        <v>1</v>
      </c>
      <c r="AI366">
        <v>16.77</v>
      </c>
      <c r="AL366" t="s">
        <v>12460</v>
      </c>
      <c r="AM366">
        <v>2760</v>
      </c>
      <c r="AS366">
        <v>3.75</v>
      </c>
      <c r="AT366" t="s">
        <v>360</v>
      </c>
      <c r="AU366" t="s">
        <v>13100</v>
      </c>
    </row>
    <row r="367" spans="1:47">
      <c r="A367" s="1">
        <f>HYPERLINK("https://cms.ls-nyc.org/matter/dynamic-profile/view/1877271","18-1877271")</f>
        <v>0</v>
      </c>
      <c r="B367" t="s">
        <v>97</v>
      </c>
      <c r="C367" t="s">
        <v>273</v>
      </c>
      <c r="D367" t="s">
        <v>472</v>
      </c>
      <c r="E367" t="s">
        <v>837</v>
      </c>
      <c r="F367" t="s">
        <v>2277</v>
      </c>
      <c r="G367" t="s">
        <v>3805</v>
      </c>
      <c r="H367" t="s">
        <v>5488</v>
      </c>
      <c r="I367" t="s">
        <v>6047</v>
      </c>
      <c r="J367">
        <v>10452</v>
      </c>
      <c r="K367" t="s">
        <v>6074</v>
      </c>
      <c r="L367" t="s">
        <v>6074</v>
      </c>
      <c r="N367" t="s">
        <v>7273</v>
      </c>
      <c r="O367" t="s">
        <v>7306</v>
      </c>
      <c r="P367" t="s">
        <v>7314</v>
      </c>
      <c r="Q367" t="s">
        <v>7322</v>
      </c>
      <c r="R367" t="s">
        <v>6074</v>
      </c>
      <c r="S367" t="s">
        <v>7324</v>
      </c>
      <c r="U367" t="s">
        <v>472</v>
      </c>
      <c r="V367">
        <v>79</v>
      </c>
      <c r="W367" t="s">
        <v>7363</v>
      </c>
      <c r="X367" t="s">
        <v>7376</v>
      </c>
      <c r="Y367" t="s">
        <v>7386</v>
      </c>
      <c r="Z367" t="s">
        <v>7704</v>
      </c>
      <c r="AB367" t="s">
        <v>10526</v>
      </c>
      <c r="AC367">
        <v>149</v>
      </c>
      <c r="AD367" t="s">
        <v>12422</v>
      </c>
      <c r="AE367" t="s">
        <v>12434</v>
      </c>
      <c r="AF367">
        <v>17</v>
      </c>
      <c r="AG367">
        <v>2</v>
      </c>
      <c r="AH367">
        <v>0</v>
      </c>
      <c r="AI367">
        <v>17.02</v>
      </c>
      <c r="AL367" t="s">
        <v>12461</v>
      </c>
      <c r="AM367">
        <v>2802</v>
      </c>
      <c r="AS367">
        <v>0.2</v>
      </c>
      <c r="AT367" t="s">
        <v>492</v>
      </c>
      <c r="AU367" t="s">
        <v>13099</v>
      </c>
    </row>
    <row r="368" spans="1:47">
      <c r="A368" s="1">
        <f>HYPERLINK("https://cms.ls-nyc.org/matter/dynamic-profile/view/1896004","19-1896004")</f>
        <v>0</v>
      </c>
      <c r="B368" t="s">
        <v>76</v>
      </c>
      <c r="C368" t="s">
        <v>270</v>
      </c>
      <c r="E368" t="s">
        <v>838</v>
      </c>
      <c r="F368" t="s">
        <v>2308</v>
      </c>
      <c r="G368" t="s">
        <v>3922</v>
      </c>
      <c r="H368" t="s">
        <v>5461</v>
      </c>
      <c r="I368" t="s">
        <v>6043</v>
      </c>
      <c r="J368">
        <v>11208</v>
      </c>
      <c r="K368" t="s">
        <v>6074</v>
      </c>
      <c r="L368" t="s">
        <v>6074</v>
      </c>
      <c r="M368" t="s">
        <v>6274</v>
      </c>
      <c r="N368" t="s">
        <v>7276</v>
      </c>
      <c r="O368" t="s">
        <v>7310</v>
      </c>
      <c r="Q368" t="s">
        <v>7322</v>
      </c>
      <c r="S368" t="s">
        <v>7324</v>
      </c>
      <c r="U368" t="s">
        <v>315</v>
      </c>
      <c r="V368">
        <v>150</v>
      </c>
      <c r="W368" t="s">
        <v>7362</v>
      </c>
      <c r="X368" t="s">
        <v>7366</v>
      </c>
      <c r="Z368" t="s">
        <v>7705</v>
      </c>
      <c r="AA368" t="s">
        <v>9919</v>
      </c>
      <c r="AB368" t="s">
        <v>10527</v>
      </c>
      <c r="AC368">
        <v>6</v>
      </c>
      <c r="AD368" t="s">
        <v>12422</v>
      </c>
      <c r="AE368" t="s">
        <v>6110</v>
      </c>
      <c r="AF368">
        <v>5</v>
      </c>
      <c r="AG368">
        <v>1</v>
      </c>
      <c r="AH368">
        <v>0</v>
      </c>
      <c r="AI368">
        <v>17.07</v>
      </c>
      <c r="AL368" t="s">
        <v>12460</v>
      </c>
      <c r="AM368">
        <v>2132</v>
      </c>
      <c r="AS368">
        <v>10.9</v>
      </c>
      <c r="AT368" t="s">
        <v>423</v>
      </c>
      <c r="AU368" t="s">
        <v>13084</v>
      </c>
    </row>
    <row r="369" spans="1:48">
      <c r="A369" s="1">
        <f>HYPERLINK("https://cms.ls-nyc.org/matter/dynamic-profile/view/1878994","18-1878994")</f>
        <v>0</v>
      </c>
      <c r="B369" t="s">
        <v>71</v>
      </c>
      <c r="C369" t="s">
        <v>407</v>
      </c>
      <c r="D369" t="s">
        <v>338</v>
      </c>
      <c r="E369" t="s">
        <v>839</v>
      </c>
      <c r="F369" t="s">
        <v>2309</v>
      </c>
      <c r="G369" t="s">
        <v>3923</v>
      </c>
      <c r="H369" t="s">
        <v>5358</v>
      </c>
      <c r="I369" t="s">
        <v>6043</v>
      </c>
      <c r="J369">
        <v>11212</v>
      </c>
      <c r="K369" t="s">
        <v>6074</v>
      </c>
      <c r="L369" t="s">
        <v>6074</v>
      </c>
      <c r="M369" t="s">
        <v>6275</v>
      </c>
      <c r="N369" t="s">
        <v>7274</v>
      </c>
      <c r="O369" t="s">
        <v>7308</v>
      </c>
      <c r="P369" t="s">
        <v>7317</v>
      </c>
      <c r="Q369" t="s">
        <v>7322</v>
      </c>
      <c r="S369" t="s">
        <v>7324</v>
      </c>
      <c r="U369" t="s">
        <v>407</v>
      </c>
      <c r="V369">
        <v>2197</v>
      </c>
      <c r="W369" t="s">
        <v>7362</v>
      </c>
      <c r="X369" t="s">
        <v>7366</v>
      </c>
      <c r="Y369" t="s">
        <v>7391</v>
      </c>
      <c r="Z369" t="s">
        <v>7706</v>
      </c>
      <c r="AA369" t="s">
        <v>9920</v>
      </c>
      <c r="AB369" t="s">
        <v>10528</v>
      </c>
      <c r="AC369">
        <v>4</v>
      </c>
      <c r="AD369" t="s">
        <v>12419</v>
      </c>
      <c r="AE369" t="s">
        <v>12435</v>
      </c>
      <c r="AF369">
        <v>1</v>
      </c>
      <c r="AG369">
        <v>3</v>
      </c>
      <c r="AH369">
        <v>4</v>
      </c>
      <c r="AI369">
        <v>17.08</v>
      </c>
      <c r="AL369" t="s">
        <v>12460</v>
      </c>
      <c r="AM369">
        <v>6500</v>
      </c>
      <c r="AN369" t="s">
        <v>12491</v>
      </c>
      <c r="AS369">
        <v>27.15</v>
      </c>
      <c r="AT369" t="s">
        <v>264</v>
      </c>
      <c r="AU369" t="s">
        <v>13083</v>
      </c>
    </row>
    <row r="370" spans="1:48">
      <c r="A370" s="1">
        <f>HYPERLINK("https://cms.ls-nyc.org/matter/dynamic-profile/view/1883535","18-1883535")</f>
        <v>0</v>
      </c>
      <c r="B370" t="s">
        <v>117</v>
      </c>
      <c r="C370" t="s">
        <v>408</v>
      </c>
      <c r="D370" t="s">
        <v>251</v>
      </c>
      <c r="E370" t="s">
        <v>840</v>
      </c>
      <c r="F370" t="s">
        <v>2265</v>
      </c>
      <c r="G370" t="s">
        <v>3924</v>
      </c>
      <c r="H370">
        <v>1</v>
      </c>
      <c r="I370" t="s">
        <v>6048</v>
      </c>
      <c r="J370">
        <v>10301</v>
      </c>
      <c r="K370" t="s">
        <v>6074</v>
      </c>
      <c r="L370" t="s">
        <v>6074</v>
      </c>
      <c r="M370" t="s">
        <v>6276</v>
      </c>
      <c r="N370" t="s">
        <v>7274</v>
      </c>
      <c r="O370" t="s">
        <v>7308</v>
      </c>
      <c r="P370" t="s">
        <v>7318</v>
      </c>
      <c r="Q370" t="s">
        <v>7322</v>
      </c>
      <c r="R370" t="s">
        <v>6076</v>
      </c>
      <c r="S370" t="s">
        <v>7324</v>
      </c>
      <c r="T370" t="s">
        <v>7339</v>
      </c>
      <c r="U370" t="s">
        <v>408</v>
      </c>
      <c r="V370">
        <v>561</v>
      </c>
      <c r="W370" t="s">
        <v>7364</v>
      </c>
      <c r="X370" t="s">
        <v>7367</v>
      </c>
      <c r="Y370" t="s">
        <v>7391</v>
      </c>
      <c r="Z370" t="s">
        <v>7707</v>
      </c>
      <c r="AB370" t="s">
        <v>9856</v>
      </c>
      <c r="AC370">
        <v>3</v>
      </c>
      <c r="AD370" t="s">
        <v>12419</v>
      </c>
      <c r="AE370" t="s">
        <v>12434</v>
      </c>
      <c r="AF370">
        <v>1</v>
      </c>
      <c r="AG370">
        <v>1</v>
      </c>
      <c r="AH370">
        <v>2</v>
      </c>
      <c r="AI370">
        <v>17.27</v>
      </c>
      <c r="AL370" t="s">
        <v>12460</v>
      </c>
      <c r="AM370">
        <v>3588</v>
      </c>
      <c r="AN370" t="s">
        <v>12529</v>
      </c>
      <c r="AO370" t="s">
        <v>12851</v>
      </c>
      <c r="AP370" t="s">
        <v>12867</v>
      </c>
      <c r="AQ370" t="s">
        <v>12910</v>
      </c>
      <c r="AR370" t="s">
        <v>12941</v>
      </c>
      <c r="AS370">
        <v>16.3</v>
      </c>
      <c r="AT370" t="s">
        <v>285</v>
      </c>
      <c r="AU370" t="s">
        <v>13103</v>
      </c>
    </row>
    <row r="371" spans="1:48">
      <c r="A371" s="1">
        <f>HYPERLINK("https://cms.ls-nyc.org/matter/dynamic-profile/view/1878786","18-1878786")</f>
        <v>0</v>
      </c>
      <c r="B371" t="s">
        <v>60</v>
      </c>
      <c r="C371" t="s">
        <v>282</v>
      </c>
      <c r="D371" t="s">
        <v>526</v>
      </c>
      <c r="E371" t="s">
        <v>841</v>
      </c>
      <c r="F371" t="s">
        <v>2310</v>
      </c>
      <c r="G371" t="s">
        <v>3925</v>
      </c>
      <c r="H371" t="s">
        <v>5446</v>
      </c>
      <c r="I371" t="s">
        <v>6026</v>
      </c>
      <c r="J371">
        <v>11428</v>
      </c>
      <c r="K371" t="s">
        <v>6074</v>
      </c>
      <c r="L371" t="s">
        <v>6074</v>
      </c>
      <c r="M371" t="s">
        <v>6277</v>
      </c>
      <c r="N371" t="s">
        <v>7274</v>
      </c>
      <c r="O371" t="s">
        <v>7308</v>
      </c>
      <c r="P371" t="s">
        <v>7316</v>
      </c>
      <c r="Q371" t="s">
        <v>7322</v>
      </c>
      <c r="R371" t="s">
        <v>6074</v>
      </c>
      <c r="S371" t="s">
        <v>7324</v>
      </c>
      <c r="T371" t="s">
        <v>7336</v>
      </c>
      <c r="U371" t="s">
        <v>282</v>
      </c>
      <c r="V371">
        <v>1515</v>
      </c>
      <c r="W371" t="s">
        <v>7361</v>
      </c>
      <c r="X371" t="s">
        <v>7366</v>
      </c>
      <c r="Y371" t="s">
        <v>7388</v>
      </c>
      <c r="Z371" t="s">
        <v>7708</v>
      </c>
      <c r="AA371" t="s">
        <v>9921</v>
      </c>
      <c r="AB371" t="s">
        <v>10529</v>
      </c>
      <c r="AC371">
        <v>9</v>
      </c>
      <c r="AD371" t="s">
        <v>12422</v>
      </c>
      <c r="AE371" t="s">
        <v>6110</v>
      </c>
      <c r="AF371">
        <v>5</v>
      </c>
      <c r="AG371">
        <v>2</v>
      </c>
      <c r="AH371">
        <v>2</v>
      </c>
      <c r="AI371">
        <v>17.3</v>
      </c>
      <c r="AL371" t="s">
        <v>12460</v>
      </c>
      <c r="AM371">
        <v>4342</v>
      </c>
      <c r="AP371" t="s">
        <v>12868</v>
      </c>
      <c r="AQ371" t="s">
        <v>12909</v>
      </c>
      <c r="AR371" t="s">
        <v>12942</v>
      </c>
      <c r="AS371">
        <v>16.79</v>
      </c>
      <c r="AT371" t="s">
        <v>265</v>
      </c>
      <c r="AU371" t="s">
        <v>51</v>
      </c>
      <c r="AV371" t="s">
        <v>13145</v>
      </c>
    </row>
    <row r="372" spans="1:48">
      <c r="A372" s="1">
        <f>HYPERLINK("https://cms.ls-nyc.org/matter/dynamic-profile/view/1884267","18-1884267")</f>
        <v>0</v>
      </c>
      <c r="B372" t="s">
        <v>148</v>
      </c>
      <c r="C372" t="s">
        <v>297</v>
      </c>
      <c r="E372" t="s">
        <v>842</v>
      </c>
      <c r="F372" t="s">
        <v>2133</v>
      </c>
      <c r="G372" t="s">
        <v>3926</v>
      </c>
      <c r="H372" t="s">
        <v>5489</v>
      </c>
      <c r="I372" t="s">
        <v>6043</v>
      </c>
      <c r="J372">
        <v>11208</v>
      </c>
      <c r="K372" t="s">
        <v>6074</v>
      </c>
      <c r="L372" t="s">
        <v>6074</v>
      </c>
      <c r="N372" t="s">
        <v>7291</v>
      </c>
      <c r="O372" t="s">
        <v>7309</v>
      </c>
      <c r="Q372" t="s">
        <v>7322</v>
      </c>
      <c r="S372" t="s">
        <v>7327</v>
      </c>
      <c r="U372" t="s">
        <v>401</v>
      </c>
      <c r="V372">
        <v>0</v>
      </c>
      <c r="W372" t="s">
        <v>7362</v>
      </c>
      <c r="Z372" t="s">
        <v>7709</v>
      </c>
      <c r="AB372" t="s">
        <v>10530</v>
      </c>
      <c r="AC372">
        <v>0</v>
      </c>
      <c r="AF372">
        <v>0</v>
      </c>
      <c r="AG372">
        <v>2</v>
      </c>
      <c r="AH372">
        <v>1</v>
      </c>
      <c r="AI372">
        <v>17.32</v>
      </c>
      <c r="AL372" t="s">
        <v>12460</v>
      </c>
      <c r="AM372">
        <v>3600</v>
      </c>
      <c r="AS372">
        <v>14.7</v>
      </c>
      <c r="AT372" t="s">
        <v>434</v>
      </c>
      <c r="AU372" t="s">
        <v>148</v>
      </c>
    </row>
    <row r="373" spans="1:48">
      <c r="A373" s="1">
        <f>HYPERLINK("https://cms.ls-nyc.org/matter/dynamic-profile/view/1899115","19-1899115")</f>
        <v>0</v>
      </c>
      <c r="B373" t="s">
        <v>109</v>
      </c>
      <c r="C373" t="s">
        <v>254</v>
      </c>
      <c r="E373" t="s">
        <v>843</v>
      </c>
      <c r="F373" t="s">
        <v>2285</v>
      </c>
      <c r="G373" t="s">
        <v>3927</v>
      </c>
      <c r="H373" t="s">
        <v>5439</v>
      </c>
      <c r="I373" t="s">
        <v>6047</v>
      </c>
      <c r="J373">
        <v>10452</v>
      </c>
      <c r="K373" t="s">
        <v>6074</v>
      </c>
      <c r="L373" t="s">
        <v>6075</v>
      </c>
      <c r="N373" t="s">
        <v>7279</v>
      </c>
      <c r="O373" t="s">
        <v>7307</v>
      </c>
      <c r="Q373" t="s">
        <v>7322</v>
      </c>
      <c r="R373" t="s">
        <v>6074</v>
      </c>
      <c r="S373" t="s">
        <v>7324</v>
      </c>
      <c r="U373" t="s">
        <v>257</v>
      </c>
      <c r="V373">
        <v>1000</v>
      </c>
      <c r="W373" t="s">
        <v>7363</v>
      </c>
      <c r="X373" t="s">
        <v>7376</v>
      </c>
      <c r="Z373" t="s">
        <v>7710</v>
      </c>
      <c r="AA373" t="s">
        <v>9922</v>
      </c>
      <c r="AB373" t="s">
        <v>10531</v>
      </c>
      <c r="AC373">
        <v>41</v>
      </c>
      <c r="AD373" t="s">
        <v>12422</v>
      </c>
      <c r="AE373" t="s">
        <v>12438</v>
      </c>
      <c r="AF373">
        <v>7</v>
      </c>
      <c r="AG373">
        <v>1</v>
      </c>
      <c r="AH373">
        <v>2</v>
      </c>
      <c r="AI373">
        <v>17.44</v>
      </c>
      <c r="AL373" t="s">
        <v>12460</v>
      </c>
      <c r="AM373">
        <v>3720</v>
      </c>
      <c r="AS373">
        <v>0</v>
      </c>
      <c r="AU373" t="s">
        <v>13092</v>
      </c>
      <c r="AV373" t="s">
        <v>13145</v>
      </c>
    </row>
    <row r="374" spans="1:48">
      <c r="A374" s="1">
        <f>HYPERLINK("https://cms.ls-nyc.org/matter/dynamic-profile/view/1879864","18-1879864")</f>
        <v>0</v>
      </c>
      <c r="B374" t="s">
        <v>76</v>
      </c>
      <c r="C374" t="s">
        <v>271</v>
      </c>
      <c r="E374" t="s">
        <v>844</v>
      </c>
      <c r="F374" t="s">
        <v>2287</v>
      </c>
      <c r="G374" t="s">
        <v>3928</v>
      </c>
      <c r="H374" t="s">
        <v>5490</v>
      </c>
      <c r="I374" t="s">
        <v>6043</v>
      </c>
      <c r="J374">
        <v>11212</v>
      </c>
      <c r="K374" t="s">
        <v>6074</v>
      </c>
      <c r="L374" t="s">
        <v>6074</v>
      </c>
      <c r="M374" t="s">
        <v>6278</v>
      </c>
      <c r="N374" t="s">
        <v>7276</v>
      </c>
      <c r="O374" t="s">
        <v>7308</v>
      </c>
      <c r="Q374" t="s">
        <v>7322</v>
      </c>
      <c r="S374" t="s">
        <v>7324</v>
      </c>
      <c r="T374" t="s">
        <v>7336</v>
      </c>
      <c r="U374" t="s">
        <v>365</v>
      </c>
      <c r="V374">
        <v>2100</v>
      </c>
      <c r="W374" t="s">
        <v>7362</v>
      </c>
      <c r="X374" t="s">
        <v>7366</v>
      </c>
      <c r="Z374" t="s">
        <v>7711</v>
      </c>
      <c r="AA374" t="s">
        <v>9923</v>
      </c>
      <c r="AB374" t="s">
        <v>10532</v>
      </c>
      <c r="AC374">
        <v>6</v>
      </c>
      <c r="AD374" t="s">
        <v>12420</v>
      </c>
      <c r="AE374" t="s">
        <v>12434</v>
      </c>
      <c r="AF374">
        <v>0</v>
      </c>
      <c r="AG374">
        <v>1</v>
      </c>
      <c r="AH374">
        <v>0</v>
      </c>
      <c r="AI374">
        <v>17.45</v>
      </c>
      <c r="AL374" t="s">
        <v>12460</v>
      </c>
      <c r="AM374">
        <v>2119</v>
      </c>
      <c r="AS374">
        <v>7.3</v>
      </c>
      <c r="AT374" t="s">
        <v>380</v>
      </c>
      <c r="AU374" t="s">
        <v>13082</v>
      </c>
    </row>
    <row r="375" spans="1:48">
      <c r="A375" s="1">
        <f>HYPERLINK("https://cms.ls-nyc.org/matter/dynamic-profile/view/1879875","18-1879875")</f>
        <v>0</v>
      </c>
      <c r="B375" t="s">
        <v>76</v>
      </c>
      <c r="C375" t="s">
        <v>271</v>
      </c>
      <c r="E375" t="s">
        <v>844</v>
      </c>
      <c r="F375" t="s">
        <v>2287</v>
      </c>
      <c r="G375" t="s">
        <v>3928</v>
      </c>
      <c r="H375" t="s">
        <v>5490</v>
      </c>
      <c r="I375" t="s">
        <v>6043</v>
      </c>
      <c r="J375">
        <v>11212</v>
      </c>
      <c r="K375" t="s">
        <v>6074</v>
      </c>
      <c r="L375" t="s">
        <v>6074</v>
      </c>
      <c r="M375" t="s">
        <v>6278</v>
      </c>
      <c r="O375" t="s">
        <v>7310</v>
      </c>
      <c r="Q375" t="s">
        <v>7322</v>
      </c>
      <c r="S375" t="s">
        <v>7327</v>
      </c>
      <c r="U375" t="s">
        <v>271</v>
      </c>
      <c r="V375">
        <v>2100</v>
      </c>
      <c r="W375" t="s">
        <v>7362</v>
      </c>
      <c r="X375" t="s">
        <v>7366</v>
      </c>
      <c r="Z375" t="s">
        <v>7711</v>
      </c>
      <c r="AA375" t="s">
        <v>9923</v>
      </c>
      <c r="AB375" t="s">
        <v>10532</v>
      </c>
      <c r="AC375">
        <v>6</v>
      </c>
      <c r="AE375" t="s">
        <v>12434</v>
      </c>
      <c r="AF375">
        <v>0</v>
      </c>
      <c r="AG375">
        <v>1</v>
      </c>
      <c r="AH375">
        <v>0</v>
      </c>
      <c r="AI375">
        <v>17.45</v>
      </c>
      <c r="AL375" t="s">
        <v>12460</v>
      </c>
      <c r="AM375">
        <v>2119</v>
      </c>
      <c r="AS375">
        <v>0.1</v>
      </c>
      <c r="AT375" t="s">
        <v>271</v>
      </c>
      <c r="AU375" t="s">
        <v>13082</v>
      </c>
    </row>
    <row r="376" spans="1:48">
      <c r="A376" s="1">
        <f>HYPERLINK("https://cms.ls-nyc.org/matter/dynamic-profile/view/1887398","19-1887398")</f>
        <v>0</v>
      </c>
      <c r="B376" t="s">
        <v>76</v>
      </c>
      <c r="C376" t="s">
        <v>310</v>
      </c>
      <c r="E376" t="s">
        <v>570</v>
      </c>
      <c r="F376" t="s">
        <v>2311</v>
      </c>
      <c r="G376" t="s">
        <v>3929</v>
      </c>
      <c r="H376">
        <v>2</v>
      </c>
      <c r="I376" t="s">
        <v>6043</v>
      </c>
      <c r="J376">
        <v>11233</v>
      </c>
      <c r="K376" t="s">
        <v>6074</v>
      </c>
      <c r="L376" t="s">
        <v>6074</v>
      </c>
      <c r="M376" t="s">
        <v>6279</v>
      </c>
      <c r="N376" t="s">
        <v>7274</v>
      </c>
      <c r="O376" t="s">
        <v>7308</v>
      </c>
      <c r="Q376" t="s">
        <v>7322</v>
      </c>
      <c r="R376" t="s">
        <v>6076</v>
      </c>
      <c r="S376" t="s">
        <v>7324</v>
      </c>
      <c r="T376" t="s">
        <v>7336</v>
      </c>
      <c r="U376" t="s">
        <v>337</v>
      </c>
      <c r="V376">
        <v>1187</v>
      </c>
      <c r="W376" t="s">
        <v>7362</v>
      </c>
      <c r="X376" t="s">
        <v>7367</v>
      </c>
      <c r="Z376" t="s">
        <v>7712</v>
      </c>
      <c r="AA376">
        <v>805135</v>
      </c>
      <c r="AB376" t="s">
        <v>10533</v>
      </c>
      <c r="AC376">
        <v>6</v>
      </c>
      <c r="AD376" t="s">
        <v>6322</v>
      </c>
      <c r="AE376" t="s">
        <v>12433</v>
      </c>
      <c r="AF376">
        <v>3</v>
      </c>
      <c r="AG376">
        <v>1</v>
      </c>
      <c r="AH376">
        <v>0</v>
      </c>
      <c r="AI376">
        <v>17.56</v>
      </c>
      <c r="AL376" t="s">
        <v>12460</v>
      </c>
      <c r="AM376">
        <v>2132</v>
      </c>
      <c r="AN376" t="s">
        <v>12530</v>
      </c>
      <c r="AS376">
        <v>11.2</v>
      </c>
      <c r="AT376" t="s">
        <v>356</v>
      </c>
      <c r="AU376" t="s">
        <v>218</v>
      </c>
    </row>
    <row r="377" spans="1:48">
      <c r="A377" s="1">
        <f>HYPERLINK("https://cms.ls-nyc.org/matter/dynamic-profile/view/1894602","19-1894602")</f>
        <v>0</v>
      </c>
      <c r="B377" t="s">
        <v>113</v>
      </c>
      <c r="C377" t="s">
        <v>361</v>
      </c>
      <c r="D377" t="s">
        <v>315</v>
      </c>
      <c r="E377" t="s">
        <v>845</v>
      </c>
      <c r="F377" t="s">
        <v>2312</v>
      </c>
      <c r="G377" t="s">
        <v>3930</v>
      </c>
      <c r="H377" t="s">
        <v>5420</v>
      </c>
      <c r="I377" t="s">
        <v>6047</v>
      </c>
      <c r="J377">
        <v>10456</v>
      </c>
      <c r="K377" t="s">
        <v>6074</v>
      </c>
      <c r="L377" t="s">
        <v>6074</v>
      </c>
      <c r="M377" t="s">
        <v>6280</v>
      </c>
      <c r="N377" t="s">
        <v>7274</v>
      </c>
      <c r="O377" t="s">
        <v>7306</v>
      </c>
      <c r="P377" t="s">
        <v>7314</v>
      </c>
      <c r="Q377" t="s">
        <v>7322</v>
      </c>
      <c r="R377" t="s">
        <v>6076</v>
      </c>
      <c r="S377" t="s">
        <v>7324</v>
      </c>
      <c r="T377" t="s">
        <v>7336</v>
      </c>
      <c r="U377" t="s">
        <v>361</v>
      </c>
      <c r="V377">
        <v>0</v>
      </c>
      <c r="W377" t="s">
        <v>7363</v>
      </c>
      <c r="Y377" t="s">
        <v>7386</v>
      </c>
      <c r="Z377" t="s">
        <v>7514</v>
      </c>
      <c r="AB377" t="s">
        <v>10534</v>
      </c>
      <c r="AC377">
        <v>0</v>
      </c>
      <c r="AD377" t="s">
        <v>6322</v>
      </c>
      <c r="AE377" t="s">
        <v>6110</v>
      </c>
      <c r="AF377">
        <v>3</v>
      </c>
      <c r="AG377">
        <v>1</v>
      </c>
      <c r="AH377">
        <v>0</v>
      </c>
      <c r="AI377">
        <v>17.68</v>
      </c>
      <c r="AL377" t="s">
        <v>12461</v>
      </c>
      <c r="AM377">
        <v>2208</v>
      </c>
      <c r="AS377">
        <v>0.1</v>
      </c>
      <c r="AT377" t="s">
        <v>361</v>
      </c>
      <c r="AU377" t="s">
        <v>113</v>
      </c>
    </row>
    <row r="378" spans="1:48">
      <c r="A378" s="1">
        <f>HYPERLINK("https://cms.ls-nyc.org/matter/dynamic-profile/view/1877409","18-1877409")</f>
        <v>0</v>
      </c>
      <c r="B378" t="s">
        <v>149</v>
      </c>
      <c r="C378" t="s">
        <v>409</v>
      </c>
      <c r="D378" t="s">
        <v>501</v>
      </c>
      <c r="E378" t="s">
        <v>846</v>
      </c>
      <c r="F378" t="s">
        <v>2313</v>
      </c>
      <c r="G378" t="s">
        <v>3931</v>
      </c>
      <c r="H378" t="s">
        <v>5406</v>
      </c>
      <c r="I378" t="s">
        <v>6047</v>
      </c>
      <c r="J378">
        <v>10459</v>
      </c>
      <c r="K378" t="s">
        <v>6074</v>
      </c>
      <c r="L378" t="s">
        <v>6074</v>
      </c>
      <c r="M378" t="s">
        <v>6281</v>
      </c>
      <c r="N378" t="s">
        <v>7274</v>
      </c>
      <c r="O378" t="s">
        <v>7308</v>
      </c>
      <c r="P378" t="s">
        <v>7318</v>
      </c>
      <c r="Q378" t="s">
        <v>7322</v>
      </c>
      <c r="R378" t="s">
        <v>6076</v>
      </c>
      <c r="S378" t="s">
        <v>7324</v>
      </c>
      <c r="T378" t="s">
        <v>7336</v>
      </c>
      <c r="U378" t="s">
        <v>409</v>
      </c>
      <c r="V378">
        <v>1200</v>
      </c>
      <c r="W378" t="s">
        <v>7363</v>
      </c>
      <c r="X378" t="s">
        <v>7366</v>
      </c>
      <c r="Y378" t="s">
        <v>7388</v>
      </c>
      <c r="Z378" t="s">
        <v>7713</v>
      </c>
      <c r="AA378" t="s">
        <v>9924</v>
      </c>
      <c r="AB378" t="s">
        <v>10535</v>
      </c>
      <c r="AC378">
        <v>92</v>
      </c>
      <c r="AD378" t="s">
        <v>12420</v>
      </c>
      <c r="AE378" t="s">
        <v>12434</v>
      </c>
      <c r="AF378">
        <v>10</v>
      </c>
      <c r="AG378">
        <v>1</v>
      </c>
      <c r="AH378">
        <v>0</v>
      </c>
      <c r="AI378">
        <v>17.79</v>
      </c>
      <c r="AL378" t="s">
        <v>12461</v>
      </c>
      <c r="AM378">
        <v>2160</v>
      </c>
      <c r="AN378" t="s">
        <v>12531</v>
      </c>
      <c r="AO378" t="s">
        <v>12845</v>
      </c>
      <c r="AP378" t="s">
        <v>12868</v>
      </c>
      <c r="AQ378" t="s">
        <v>12909</v>
      </c>
      <c r="AR378" t="s">
        <v>12943</v>
      </c>
      <c r="AS378">
        <v>39.8</v>
      </c>
      <c r="AT378" t="s">
        <v>501</v>
      </c>
      <c r="AU378" t="s">
        <v>13099</v>
      </c>
    </row>
    <row r="379" spans="1:48">
      <c r="A379" s="1">
        <f>HYPERLINK("https://cms.ls-nyc.org/matter/dynamic-profile/view/1887017","19-1887017")</f>
        <v>0</v>
      </c>
      <c r="B379" t="s">
        <v>113</v>
      </c>
      <c r="C379" t="s">
        <v>410</v>
      </c>
      <c r="E379" t="s">
        <v>847</v>
      </c>
      <c r="F379" t="s">
        <v>667</v>
      </c>
      <c r="G379" t="s">
        <v>3932</v>
      </c>
      <c r="H379" t="s">
        <v>5491</v>
      </c>
      <c r="I379" t="s">
        <v>6047</v>
      </c>
      <c r="J379">
        <v>10459</v>
      </c>
      <c r="K379" t="s">
        <v>6074</v>
      </c>
      <c r="L379" t="s">
        <v>6074</v>
      </c>
      <c r="N379" t="s">
        <v>7273</v>
      </c>
      <c r="O379" t="s">
        <v>7308</v>
      </c>
      <c r="Q379" t="s">
        <v>7322</v>
      </c>
      <c r="R379" t="s">
        <v>6074</v>
      </c>
      <c r="S379" t="s">
        <v>7324</v>
      </c>
      <c r="U379" t="s">
        <v>306</v>
      </c>
      <c r="V379">
        <v>1000</v>
      </c>
      <c r="W379" t="s">
        <v>7363</v>
      </c>
      <c r="X379" t="s">
        <v>7376</v>
      </c>
      <c r="Z379" t="s">
        <v>7714</v>
      </c>
      <c r="AB379" t="s">
        <v>10536</v>
      </c>
      <c r="AC379">
        <v>48</v>
      </c>
      <c r="AD379" t="s">
        <v>12420</v>
      </c>
      <c r="AE379" t="s">
        <v>12439</v>
      </c>
      <c r="AF379">
        <v>15</v>
      </c>
      <c r="AG379">
        <v>1</v>
      </c>
      <c r="AH379">
        <v>0</v>
      </c>
      <c r="AI379">
        <v>17.79</v>
      </c>
      <c r="AL379" t="s">
        <v>12460</v>
      </c>
      <c r="AM379">
        <v>2160</v>
      </c>
      <c r="AS379">
        <v>0.2</v>
      </c>
      <c r="AT379" t="s">
        <v>390</v>
      </c>
      <c r="AU379" t="s">
        <v>13095</v>
      </c>
    </row>
    <row r="380" spans="1:48">
      <c r="A380" s="1">
        <f>HYPERLINK("https://cms.ls-nyc.org/matter/dynamic-profile/view/1883400","18-1883400")</f>
        <v>0</v>
      </c>
      <c r="B380" t="s">
        <v>109</v>
      </c>
      <c r="C380" t="s">
        <v>411</v>
      </c>
      <c r="E380" t="s">
        <v>843</v>
      </c>
      <c r="F380" t="s">
        <v>2285</v>
      </c>
      <c r="G380" t="s">
        <v>3927</v>
      </c>
      <c r="H380" t="s">
        <v>5439</v>
      </c>
      <c r="I380" t="s">
        <v>6047</v>
      </c>
      <c r="J380">
        <v>10452</v>
      </c>
      <c r="K380" t="s">
        <v>6074</v>
      </c>
      <c r="L380" t="s">
        <v>6074</v>
      </c>
      <c r="M380" t="s">
        <v>6282</v>
      </c>
      <c r="N380" t="s">
        <v>7273</v>
      </c>
      <c r="O380" t="s">
        <v>7308</v>
      </c>
      <c r="Q380" t="s">
        <v>7322</v>
      </c>
      <c r="R380" t="s">
        <v>6074</v>
      </c>
      <c r="S380" t="s">
        <v>7324</v>
      </c>
      <c r="U380" t="s">
        <v>472</v>
      </c>
      <c r="V380">
        <v>1000</v>
      </c>
      <c r="W380" t="s">
        <v>7363</v>
      </c>
      <c r="X380" t="s">
        <v>7375</v>
      </c>
      <c r="Z380" t="s">
        <v>7710</v>
      </c>
      <c r="AA380" t="s">
        <v>9922</v>
      </c>
      <c r="AB380" t="s">
        <v>10531</v>
      </c>
      <c r="AC380">
        <v>41</v>
      </c>
      <c r="AD380" t="s">
        <v>12422</v>
      </c>
      <c r="AE380" t="s">
        <v>12438</v>
      </c>
      <c r="AF380">
        <v>7</v>
      </c>
      <c r="AG380">
        <v>1</v>
      </c>
      <c r="AH380">
        <v>2</v>
      </c>
      <c r="AI380">
        <v>17.9</v>
      </c>
      <c r="AL380" t="s">
        <v>12460</v>
      </c>
      <c r="AM380">
        <v>3720</v>
      </c>
      <c r="AS380">
        <v>0</v>
      </c>
      <c r="AU380" t="s">
        <v>13092</v>
      </c>
    </row>
    <row r="381" spans="1:48">
      <c r="A381" s="1">
        <f>HYPERLINK("https://cms.ls-nyc.org/matter/dynamic-profile/view/1884061","18-1884061")</f>
        <v>0</v>
      </c>
      <c r="B381" t="s">
        <v>109</v>
      </c>
      <c r="C381" t="s">
        <v>412</v>
      </c>
      <c r="E381" t="s">
        <v>843</v>
      </c>
      <c r="F381" t="s">
        <v>2285</v>
      </c>
      <c r="G381" t="s">
        <v>3927</v>
      </c>
      <c r="H381" t="s">
        <v>5439</v>
      </c>
      <c r="I381" t="s">
        <v>6047</v>
      </c>
      <c r="J381">
        <v>10452</v>
      </c>
      <c r="K381" t="s">
        <v>6074</v>
      </c>
      <c r="L381" t="s">
        <v>6074</v>
      </c>
      <c r="M381" t="s">
        <v>6283</v>
      </c>
      <c r="N381" t="s">
        <v>7276</v>
      </c>
      <c r="O381" t="s">
        <v>7308</v>
      </c>
      <c r="Q381" t="s">
        <v>7322</v>
      </c>
      <c r="R381" t="s">
        <v>6076</v>
      </c>
      <c r="S381" t="s">
        <v>7324</v>
      </c>
      <c r="T381" t="s">
        <v>7336</v>
      </c>
      <c r="U381" t="s">
        <v>472</v>
      </c>
      <c r="V381">
        <v>1519.01</v>
      </c>
      <c r="W381" t="s">
        <v>7363</v>
      </c>
      <c r="X381" t="s">
        <v>7368</v>
      </c>
      <c r="Z381" t="s">
        <v>7710</v>
      </c>
      <c r="AA381" t="s">
        <v>9922</v>
      </c>
      <c r="AB381" t="s">
        <v>10531</v>
      </c>
      <c r="AC381">
        <v>41</v>
      </c>
      <c r="AD381" t="s">
        <v>12422</v>
      </c>
      <c r="AE381" t="s">
        <v>12438</v>
      </c>
      <c r="AF381">
        <v>7</v>
      </c>
      <c r="AG381">
        <v>1</v>
      </c>
      <c r="AH381">
        <v>2</v>
      </c>
      <c r="AI381">
        <v>17.9</v>
      </c>
      <c r="AL381" t="s">
        <v>12460</v>
      </c>
      <c r="AM381">
        <v>3720</v>
      </c>
      <c r="AS381">
        <v>30.4</v>
      </c>
      <c r="AT381" t="s">
        <v>324</v>
      </c>
      <c r="AU381" t="s">
        <v>13092</v>
      </c>
    </row>
    <row r="382" spans="1:48">
      <c r="A382" s="1">
        <f>HYPERLINK("https://cms.ls-nyc.org/matter/dynamic-profile/view/1884779","18-1884779")</f>
        <v>0</v>
      </c>
      <c r="B382" t="s">
        <v>52</v>
      </c>
      <c r="C382" t="s">
        <v>413</v>
      </c>
      <c r="D382" t="s">
        <v>435</v>
      </c>
      <c r="E382" t="s">
        <v>848</v>
      </c>
      <c r="F382" t="s">
        <v>2223</v>
      </c>
      <c r="G382" t="s">
        <v>3933</v>
      </c>
      <c r="H382" t="s">
        <v>5492</v>
      </c>
      <c r="I382" t="s">
        <v>6032</v>
      </c>
      <c r="J382">
        <v>11419</v>
      </c>
      <c r="K382" t="s">
        <v>6074</v>
      </c>
      <c r="L382" t="s">
        <v>6074</v>
      </c>
      <c r="M382" t="s">
        <v>6284</v>
      </c>
      <c r="N382" t="s">
        <v>7274</v>
      </c>
      <c r="O382" t="s">
        <v>7306</v>
      </c>
      <c r="P382" t="s">
        <v>7314</v>
      </c>
      <c r="Q382" t="s">
        <v>7322</v>
      </c>
      <c r="R382" t="s">
        <v>6076</v>
      </c>
      <c r="S382" t="s">
        <v>7324</v>
      </c>
      <c r="T382" t="s">
        <v>7338</v>
      </c>
      <c r="U382" t="s">
        <v>413</v>
      </c>
      <c r="V382">
        <v>1400</v>
      </c>
      <c r="W382" t="s">
        <v>7361</v>
      </c>
      <c r="X382" t="s">
        <v>7366</v>
      </c>
      <c r="Y382" t="s">
        <v>7386</v>
      </c>
      <c r="Z382" t="s">
        <v>7715</v>
      </c>
      <c r="AA382" t="s">
        <v>9925</v>
      </c>
      <c r="AB382" t="s">
        <v>10537</v>
      </c>
      <c r="AC382">
        <v>2</v>
      </c>
      <c r="AD382" t="s">
        <v>12419</v>
      </c>
      <c r="AE382" t="s">
        <v>6110</v>
      </c>
      <c r="AF382">
        <v>3</v>
      </c>
      <c r="AG382">
        <v>2</v>
      </c>
      <c r="AH382">
        <v>0</v>
      </c>
      <c r="AI382">
        <v>18.06</v>
      </c>
      <c r="AL382" t="s">
        <v>12460</v>
      </c>
      <c r="AM382">
        <v>2973</v>
      </c>
      <c r="AS382">
        <v>2.7</v>
      </c>
      <c r="AT382" t="s">
        <v>435</v>
      </c>
      <c r="AU382" t="s">
        <v>52</v>
      </c>
    </row>
    <row r="383" spans="1:48">
      <c r="A383" s="1">
        <f>HYPERLINK("https://cms.ls-nyc.org/matter/dynamic-profile/view/1874150","18-1874150")</f>
        <v>0</v>
      </c>
      <c r="B383" t="s">
        <v>128</v>
      </c>
      <c r="C383" t="s">
        <v>384</v>
      </c>
      <c r="E383" t="s">
        <v>849</v>
      </c>
      <c r="F383" t="s">
        <v>2314</v>
      </c>
      <c r="G383" t="s">
        <v>3934</v>
      </c>
      <c r="H383">
        <v>44</v>
      </c>
      <c r="I383" t="s">
        <v>6049</v>
      </c>
      <c r="J383">
        <v>10034</v>
      </c>
      <c r="K383" t="s">
        <v>6074</v>
      </c>
      <c r="L383" t="s">
        <v>6074</v>
      </c>
      <c r="M383" t="s">
        <v>6285</v>
      </c>
      <c r="N383" t="s">
        <v>7276</v>
      </c>
      <c r="O383" t="s">
        <v>7308</v>
      </c>
      <c r="Q383" t="s">
        <v>7322</v>
      </c>
      <c r="R383" t="s">
        <v>6076</v>
      </c>
      <c r="S383" t="s">
        <v>7324</v>
      </c>
      <c r="U383" t="s">
        <v>271</v>
      </c>
      <c r="V383">
        <v>1047.13</v>
      </c>
      <c r="W383" t="s">
        <v>7365</v>
      </c>
      <c r="X383" t="s">
        <v>7367</v>
      </c>
      <c r="Z383" t="s">
        <v>7716</v>
      </c>
      <c r="AB383" t="s">
        <v>10538</v>
      </c>
      <c r="AC383">
        <v>25</v>
      </c>
      <c r="AD383" t="s">
        <v>12422</v>
      </c>
      <c r="AE383" t="s">
        <v>6110</v>
      </c>
      <c r="AF383">
        <v>18</v>
      </c>
      <c r="AG383">
        <v>1</v>
      </c>
      <c r="AH383">
        <v>0</v>
      </c>
      <c r="AI383">
        <v>18.09</v>
      </c>
      <c r="AL383" t="s">
        <v>12461</v>
      </c>
      <c r="AM383">
        <v>2196</v>
      </c>
      <c r="AS383">
        <v>28.98</v>
      </c>
      <c r="AT383" t="s">
        <v>234</v>
      </c>
      <c r="AU383" t="s">
        <v>13096</v>
      </c>
    </row>
    <row r="384" spans="1:48">
      <c r="A384" s="1">
        <f>HYPERLINK("https://cms.ls-nyc.org/matter/dynamic-profile/view/1881386","18-1881386")</f>
        <v>0</v>
      </c>
      <c r="B384" t="s">
        <v>74</v>
      </c>
      <c r="C384" t="s">
        <v>414</v>
      </c>
      <c r="E384" t="s">
        <v>850</v>
      </c>
      <c r="F384" t="s">
        <v>2315</v>
      </c>
      <c r="G384" t="s">
        <v>3935</v>
      </c>
      <c r="H384" t="s">
        <v>5376</v>
      </c>
      <c r="I384" t="s">
        <v>6043</v>
      </c>
      <c r="J384">
        <v>11233</v>
      </c>
      <c r="K384" t="s">
        <v>6074</v>
      </c>
      <c r="L384" t="s">
        <v>6074</v>
      </c>
      <c r="M384" t="s">
        <v>6286</v>
      </c>
      <c r="N384" t="s">
        <v>7276</v>
      </c>
      <c r="O384" t="s">
        <v>7308</v>
      </c>
      <c r="Q384" t="s">
        <v>7322</v>
      </c>
      <c r="R384" t="s">
        <v>6076</v>
      </c>
      <c r="S384" t="s">
        <v>7324</v>
      </c>
      <c r="T384" t="s">
        <v>7336</v>
      </c>
      <c r="U384" t="s">
        <v>414</v>
      </c>
      <c r="V384">
        <v>1515</v>
      </c>
      <c r="W384" t="s">
        <v>7362</v>
      </c>
      <c r="X384" t="s">
        <v>7366</v>
      </c>
      <c r="Z384" t="s">
        <v>7717</v>
      </c>
      <c r="AA384" t="s">
        <v>9926</v>
      </c>
      <c r="AB384" t="s">
        <v>10539</v>
      </c>
      <c r="AC384">
        <v>6</v>
      </c>
      <c r="AD384" t="s">
        <v>12422</v>
      </c>
      <c r="AE384" t="s">
        <v>12437</v>
      </c>
      <c r="AF384">
        <v>5</v>
      </c>
      <c r="AG384">
        <v>1</v>
      </c>
      <c r="AH384">
        <v>0</v>
      </c>
      <c r="AI384">
        <v>18.2</v>
      </c>
      <c r="AL384" t="s">
        <v>12460</v>
      </c>
      <c r="AM384">
        <v>2210</v>
      </c>
      <c r="AN384" t="s">
        <v>12532</v>
      </c>
      <c r="AS384">
        <v>30.75</v>
      </c>
      <c r="AT384" t="s">
        <v>309</v>
      </c>
      <c r="AU384" t="s">
        <v>218</v>
      </c>
    </row>
    <row r="385" spans="1:48">
      <c r="A385" s="1">
        <f>HYPERLINK("https://cms.ls-nyc.org/matter/dynamic-profile/view/1882893","18-1882893")</f>
        <v>0</v>
      </c>
      <c r="B385" t="s">
        <v>86</v>
      </c>
      <c r="C385" t="s">
        <v>246</v>
      </c>
      <c r="E385" t="s">
        <v>850</v>
      </c>
      <c r="F385" t="s">
        <v>2315</v>
      </c>
      <c r="G385" t="s">
        <v>3935</v>
      </c>
      <c r="H385" t="s">
        <v>5376</v>
      </c>
      <c r="I385" t="s">
        <v>6043</v>
      </c>
      <c r="J385">
        <v>11233</v>
      </c>
      <c r="K385" t="s">
        <v>6074</v>
      </c>
      <c r="L385" t="s">
        <v>6074</v>
      </c>
      <c r="M385" t="s">
        <v>6286</v>
      </c>
      <c r="N385" t="s">
        <v>7291</v>
      </c>
      <c r="O385" t="s">
        <v>7311</v>
      </c>
      <c r="Q385" t="s">
        <v>7322</v>
      </c>
      <c r="R385" t="s">
        <v>6076</v>
      </c>
      <c r="S385" t="s">
        <v>7327</v>
      </c>
      <c r="T385" t="s">
        <v>7340</v>
      </c>
      <c r="U385" t="s">
        <v>385</v>
      </c>
      <c r="V385">
        <v>1515</v>
      </c>
      <c r="W385" t="s">
        <v>7362</v>
      </c>
      <c r="X385" t="s">
        <v>7366</v>
      </c>
      <c r="Y385" t="s">
        <v>7393</v>
      </c>
      <c r="Z385" t="s">
        <v>7717</v>
      </c>
      <c r="AA385" t="s">
        <v>9926</v>
      </c>
      <c r="AB385" t="s">
        <v>10539</v>
      </c>
      <c r="AC385">
        <v>6</v>
      </c>
      <c r="AD385" t="s">
        <v>12422</v>
      </c>
      <c r="AE385" t="s">
        <v>12437</v>
      </c>
      <c r="AF385">
        <v>5</v>
      </c>
      <c r="AG385">
        <v>1</v>
      </c>
      <c r="AH385">
        <v>0</v>
      </c>
      <c r="AI385">
        <v>18.2</v>
      </c>
      <c r="AL385" t="s">
        <v>12460</v>
      </c>
      <c r="AM385">
        <v>2210</v>
      </c>
      <c r="AS385">
        <v>6.75</v>
      </c>
      <c r="AT385" t="s">
        <v>343</v>
      </c>
      <c r="AU385" t="s">
        <v>180</v>
      </c>
    </row>
    <row r="386" spans="1:48">
      <c r="A386" s="1">
        <f>HYPERLINK("https://cms.ls-nyc.org/matter/dynamic-profile/view/1869983","18-1869983")</f>
        <v>0</v>
      </c>
      <c r="B386" t="s">
        <v>108</v>
      </c>
      <c r="C386" t="s">
        <v>415</v>
      </c>
      <c r="D386" t="s">
        <v>472</v>
      </c>
      <c r="E386" t="s">
        <v>851</v>
      </c>
      <c r="F386" t="s">
        <v>2223</v>
      </c>
      <c r="G386" t="s">
        <v>3936</v>
      </c>
      <c r="H386" t="s">
        <v>5476</v>
      </c>
      <c r="I386" t="s">
        <v>6047</v>
      </c>
      <c r="J386">
        <v>10452</v>
      </c>
      <c r="K386" t="s">
        <v>6074</v>
      </c>
      <c r="L386" t="s">
        <v>6075</v>
      </c>
      <c r="N386" t="s">
        <v>7278</v>
      </c>
      <c r="O386" t="s">
        <v>7306</v>
      </c>
      <c r="P386" t="s">
        <v>7314</v>
      </c>
      <c r="Q386" t="s">
        <v>7322</v>
      </c>
      <c r="R386" t="s">
        <v>6074</v>
      </c>
      <c r="S386" t="s">
        <v>7324</v>
      </c>
      <c r="U386" t="s">
        <v>467</v>
      </c>
      <c r="V386">
        <v>1518</v>
      </c>
      <c r="W386" t="s">
        <v>7363</v>
      </c>
      <c r="X386" t="s">
        <v>7376</v>
      </c>
      <c r="Y386" t="s">
        <v>7386</v>
      </c>
      <c r="Z386" t="s">
        <v>7718</v>
      </c>
      <c r="AA386" t="s">
        <v>9927</v>
      </c>
      <c r="AB386" t="s">
        <v>10540</v>
      </c>
      <c r="AC386">
        <v>53</v>
      </c>
      <c r="AD386" t="s">
        <v>12422</v>
      </c>
      <c r="AE386" t="s">
        <v>12435</v>
      </c>
      <c r="AF386">
        <v>3</v>
      </c>
      <c r="AG386">
        <v>1</v>
      </c>
      <c r="AH386">
        <v>2</v>
      </c>
      <c r="AI386">
        <v>18.31</v>
      </c>
      <c r="AM386">
        <v>3804</v>
      </c>
      <c r="AS386">
        <v>1.05</v>
      </c>
      <c r="AT386" t="s">
        <v>467</v>
      </c>
      <c r="AU386" t="s">
        <v>13092</v>
      </c>
    </row>
    <row r="387" spans="1:48">
      <c r="A387" s="1">
        <f>HYPERLINK("https://cms.ls-nyc.org/matter/dynamic-profile/view/1882976","18-1882976")</f>
        <v>0</v>
      </c>
      <c r="B387" t="s">
        <v>82</v>
      </c>
      <c r="C387" t="s">
        <v>416</v>
      </c>
      <c r="E387" t="s">
        <v>852</v>
      </c>
      <c r="F387" t="s">
        <v>2316</v>
      </c>
      <c r="G387" t="s">
        <v>3937</v>
      </c>
      <c r="H387" t="s">
        <v>5387</v>
      </c>
      <c r="I387" t="s">
        <v>6043</v>
      </c>
      <c r="J387">
        <v>11226</v>
      </c>
      <c r="K387" t="s">
        <v>6074</v>
      </c>
      <c r="L387" t="s">
        <v>6074</v>
      </c>
      <c r="N387" t="s">
        <v>7273</v>
      </c>
      <c r="O387" t="s">
        <v>7308</v>
      </c>
      <c r="Q387" t="s">
        <v>7322</v>
      </c>
      <c r="R387" t="s">
        <v>6074</v>
      </c>
      <c r="S387" t="s">
        <v>7324</v>
      </c>
      <c r="U387" t="s">
        <v>396</v>
      </c>
      <c r="V387">
        <v>1200</v>
      </c>
      <c r="W387" t="s">
        <v>7362</v>
      </c>
      <c r="X387" t="s">
        <v>7368</v>
      </c>
      <c r="Z387" t="s">
        <v>7719</v>
      </c>
      <c r="AC387">
        <v>6</v>
      </c>
      <c r="AE387" t="s">
        <v>7305</v>
      </c>
      <c r="AF387">
        <v>13</v>
      </c>
      <c r="AG387">
        <v>1</v>
      </c>
      <c r="AH387">
        <v>0</v>
      </c>
      <c r="AI387">
        <v>18.39</v>
      </c>
      <c r="AL387" t="s">
        <v>12460</v>
      </c>
      <c r="AM387">
        <v>2232</v>
      </c>
      <c r="AS387">
        <v>0.9</v>
      </c>
      <c r="AT387" t="s">
        <v>416</v>
      </c>
      <c r="AU387" t="s">
        <v>13082</v>
      </c>
    </row>
    <row r="388" spans="1:48">
      <c r="A388" s="1">
        <f>HYPERLINK("https://cms.ls-nyc.org/matter/dynamic-profile/view/1881509","18-1881509")</f>
        <v>0</v>
      </c>
      <c r="B388" t="s">
        <v>68</v>
      </c>
      <c r="C388" t="s">
        <v>369</v>
      </c>
      <c r="D388" t="s">
        <v>344</v>
      </c>
      <c r="E388" t="s">
        <v>853</v>
      </c>
      <c r="F388" t="s">
        <v>2317</v>
      </c>
      <c r="G388" t="s">
        <v>3938</v>
      </c>
      <c r="H388">
        <v>2</v>
      </c>
      <c r="I388" t="s">
        <v>6043</v>
      </c>
      <c r="J388">
        <v>11208</v>
      </c>
      <c r="K388" t="s">
        <v>6074</v>
      </c>
      <c r="L388" t="s">
        <v>6074</v>
      </c>
      <c r="N388" t="s">
        <v>6104</v>
      </c>
      <c r="O388" t="s">
        <v>7306</v>
      </c>
      <c r="P388" t="s">
        <v>7314</v>
      </c>
      <c r="Q388" t="s">
        <v>7323</v>
      </c>
      <c r="R388" t="s">
        <v>6076</v>
      </c>
      <c r="S388" t="s">
        <v>7324</v>
      </c>
      <c r="U388" t="s">
        <v>369</v>
      </c>
      <c r="V388">
        <v>850</v>
      </c>
      <c r="W388" t="s">
        <v>7362</v>
      </c>
      <c r="X388" t="s">
        <v>7369</v>
      </c>
      <c r="Y388" t="s">
        <v>7386</v>
      </c>
      <c r="Z388" t="s">
        <v>7720</v>
      </c>
      <c r="AA388" t="s">
        <v>9928</v>
      </c>
      <c r="AB388" t="s">
        <v>9856</v>
      </c>
      <c r="AC388">
        <v>2</v>
      </c>
      <c r="AD388" t="s">
        <v>6322</v>
      </c>
      <c r="AF388">
        <v>21</v>
      </c>
      <c r="AG388">
        <v>2</v>
      </c>
      <c r="AH388">
        <v>2</v>
      </c>
      <c r="AI388">
        <v>18.6</v>
      </c>
      <c r="AJ388" t="s">
        <v>12443</v>
      </c>
      <c r="AK388" t="s">
        <v>12455</v>
      </c>
      <c r="AL388" t="s">
        <v>12460</v>
      </c>
      <c r="AM388">
        <v>4668</v>
      </c>
      <c r="AN388" t="s">
        <v>12505</v>
      </c>
      <c r="AS388">
        <v>2.75</v>
      </c>
      <c r="AT388" t="s">
        <v>380</v>
      </c>
      <c r="AU388" t="s">
        <v>13084</v>
      </c>
    </row>
    <row r="389" spans="1:48">
      <c r="A389" s="1">
        <f>HYPERLINK("https://cms.ls-nyc.org/matter/dynamic-profile/view/1870035","18-1870035")</f>
        <v>0</v>
      </c>
      <c r="B389" t="s">
        <v>96</v>
      </c>
      <c r="C389" t="s">
        <v>415</v>
      </c>
      <c r="E389" t="s">
        <v>831</v>
      </c>
      <c r="F389" t="s">
        <v>2318</v>
      </c>
      <c r="G389" t="s">
        <v>3936</v>
      </c>
      <c r="H389" t="s">
        <v>5373</v>
      </c>
      <c r="I389" t="s">
        <v>6047</v>
      </c>
      <c r="J389">
        <v>10452</v>
      </c>
      <c r="K389" t="s">
        <v>6074</v>
      </c>
      <c r="L389" t="s">
        <v>6074</v>
      </c>
      <c r="N389" t="s">
        <v>7278</v>
      </c>
      <c r="O389" t="s">
        <v>7306</v>
      </c>
      <c r="Q389" t="s">
        <v>7322</v>
      </c>
      <c r="R389" t="s">
        <v>6074</v>
      </c>
      <c r="S389" t="s">
        <v>7324</v>
      </c>
      <c r="T389" t="s">
        <v>7336</v>
      </c>
      <c r="U389" t="s">
        <v>467</v>
      </c>
      <c r="V389">
        <v>1946</v>
      </c>
      <c r="W389" t="s">
        <v>7363</v>
      </c>
      <c r="X389" t="s">
        <v>7376</v>
      </c>
      <c r="Z389" t="s">
        <v>7721</v>
      </c>
      <c r="AA389" t="s">
        <v>9929</v>
      </c>
      <c r="AB389" t="s">
        <v>10541</v>
      </c>
      <c r="AC389">
        <v>53</v>
      </c>
      <c r="AD389" t="s">
        <v>12422</v>
      </c>
      <c r="AE389" t="s">
        <v>12433</v>
      </c>
      <c r="AF389">
        <v>1</v>
      </c>
      <c r="AG389">
        <v>1</v>
      </c>
      <c r="AH389">
        <v>3</v>
      </c>
      <c r="AI389">
        <v>18.74</v>
      </c>
      <c r="AL389" t="s">
        <v>12460</v>
      </c>
      <c r="AM389">
        <v>4704</v>
      </c>
      <c r="AS389">
        <v>0.95</v>
      </c>
      <c r="AT389" t="s">
        <v>467</v>
      </c>
      <c r="AU389" t="s">
        <v>13092</v>
      </c>
    </row>
    <row r="390" spans="1:48">
      <c r="A390" s="1">
        <f>HYPERLINK("https://cms.ls-nyc.org/matter/dynamic-profile/view/1876689","18-1876689")</f>
        <v>0</v>
      </c>
      <c r="B390" t="s">
        <v>101</v>
      </c>
      <c r="C390" t="s">
        <v>243</v>
      </c>
      <c r="E390" t="s">
        <v>854</v>
      </c>
      <c r="F390" t="s">
        <v>2319</v>
      </c>
      <c r="G390" t="s">
        <v>3939</v>
      </c>
      <c r="H390" t="s">
        <v>5493</v>
      </c>
      <c r="I390" t="s">
        <v>6047</v>
      </c>
      <c r="J390">
        <v>10456</v>
      </c>
      <c r="K390" t="s">
        <v>6074</v>
      </c>
      <c r="L390" t="s">
        <v>6074</v>
      </c>
      <c r="M390" t="s">
        <v>6287</v>
      </c>
      <c r="N390" t="s">
        <v>7273</v>
      </c>
      <c r="O390" t="s">
        <v>7308</v>
      </c>
      <c r="Q390" t="s">
        <v>7322</v>
      </c>
      <c r="R390" t="s">
        <v>6074</v>
      </c>
      <c r="S390" t="s">
        <v>7324</v>
      </c>
      <c r="U390" t="s">
        <v>243</v>
      </c>
      <c r="V390">
        <v>820</v>
      </c>
      <c r="W390" t="s">
        <v>7363</v>
      </c>
      <c r="X390" t="s">
        <v>7376</v>
      </c>
      <c r="Z390" t="s">
        <v>7722</v>
      </c>
      <c r="AA390">
        <v>6629815</v>
      </c>
      <c r="AC390">
        <v>131</v>
      </c>
      <c r="AD390" t="s">
        <v>12422</v>
      </c>
      <c r="AE390" t="s">
        <v>12435</v>
      </c>
      <c r="AF390">
        <v>9</v>
      </c>
      <c r="AG390">
        <v>1</v>
      </c>
      <c r="AH390">
        <v>3</v>
      </c>
      <c r="AI390">
        <v>18.79</v>
      </c>
      <c r="AL390" t="s">
        <v>12460</v>
      </c>
      <c r="AM390">
        <v>4715.04</v>
      </c>
      <c r="AS390">
        <v>0</v>
      </c>
      <c r="AU390" t="s">
        <v>13095</v>
      </c>
    </row>
    <row r="391" spans="1:48">
      <c r="A391" s="1">
        <f>HYPERLINK("https://cms.ls-nyc.org/matter/dynamic-profile/view/1878211","18-1878211")</f>
        <v>0</v>
      </c>
      <c r="B391" t="s">
        <v>150</v>
      </c>
      <c r="C391" t="s">
        <v>248</v>
      </c>
      <c r="E391" t="s">
        <v>855</v>
      </c>
      <c r="F391" t="s">
        <v>2238</v>
      </c>
      <c r="G391" t="s">
        <v>3940</v>
      </c>
      <c r="H391" t="s">
        <v>5439</v>
      </c>
      <c r="I391" t="s">
        <v>6047</v>
      </c>
      <c r="J391">
        <v>10457</v>
      </c>
      <c r="K391" t="s">
        <v>6074</v>
      </c>
      <c r="L391" t="s">
        <v>6074</v>
      </c>
      <c r="N391" t="s">
        <v>7292</v>
      </c>
      <c r="O391" t="s">
        <v>7306</v>
      </c>
      <c r="Q391" t="s">
        <v>7322</v>
      </c>
      <c r="R391" t="s">
        <v>6076</v>
      </c>
      <c r="S391" t="s">
        <v>7332</v>
      </c>
      <c r="U391" t="s">
        <v>248</v>
      </c>
      <c r="V391">
        <v>889</v>
      </c>
      <c r="W391" t="s">
        <v>7363</v>
      </c>
      <c r="X391" t="s">
        <v>7367</v>
      </c>
      <c r="Z391" t="s">
        <v>7723</v>
      </c>
      <c r="AB391" t="s">
        <v>10542</v>
      </c>
      <c r="AC391">
        <v>47</v>
      </c>
      <c r="AD391" t="s">
        <v>12422</v>
      </c>
      <c r="AE391" t="s">
        <v>6110</v>
      </c>
      <c r="AF391">
        <v>23</v>
      </c>
      <c r="AG391">
        <v>2</v>
      </c>
      <c r="AH391">
        <v>0</v>
      </c>
      <c r="AI391">
        <v>18.8</v>
      </c>
      <c r="AL391" t="s">
        <v>12460</v>
      </c>
      <c r="AM391">
        <v>3094</v>
      </c>
      <c r="AN391" t="s">
        <v>12533</v>
      </c>
      <c r="AS391">
        <v>0.3</v>
      </c>
      <c r="AT391" t="s">
        <v>267</v>
      </c>
      <c r="AU391" t="s">
        <v>150</v>
      </c>
    </row>
    <row r="392" spans="1:48">
      <c r="A392" s="1">
        <f>HYPERLINK("https://cms.ls-nyc.org/matter/dynamic-profile/view/1878085","18-1878085")</f>
        <v>0</v>
      </c>
      <c r="B392" t="s">
        <v>51</v>
      </c>
      <c r="C392" t="s">
        <v>255</v>
      </c>
      <c r="E392" t="s">
        <v>803</v>
      </c>
      <c r="F392" t="s">
        <v>2320</v>
      </c>
      <c r="G392" t="s">
        <v>3658</v>
      </c>
      <c r="H392" t="s">
        <v>5387</v>
      </c>
      <c r="I392" t="s">
        <v>6025</v>
      </c>
      <c r="J392">
        <v>11691</v>
      </c>
      <c r="K392" t="s">
        <v>6074</v>
      </c>
      <c r="L392" t="s">
        <v>6074</v>
      </c>
      <c r="M392" t="s">
        <v>6288</v>
      </c>
      <c r="N392" t="s">
        <v>7276</v>
      </c>
      <c r="O392" t="s">
        <v>7306</v>
      </c>
      <c r="Q392" t="s">
        <v>7322</v>
      </c>
      <c r="R392" t="s">
        <v>6076</v>
      </c>
      <c r="S392" t="s">
        <v>7324</v>
      </c>
      <c r="T392" t="s">
        <v>7336</v>
      </c>
      <c r="U392" t="s">
        <v>255</v>
      </c>
      <c r="V392">
        <v>1287.85</v>
      </c>
      <c r="W392" t="s">
        <v>7361</v>
      </c>
      <c r="X392" t="s">
        <v>7366</v>
      </c>
      <c r="Z392" t="s">
        <v>7724</v>
      </c>
      <c r="AB392" t="s">
        <v>10543</v>
      </c>
      <c r="AC392">
        <v>40</v>
      </c>
      <c r="AD392" t="s">
        <v>12419</v>
      </c>
      <c r="AE392" t="s">
        <v>12435</v>
      </c>
      <c r="AF392">
        <v>5</v>
      </c>
      <c r="AG392">
        <v>1</v>
      </c>
      <c r="AH392">
        <v>4</v>
      </c>
      <c r="AI392">
        <v>19</v>
      </c>
      <c r="AL392" t="s">
        <v>12460</v>
      </c>
      <c r="AM392">
        <v>5590</v>
      </c>
      <c r="AS392">
        <v>1.3</v>
      </c>
      <c r="AT392" t="s">
        <v>355</v>
      </c>
      <c r="AU392" t="s">
        <v>51</v>
      </c>
    </row>
    <row r="393" spans="1:48">
      <c r="A393" s="1">
        <f>HYPERLINK("https://cms.ls-nyc.org/matter/dynamic-profile/view/1898658","19-1898658")</f>
        <v>0</v>
      </c>
      <c r="B393" t="s">
        <v>54</v>
      </c>
      <c r="C393" t="s">
        <v>309</v>
      </c>
      <c r="E393" t="s">
        <v>856</v>
      </c>
      <c r="F393" t="s">
        <v>663</v>
      </c>
      <c r="G393" t="s">
        <v>3941</v>
      </c>
      <c r="I393" t="s">
        <v>6040</v>
      </c>
      <c r="J393">
        <v>11355</v>
      </c>
      <c r="K393" t="s">
        <v>6074</v>
      </c>
      <c r="L393" t="s">
        <v>6074</v>
      </c>
      <c r="M393" t="s">
        <v>6289</v>
      </c>
      <c r="N393" t="s">
        <v>7274</v>
      </c>
      <c r="O393" t="s">
        <v>7308</v>
      </c>
      <c r="Q393" t="s">
        <v>7322</v>
      </c>
      <c r="R393" t="s">
        <v>6076</v>
      </c>
      <c r="S393" t="s">
        <v>7324</v>
      </c>
      <c r="U393" t="s">
        <v>309</v>
      </c>
      <c r="V393">
        <v>0</v>
      </c>
      <c r="W393" t="s">
        <v>7361</v>
      </c>
      <c r="X393" t="s">
        <v>7366</v>
      </c>
      <c r="Z393" t="s">
        <v>7725</v>
      </c>
      <c r="AA393" t="s">
        <v>9930</v>
      </c>
      <c r="AB393" t="s">
        <v>10544</v>
      </c>
      <c r="AC393">
        <v>0</v>
      </c>
      <c r="AD393" t="s">
        <v>12428</v>
      </c>
      <c r="AE393" t="s">
        <v>6110</v>
      </c>
      <c r="AF393">
        <v>1</v>
      </c>
      <c r="AG393">
        <v>1</v>
      </c>
      <c r="AH393">
        <v>0</v>
      </c>
      <c r="AI393">
        <v>19.05</v>
      </c>
      <c r="AL393" t="s">
        <v>12460</v>
      </c>
      <c r="AM393">
        <v>2379</v>
      </c>
      <c r="AS393">
        <v>2.3</v>
      </c>
      <c r="AT393" t="s">
        <v>423</v>
      </c>
      <c r="AU393" t="s">
        <v>189</v>
      </c>
    </row>
    <row r="394" spans="1:48">
      <c r="A394" s="1">
        <f>HYPERLINK("https://cms.ls-nyc.org/matter/dynamic-profile/view/1900400","19-1900400")</f>
        <v>0</v>
      </c>
      <c r="B394" t="s">
        <v>66</v>
      </c>
      <c r="C394" t="s">
        <v>241</v>
      </c>
      <c r="E394" t="s">
        <v>857</v>
      </c>
      <c r="F394" t="s">
        <v>2321</v>
      </c>
      <c r="G394" t="s">
        <v>3942</v>
      </c>
      <c r="H394" t="s">
        <v>5494</v>
      </c>
      <c r="I394" t="s">
        <v>6040</v>
      </c>
      <c r="J394">
        <v>11355</v>
      </c>
      <c r="K394" t="s">
        <v>6074</v>
      </c>
      <c r="L394" t="s">
        <v>6075</v>
      </c>
      <c r="M394" t="s">
        <v>6290</v>
      </c>
      <c r="N394" t="s">
        <v>7274</v>
      </c>
      <c r="O394" t="s">
        <v>7306</v>
      </c>
      <c r="Q394" t="s">
        <v>7322</v>
      </c>
      <c r="R394" t="s">
        <v>6076</v>
      </c>
      <c r="S394" t="s">
        <v>7324</v>
      </c>
      <c r="U394" t="s">
        <v>241</v>
      </c>
      <c r="V394">
        <v>1257.22</v>
      </c>
      <c r="W394" t="s">
        <v>7361</v>
      </c>
      <c r="X394" t="s">
        <v>7367</v>
      </c>
      <c r="Z394" t="s">
        <v>7726</v>
      </c>
      <c r="AB394" t="s">
        <v>10545</v>
      </c>
      <c r="AC394">
        <v>144</v>
      </c>
      <c r="AD394" t="s">
        <v>6322</v>
      </c>
      <c r="AE394" t="s">
        <v>6110</v>
      </c>
      <c r="AF394">
        <v>11</v>
      </c>
      <c r="AG394">
        <v>1</v>
      </c>
      <c r="AH394">
        <v>0</v>
      </c>
      <c r="AI394">
        <v>19.05</v>
      </c>
      <c r="AL394" t="s">
        <v>12470</v>
      </c>
      <c r="AM394">
        <v>2379</v>
      </c>
      <c r="AS394">
        <v>1.55</v>
      </c>
      <c r="AT394" t="s">
        <v>382</v>
      </c>
      <c r="AU394" t="s">
        <v>189</v>
      </c>
      <c r="AV394" t="s">
        <v>13145</v>
      </c>
    </row>
    <row r="395" spans="1:48">
      <c r="A395" s="1">
        <f>HYPERLINK("https://cms.ls-nyc.org/matter/dynamic-profile/view/1896452","19-1896452")</f>
        <v>0</v>
      </c>
      <c r="B395" t="s">
        <v>60</v>
      </c>
      <c r="C395" t="s">
        <v>417</v>
      </c>
      <c r="E395" t="s">
        <v>858</v>
      </c>
      <c r="F395" t="s">
        <v>715</v>
      </c>
      <c r="G395" t="s">
        <v>3943</v>
      </c>
      <c r="H395" t="s">
        <v>5495</v>
      </c>
      <c r="I395" t="s">
        <v>6040</v>
      </c>
      <c r="J395">
        <v>11354</v>
      </c>
      <c r="K395" t="s">
        <v>6074</v>
      </c>
      <c r="L395" t="s">
        <v>6074</v>
      </c>
      <c r="M395" t="s">
        <v>6291</v>
      </c>
      <c r="N395" t="s">
        <v>7276</v>
      </c>
      <c r="O395" t="s">
        <v>7308</v>
      </c>
      <c r="Q395" t="s">
        <v>7322</v>
      </c>
      <c r="R395" t="s">
        <v>6076</v>
      </c>
      <c r="S395" t="s">
        <v>7324</v>
      </c>
      <c r="T395" t="s">
        <v>7338</v>
      </c>
      <c r="U395" t="s">
        <v>417</v>
      </c>
      <c r="V395">
        <v>1700</v>
      </c>
      <c r="W395" t="s">
        <v>7361</v>
      </c>
      <c r="X395" t="s">
        <v>7376</v>
      </c>
      <c r="Z395" t="s">
        <v>7727</v>
      </c>
      <c r="AA395" t="s">
        <v>9931</v>
      </c>
      <c r="AB395" t="s">
        <v>10546</v>
      </c>
      <c r="AC395">
        <v>42</v>
      </c>
      <c r="AD395" t="s">
        <v>12419</v>
      </c>
      <c r="AE395" t="s">
        <v>6110</v>
      </c>
      <c r="AF395">
        <v>6</v>
      </c>
      <c r="AG395">
        <v>1</v>
      </c>
      <c r="AH395">
        <v>0</v>
      </c>
      <c r="AI395">
        <v>19.05</v>
      </c>
      <c r="AL395" t="s">
        <v>12463</v>
      </c>
      <c r="AM395">
        <v>2379</v>
      </c>
      <c r="AS395">
        <v>12.75</v>
      </c>
      <c r="AT395" t="s">
        <v>260</v>
      </c>
      <c r="AU395" t="s">
        <v>60</v>
      </c>
    </row>
    <row r="396" spans="1:48">
      <c r="A396" s="1">
        <f>HYPERLINK("https://cms.ls-nyc.org/matter/dynamic-profile/view/1872146","18-1872146")</f>
        <v>0</v>
      </c>
      <c r="B396" t="s">
        <v>115</v>
      </c>
      <c r="C396" t="s">
        <v>304</v>
      </c>
      <c r="E396" t="s">
        <v>772</v>
      </c>
      <c r="F396" t="s">
        <v>2287</v>
      </c>
      <c r="G396" t="s">
        <v>3944</v>
      </c>
      <c r="H396" t="s">
        <v>5496</v>
      </c>
      <c r="I396" t="s">
        <v>6047</v>
      </c>
      <c r="J396">
        <v>10452</v>
      </c>
      <c r="K396" t="s">
        <v>6074</v>
      </c>
      <c r="L396" t="s">
        <v>6074</v>
      </c>
      <c r="M396" t="s">
        <v>6292</v>
      </c>
      <c r="N396" t="s">
        <v>7285</v>
      </c>
      <c r="O396" t="s">
        <v>7311</v>
      </c>
      <c r="Q396" t="s">
        <v>7322</v>
      </c>
      <c r="R396" t="s">
        <v>6074</v>
      </c>
      <c r="S396" t="s">
        <v>7324</v>
      </c>
      <c r="T396" t="s">
        <v>7336</v>
      </c>
      <c r="U396" t="s">
        <v>502</v>
      </c>
      <c r="V396">
        <v>1004.86</v>
      </c>
      <c r="W396" t="s">
        <v>7363</v>
      </c>
      <c r="X396" t="s">
        <v>7376</v>
      </c>
      <c r="Z396" t="s">
        <v>7728</v>
      </c>
      <c r="AA396" t="s">
        <v>9932</v>
      </c>
      <c r="AB396" t="s">
        <v>10547</v>
      </c>
      <c r="AC396">
        <v>70</v>
      </c>
      <c r="AD396" t="s">
        <v>12422</v>
      </c>
      <c r="AE396" t="s">
        <v>12435</v>
      </c>
      <c r="AF396">
        <v>10</v>
      </c>
      <c r="AG396">
        <v>1</v>
      </c>
      <c r="AH396">
        <v>3</v>
      </c>
      <c r="AI396">
        <v>19.12</v>
      </c>
      <c r="AL396" t="s">
        <v>12460</v>
      </c>
      <c r="AM396">
        <v>4800</v>
      </c>
      <c r="AS396">
        <v>0</v>
      </c>
      <c r="AU396" t="s">
        <v>13092</v>
      </c>
    </row>
    <row r="397" spans="1:48">
      <c r="A397" s="1">
        <f>HYPERLINK("https://cms.ls-nyc.org/matter/dynamic-profile/view/1895722","19-1895722")</f>
        <v>0</v>
      </c>
      <c r="B397" t="s">
        <v>126</v>
      </c>
      <c r="C397" t="s">
        <v>315</v>
      </c>
      <c r="E397" t="s">
        <v>859</v>
      </c>
      <c r="F397" t="s">
        <v>1954</v>
      </c>
      <c r="G397" t="s">
        <v>3945</v>
      </c>
      <c r="H397" t="s">
        <v>5387</v>
      </c>
      <c r="I397" t="s">
        <v>6049</v>
      </c>
      <c r="J397">
        <v>10029</v>
      </c>
      <c r="K397" t="s">
        <v>6074</v>
      </c>
      <c r="L397" t="s">
        <v>6074</v>
      </c>
      <c r="N397" t="s">
        <v>7290</v>
      </c>
      <c r="O397" t="s">
        <v>7307</v>
      </c>
      <c r="Q397" t="s">
        <v>7322</v>
      </c>
      <c r="R397" t="s">
        <v>6076</v>
      </c>
      <c r="S397" t="s">
        <v>7333</v>
      </c>
      <c r="T397" t="s">
        <v>7336</v>
      </c>
      <c r="U397" t="s">
        <v>315</v>
      </c>
      <c r="V397">
        <v>981</v>
      </c>
      <c r="W397" t="s">
        <v>7365</v>
      </c>
      <c r="X397" t="s">
        <v>7368</v>
      </c>
      <c r="Z397" t="s">
        <v>7729</v>
      </c>
      <c r="AB397" t="s">
        <v>10548</v>
      </c>
      <c r="AC397">
        <v>30</v>
      </c>
      <c r="AD397" t="s">
        <v>12422</v>
      </c>
      <c r="AF397">
        <v>19</v>
      </c>
      <c r="AG397">
        <v>1</v>
      </c>
      <c r="AH397">
        <v>0</v>
      </c>
      <c r="AI397">
        <v>19.22</v>
      </c>
      <c r="AL397" t="s">
        <v>12460</v>
      </c>
      <c r="AM397">
        <v>2400</v>
      </c>
      <c r="AS397">
        <v>0</v>
      </c>
      <c r="AU397" t="s">
        <v>13107</v>
      </c>
    </row>
    <row r="398" spans="1:48">
      <c r="A398" s="1">
        <f>HYPERLINK("https://cms.ls-nyc.org/matter/dynamic-profile/view/1884409","18-1884409")</f>
        <v>0</v>
      </c>
      <c r="B398" t="s">
        <v>98</v>
      </c>
      <c r="C398" t="s">
        <v>345</v>
      </c>
      <c r="D398" t="s">
        <v>235</v>
      </c>
      <c r="E398" t="s">
        <v>802</v>
      </c>
      <c r="F398" t="s">
        <v>2278</v>
      </c>
      <c r="G398" t="s">
        <v>3885</v>
      </c>
      <c r="H398" t="s">
        <v>5436</v>
      </c>
      <c r="I398" t="s">
        <v>6047</v>
      </c>
      <c r="J398">
        <v>10456</v>
      </c>
      <c r="K398" t="s">
        <v>6074</v>
      </c>
      <c r="L398" t="s">
        <v>6074</v>
      </c>
      <c r="M398" t="s">
        <v>6293</v>
      </c>
      <c r="N398" t="s">
        <v>7276</v>
      </c>
      <c r="O398" t="s">
        <v>7308</v>
      </c>
      <c r="P398" t="s">
        <v>7316</v>
      </c>
      <c r="Q398" t="s">
        <v>7322</v>
      </c>
      <c r="R398" t="s">
        <v>6076</v>
      </c>
      <c r="S398" t="s">
        <v>7324</v>
      </c>
      <c r="T398" t="s">
        <v>7336</v>
      </c>
      <c r="U398" t="s">
        <v>345</v>
      </c>
      <c r="V398">
        <v>1159.32</v>
      </c>
      <c r="W398" t="s">
        <v>7363</v>
      </c>
      <c r="X398" t="s">
        <v>7368</v>
      </c>
      <c r="Y398" t="s">
        <v>7388</v>
      </c>
      <c r="Z398" t="s">
        <v>7663</v>
      </c>
      <c r="AA398" t="s">
        <v>9902</v>
      </c>
      <c r="AB398" t="s">
        <v>10488</v>
      </c>
      <c r="AC398">
        <v>100</v>
      </c>
      <c r="AD398" t="s">
        <v>12422</v>
      </c>
      <c r="AE398" t="s">
        <v>12438</v>
      </c>
      <c r="AF398">
        <v>8</v>
      </c>
      <c r="AG398">
        <v>1</v>
      </c>
      <c r="AH398">
        <v>0</v>
      </c>
      <c r="AI398">
        <v>19.39</v>
      </c>
      <c r="AL398" t="s">
        <v>12461</v>
      </c>
      <c r="AM398">
        <v>2353.52</v>
      </c>
      <c r="AO398" t="s">
        <v>12846</v>
      </c>
      <c r="AP398" t="s">
        <v>12869</v>
      </c>
      <c r="AQ398" t="s">
        <v>12909</v>
      </c>
      <c r="AR398" t="s">
        <v>12944</v>
      </c>
      <c r="AS398">
        <v>24.2</v>
      </c>
      <c r="AT398" t="s">
        <v>235</v>
      </c>
      <c r="AU398" t="s">
        <v>13092</v>
      </c>
    </row>
    <row r="399" spans="1:48">
      <c r="A399" s="1">
        <f>HYPERLINK("https://cms.ls-nyc.org/matter/dynamic-profile/view/1885362","18-1885362")</f>
        <v>0</v>
      </c>
      <c r="B399" t="s">
        <v>130</v>
      </c>
      <c r="C399" t="s">
        <v>250</v>
      </c>
      <c r="D399" t="s">
        <v>339</v>
      </c>
      <c r="E399" t="s">
        <v>860</v>
      </c>
      <c r="F399" t="s">
        <v>2322</v>
      </c>
      <c r="G399" t="s">
        <v>3946</v>
      </c>
      <c r="H399" t="s">
        <v>5497</v>
      </c>
      <c r="I399" t="s">
        <v>6049</v>
      </c>
      <c r="J399">
        <v>10034</v>
      </c>
      <c r="K399" t="s">
        <v>6074</v>
      </c>
      <c r="L399" t="s">
        <v>6074</v>
      </c>
      <c r="N399" t="s">
        <v>7278</v>
      </c>
      <c r="O399" t="s">
        <v>7306</v>
      </c>
      <c r="P399" t="s">
        <v>7314</v>
      </c>
      <c r="Q399" t="s">
        <v>7322</v>
      </c>
      <c r="R399" t="s">
        <v>6076</v>
      </c>
      <c r="S399" t="s">
        <v>7324</v>
      </c>
      <c r="U399" t="s">
        <v>250</v>
      </c>
      <c r="V399">
        <v>912.6900000000001</v>
      </c>
      <c r="W399" t="s">
        <v>7365</v>
      </c>
      <c r="X399" t="s">
        <v>7367</v>
      </c>
      <c r="Y399" t="s">
        <v>7386</v>
      </c>
      <c r="Z399" t="s">
        <v>7730</v>
      </c>
      <c r="AC399">
        <v>78</v>
      </c>
      <c r="AD399" t="s">
        <v>12422</v>
      </c>
      <c r="AE399" t="s">
        <v>6110</v>
      </c>
      <c r="AF399">
        <v>20</v>
      </c>
      <c r="AG399">
        <v>2</v>
      </c>
      <c r="AH399">
        <v>3</v>
      </c>
      <c r="AI399">
        <v>19.39</v>
      </c>
      <c r="AL399" t="s">
        <v>12460</v>
      </c>
      <c r="AM399">
        <v>5706</v>
      </c>
      <c r="AS399">
        <v>4.8</v>
      </c>
      <c r="AT399" t="s">
        <v>326</v>
      </c>
      <c r="AU399" t="s">
        <v>13106</v>
      </c>
    </row>
    <row r="400" spans="1:48">
      <c r="A400" s="1">
        <f>HYPERLINK("https://cms.ls-nyc.org/matter/dynamic-profile/view/1898332","19-1898332")</f>
        <v>0</v>
      </c>
      <c r="B400" t="s">
        <v>61</v>
      </c>
      <c r="C400" t="s">
        <v>343</v>
      </c>
      <c r="E400" t="s">
        <v>861</v>
      </c>
      <c r="F400" t="s">
        <v>2323</v>
      </c>
      <c r="G400" t="s">
        <v>3947</v>
      </c>
      <c r="H400" t="s">
        <v>5498</v>
      </c>
      <c r="I400" t="s">
        <v>6035</v>
      </c>
      <c r="J400">
        <v>11377</v>
      </c>
      <c r="K400" t="s">
        <v>6074</v>
      </c>
      <c r="L400" t="s">
        <v>6074</v>
      </c>
      <c r="M400" t="s">
        <v>6294</v>
      </c>
      <c r="N400" t="s">
        <v>7275</v>
      </c>
      <c r="O400" t="s">
        <v>7309</v>
      </c>
      <c r="Q400" t="s">
        <v>7322</v>
      </c>
      <c r="R400" t="s">
        <v>6076</v>
      </c>
      <c r="S400" t="s">
        <v>7324</v>
      </c>
      <c r="T400" t="s">
        <v>7338</v>
      </c>
      <c r="U400" t="s">
        <v>343</v>
      </c>
      <c r="V400">
        <v>1104.78</v>
      </c>
      <c r="W400" t="s">
        <v>7361</v>
      </c>
      <c r="X400" t="s">
        <v>7366</v>
      </c>
      <c r="Z400" t="s">
        <v>7731</v>
      </c>
      <c r="AB400" t="s">
        <v>10549</v>
      </c>
      <c r="AC400">
        <v>65</v>
      </c>
      <c r="AD400" t="s">
        <v>12422</v>
      </c>
      <c r="AE400" t="s">
        <v>6110</v>
      </c>
      <c r="AF400">
        <v>24</v>
      </c>
      <c r="AG400">
        <v>3</v>
      </c>
      <c r="AH400">
        <v>0</v>
      </c>
      <c r="AI400">
        <v>19.52</v>
      </c>
      <c r="AL400" t="s">
        <v>12460</v>
      </c>
      <c r="AM400">
        <v>4164</v>
      </c>
      <c r="AS400">
        <v>1.5</v>
      </c>
      <c r="AT400" t="s">
        <v>276</v>
      </c>
      <c r="AU400" t="s">
        <v>52</v>
      </c>
    </row>
    <row r="401" spans="1:48">
      <c r="A401" s="1">
        <f>HYPERLINK("https://cms.ls-nyc.org/matter/dynamic-profile/view/1893584","19-1893584")</f>
        <v>0</v>
      </c>
      <c r="B401" t="s">
        <v>117</v>
      </c>
      <c r="C401" t="s">
        <v>334</v>
      </c>
      <c r="E401" t="s">
        <v>862</v>
      </c>
      <c r="F401" t="s">
        <v>2052</v>
      </c>
      <c r="G401" t="s">
        <v>3948</v>
      </c>
      <c r="H401" t="s">
        <v>5446</v>
      </c>
      <c r="I401" t="s">
        <v>6048</v>
      </c>
      <c r="J401">
        <v>10305</v>
      </c>
      <c r="K401" t="s">
        <v>6074</v>
      </c>
      <c r="L401" t="s">
        <v>6074</v>
      </c>
      <c r="M401" t="s">
        <v>6295</v>
      </c>
      <c r="N401" t="s">
        <v>7276</v>
      </c>
      <c r="O401" t="s">
        <v>7308</v>
      </c>
      <c r="Q401" t="s">
        <v>7322</v>
      </c>
      <c r="R401" t="s">
        <v>6076</v>
      </c>
      <c r="S401" t="s">
        <v>7324</v>
      </c>
      <c r="T401" t="s">
        <v>7336</v>
      </c>
      <c r="U401" t="s">
        <v>334</v>
      </c>
      <c r="V401">
        <v>1200</v>
      </c>
      <c r="W401" t="s">
        <v>7364</v>
      </c>
      <c r="X401" t="s">
        <v>7373</v>
      </c>
      <c r="Z401" t="s">
        <v>7732</v>
      </c>
      <c r="AB401" t="s">
        <v>10550</v>
      </c>
      <c r="AC401">
        <v>5</v>
      </c>
      <c r="AD401" t="s">
        <v>12419</v>
      </c>
      <c r="AF401">
        <v>1</v>
      </c>
      <c r="AG401">
        <v>1</v>
      </c>
      <c r="AH401">
        <v>2</v>
      </c>
      <c r="AI401">
        <v>19.69</v>
      </c>
      <c r="AL401" t="s">
        <v>12460</v>
      </c>
      <c r="AM401">
        <v>4200</v>
      </c>
      <c r="AS401">
        <v>11.8</v>
      </c>
      <c r="AT401" t="s">
        <v>381</v>
      </c>
      <c r="AU401" t="s">
        <v>13102</v>
      </c>
    </row>
    <row r="402" spans="1:48">
      <c r="A402" s="1">
        <f>HYPERLINK("https://cms.ls-nyc.org/matter/dynamic-profile/view/1878210","18-1878210")</f>
        <v>0</v>
      </c>
      <c r="B402" t="s">
        <v>110</v>
      </c>
      <c r="C402" t="s">
        <v>299</v>
      </c>
      <c r="D402" t="s">
        <v>283</v>
      </c>
      <c r="E402" t="s">
        <v>777</v>
      </c>
      <c r="F402" t="s">
        <v>2324</v>
      </c>
      <c r="G402" t="s">
        <v>3949</v>
      </c>
      <c r="H402" t="s">
        <v>5499</v>
      </c>
      <c r="I402" t="s">
        <v>6047</v>
      </c>
      <c r="J402">
        <v>10457</v>
      </c>
      <c r="K402" t="s">
        <v>6074</v>
      </c>
      <c r="L402" t="s">
        <v>6074</v>
      </c>
      <c r="N402" t="s">
        <v>6104</v>
      </c>
      <c r="O402" t="s">
        <v>7309</v>
      </c>
      <c r="P402" t="s">
        <v>7314</v>
      </c>
      <c r="Q402" t="s">
        <v>7322</v>
      </c>
      <c r="R402" t="s">
        <v>6076</v>
      </c>
      <c r="S402" t="s">
        <v>7324</v>
      </c>
      <c r="U402" t="s">
        <v>483</v>
      </c>
      <c r="V402">
        <v>0</v>
      </c>
      <c r="W402" t="s">
        <v>7363</v>
      </c>
      <c r="X402" t="s">
        <v>7376</v>
      </c>
      <c r="Y402" t="s">
        <v>7386</v>
      </c>
      <c r="Z402" t="s">
        <v>7733</v>
      </c>
      <c r="AA402">
        <v>114505539</v>
      </c>
      <c r="AB402" t="s">
        <v>10551</v>
      </c>
      <c r="AC402">
        <v>32</v>
      </c>
      <c r="AD402" t="s">
        <v>12422</v>
      </c>
      <c r="AE402" t="s">
        <v>7305</v>
      </c>
      <c r="AF402">
        <v>1</v>
      </c>
      <c r="AG402">
        <v>1</v>
      </c>
      <c r="AH402">
        <v>0</v>
      </c>
      <c r="AI402">
        <v>19.7</v>
      </c>
      <c r="AL402" t="s">
        <v>12460</v>
      </c>
      <c r="AM402">
        <v>2392</v>
      </c>
      <c r="AS402">
        <v>1.4</v>
      </c>
      <c r="AT402" t="s">
        <v>483</v>
      </c>
      <c r="AU402" t="s">
        <v>13090</v>
      </c>
    </row>
    <row r="403" spans="1:48">
      <c r="A403" s="1">
        <f>HYPERLINK("https://cms.ls-nyc.org/matter/dynamic-profile/view/1898006","19-1898006")</f>
        <v>0</v>
      </c>
      <c r="B403" t="s">
        <v>77</v>
      </c>
      <c r="C403" t="s">
        <v>418</v>
      </c>
      <c r="E403" t="s">
        <v>863</v>
      </c>
      <c r="F403" t="s">
        <v>2228</v>
      </c>
      <c r="G403" t="s">
        <v>3950</v>
      </c>
      <c r="H403">
        <v>1</v>
      </c>
      <c r="I403" t="s">
        <v>6043</v>
      </c>
      <c r="J403">
        <v>11208</v>
      </c>
      <c r="K403" t="s">
        <v>6074</v>
      </c>
      <c r="L403" t="s">
        <v>6074</v>
      </c>
      <c r="M403" t="s">
        <v>6296</v>
      </c>
      <c r="N403" t="s">
        <v>7274</v>
      </c>
      <c r="O403" t="s">
        <v>7308</v>
      </c>
      <c r="Q403" t="s">
        <v>7322</v>
      </c>
      <c r="S403" t="s">
        <v>7324</v>
      </c>
      <c r="U403" t="s">
        <v>418</v>
      </c>
      <c r="V403">
        <v>1200</v>
      </c>
      <c r="W403" t="s">
        <v>7362</v>
      </c>
      <c r="X403" t="s">
        <v>7368</v>
      </c>
      <c r="Z403" t="s">
        <v>7734</v>
      </c>
      <c r="AB403" t="s">
        <v>10552</v>
      </c>
      <c r="AC403">
        <v>3</v>
      </c>
      <c r="AD403" t="s">
        <v>6322</v>
      </c>
      <c r="AF403">
        <v>1</v>
      </c>
      <c r="AG403">
        <v>1</v>
      </c>
      <c r="AH403">
        <v>2</v>
      </c>
      <c r="AI403">
        <v>19.75</v>
      </c>
      <c r="AL403" t="s">
        <v>12460</v>
      </c>
      <c r="AM403">
        <v>4212</v>
      </c>
      <c r="AS403">
        <v>1.5</v>
      </c>
      <c r="AT403" t="s">
        <v>257</v>
      </c>
      <c r="AU403" t="s">
        <v>13084</v>
      </c>
    </row>
    <row r="404" spans="1:48">
      <c r="A404" s="1">
        <f>HYPERLINK("https://cms.ls-nyc.org/matter/dynamic-profile/view/1874876","18-1874876")</f>
        <v>0</v>
      </c>
      <c r="B404" t="s">
        <v>77</v>
      </c>
      <c r="C404" t="s">
        <v>274</v>
      </c>
      <c r="D404" t="s">
        <v>344</v>
      </c>
      <c r="E404" t="s">
        <v>864</v>
      </c>
      <c r="F404" t="s">
        <v>2325</v>
      </c>
      <c r="G404" t="s">
        <v>3951</v>
      </c>
      <c r="H404" t="s">
        <v>5489</v>
      </c>
      <c r="I404" t="s">
        <v>6043</v>
      </c>
      <c r="J404">
        <v>11212</v>
      </c>
      <c r="K404" t="s">
        <v>6074</v>
      </c>
      <c r="L404" t="s">
        <v>6074</v>
      </c>
      <c r="M404" t="s">
        <v>6297</v>
      </c>
      <c r="N404" t="s">
        <v>7274</v>
      </c>
      <c r="O404" t="s">
        <v>7306</v>
      </c>
      <c r="P404" t="s">
        <v>7314</v>
      </c>
      <c r="Q404" t="s">
        <v>7322</v>
      </c>
      <c r="S404" t="s">
        <v>7324</v>
      </c>
      <c r="U404" t="s">
        <v>274</v>
      </c>
      <c r="V404">
        <v>200</v>
      </c>
      <c r="W404" t="s">
        <v>7362</v>
      </c>
      <c r="X404" t="s">
        <v>7366</v>
      </c>
      <c r="Y404" t="s">
        <v>7386</v>
      </c>
      <c r="Z404" t="s">
        <v>7735</v>
      </c>
      <c r="AB404" t="s">
        <v>10553</v>
      </c>
      <c r="AC404">
        <v>4</v>
      </c>
      <c r="AF404">
        <v>5</v>
      </c>
      <c r="AG404">
        <v>1</v>
      </c>
      <c r="AH404">
        <v>0</v>
      </c>
      <c r="AI404">
        <v>19.77</v>
      </c>
      <c r="AL404" t="s">
        <v>12460</v>
      </c>
      <c r="AM404">
        <v>2400</v>
      </c>
      <c r="AS404">
        <v>3.3</v>
      </c>
      <c r="AT404" t="s">
        <v>372</v>
      </c>
      <c r="AU404" t="s">
        <v>13082</v>
      </c>
    </row>
    <row r="405" spans="1:48">
      <c r="A405" s="1">
        <f>HYPERLINK("https://cms.ls-nyc.org/matter/dynamic-profile/view/1886957","19-1886957")</f>
        <v>0</v>
      </c>
      <c r="B405" t="s">
        <v>76</v>
      </c>
      <c r="C405" t="s">
        <v>410</v>
      </c>
      <c r="E405" t="s">
        <v>800</v>
      </c>
      <c r="F405" t="s">
        <v>2326</v>
      </c>
      <c r="G405" t="s">
        <v>3952</v>
      </c>
      <c r="H405" t="s">
        <v>5500</v>
      </c>
      <c r="I405" t="s">
        <v>6043</v>
      </c>
      <c r="J405">
        <v>11208</v>
      </c>
      <c r="K405" t="s">
        <v>6074</v>
      </c>
      <c r="L405" t="s">
        <v>6074</v>
      </c>
      <c r="M405" t="s">
        <v>6298</v>
      </c>
      <c r="N405" t="s">
        <v>7276</v>
      </c>
      <c r="Q405" t="s">
        <v>7322</v>
      </c>
      <c r="R405" t="s">
        <v>6076</v>
      </c>
      <c r="S405" t="s">
        <v>7324</v>
      </c>
      <c r="T405" t="s">
        <v>7336</v>
      </c>
      <c r="U405" t="s">
        <v>337</v>
      </c>
      <c r="V405">
        <v>1200</v>
      </c>
      <c r="W405" t="s">
        <v>7362</v>
      </c>
      <c r="X405" t="s">
        <v>7373</v>
      </c>
      <c r="Z405" t="s">
        <v>7736</v>
      </c>
      <c r="AA405" t="s">
        <v>9933</v>
      </c>
      <c r="AB405" t="s">
        <v>10554</v>
      </c>
      <c r="AC405">
        <v>56</v>
      </c>
      <c r="AE405" t="s">
        <v>7305</v>
      </c>
      <c r="AF405">
        <v>1</v>
      </c>
      <c r="AG405">
        <v>1</v>
      </c>
      <c r="AH405">
        <v>0</v>
      </c>
      <c r="AI405">
        <v>19.77</v>
      </c>
      <c r="AL405" t="s">
        <v>12461</v>
      </c>
      <c r="AM405">
        <v>2400</v>
      </c>
      <c r="AS405">
        <v>0.8</v>
      </c>
      <c r="AT405" t="s">
        <v>340</v>
      </c>
      <c r="AU405" t="s">
        <v>218</v>
      </c>
    </row>
    <row r="406" spans="1:48">
      <c r="A406" s="1">
        <f>HYPERLINK("https://cms.ls-nyc.org/matter/dynamic-profile/view/1872111","18-1872111")</f>
        <v>0</v>
      </c>
      <c r="B406" t="s">
        <v>126</v>
      </c>
      <c r="C406" t="s">
        <v>304</v>
      </c>
      <c r="E406" t="s">
        <v>859</v>
      </c>
      <c r="F406" t="s">
        <v>1954</v>
      </c>
      <c r="G406" t="s">
        <v>3945</v>
      </c>
      <c r="H406" t="s">
        <v>5387</v>
      </c>
      <c r="I406" t="s">
        <v>6049</v>
      </c>
      <c r="J406">
        <v>10029</v>
      </c>
      <c r="K406" t="s">
        <v>6074</v>
      </c>
      <c r="L406" t="s">
        <v>6074</v>
      </c>
      <c r="M406" t="s">
        <v>6299</v>
      </c>
      <c r="N406" t="s">
        <v>7276</v>
      </c>
      <c r="O406" t="s">
        <v>7308</v>
      </c>
      <c r="Q406" t="s">
        <v>7322</v>
      </c>
      <c r="R406" t="s">
        <v>6076</v>
      </c>
      <c r="S406" t="s">
        <v>7324</v>
      </c>
      <c r="T406" t="s">
        <v>7336</v>
      </c>
      <c r="U406" t="s">
        <v>384</v>
      </c>
      <c r="V406">
        <v>981</v>
      </c>
      <c r="W406" t="s">
        <v>7365</v>
      </c>
      <c r="X406" t="s">
        <v>7383</v>
      </c>
      <c r="Z406" t="s">
        <v>7729</v>
      </c>
      <c r="AB406" t="s">
        <v>10548</v>
      </c>
      <c r="AC406">
        <v>30</v>
      </c>
      <c r="AD406" t="s">
        <v>12422</v>
      </c>
      <c r="AE406" t="s">
        <v>6110</v>
      </c>
      <c r="AF406">
        <v>19</v>
      </c>
      <c r="AG406">
        <v>1</v>
      </c>
      <c r="AH406">
        <v>0</v>
      </c>
      <c r="AI406">
        <v>19.77</v>
      </c>
      <c r="AL406" t="s">
        <v>12460</v>
      </c>
      <c r="AM406">
        <v>2400</v>
      </c>
      <c r="AS406">
        <v>24.55</v>
      </c>
      <c r="AT406" t="s">
        <v>276</v>
      </c>
      <c r="AU406" t="s">
        <v>13117</v>
      </c>
    </row>
    <row r="407" spans="1:48">
      <c r="A407" s="1">
        <f>HYPERLINK("https://cms.ls-nyc.org/matter/dynamic-profile/view/1884001","18-1884001")</f>
        <v>0</v>
      </c>
      <c r="B407" t="s">
        <v>130</v>
      </c>
      <c r="C407" t="s">
        <v>412</v>
      </c>
      <c r="D407" t="s">
        <v>379</v>
      </c>
      <c r="E407" t="s">
        <v>865</v>
      </c>
      <c r="F407" t="s">
        <v>2327</v>
      </c>
      <c r="G407" t="s">
        <v>3953</v>
      </c>
      <c r="H407" t="s">
        <v>5355</v>
      </c>
      <c r="I407" t="s">
        <v>6049</v>
      </c>
      <c r="J407">
        <v>10002</v>
      </c>
      <c r="K407" t="s">
        <v>6074</v>
      </c>
      <c r="L407" t="s">
        <v>6074</v>
      </c>
      <c r="N407" t="s">
        <v>6104</v>
      </c>
      <c r="O407" t="s">
        <v>7306</v>
      </c>
      <c r="P407" t="s">
        <v>7314</v>
      </c>
      <c r="Q407" t="s">
        <v>7322</v>
      </c>
      <c r="R407" t="s">
        <v>6076</v>
      </c>
      <c r="S407" t="s">
        <v>7324</v>
      </c>
      <c r="U407" t="s">
        <v>412</v>
      </c>
      <c r="V407">
        <v>756</v>
      </c>
      <c r="W407" t="s">
        <v>7365</v>
      </c>
      <c r="X407" t="s">
        <v>7367</v>
      </c>
      <c r="Y407" t="s">
        <v>7386</v>
      </c>
      <c r="Z407" t="s">
        <v>7737</v>
      </c>
      <c r="AA407" t="s">
        <v>9934</v>
      </c>
      <c r="AB407" t="s">
        <v>10555</v>
      </c>
      <c r="AC407">
        <v>20</v>
      </c>
      <c r="AD407" t="s">
        <v>12425</v>
      </c>
      <c r="AE407" t="s">
        <v>6110</v>
      </c>
      <c r="AF407">
        <v>8</v>
      </c>
      <c r="AG407">
        <v>1</v>
      </c>
      <c r="AH407">
        <v>0</v>
      </c>
      <c r="AI407">
        <v>19.77</v>
      </c>
      <c r="AL407" t="s">
        <v>12460</v>
      </c>
      <c r="AM407">
        <v>2400</v>
      </c>
      <c r="AS407">
        <v>1.8</v>
      </c>
      <c r="AT407" t="s">
        <v>379</v>
      </c>
      <c r="AU407" t="s">
        <v>13106</v>
      </c>
    </row>
    <row r="408" spans="1:48">
      <c r="A408" s="1">
        <f>HYPERLINK("https://cms.ls-nyc.org/matter/dynamic-profile/view/1888389","19-1888389")</f>
        <v>0</v>
      </c>
      <c r="B408" t="s">
        <v>52</v>
      </c>
      <c r="C408" t="s">
        <v>292</v>
      </c>
      <c r="D408" t="s">
        <v>265</v>
      </c>
      <c r="E408" t="s">
        <v>861</v>
      </c>
      <c r="F408" t="s">
        <v>2323</v>
      </c>
      <c r="G408" t="s">
        <v>3947</v>
      </c>
      <c r="H408" t="s">
        <v>5498</v>
      </c>
      <c r="I408" t="s">
        <v>6035</v>
      </c>
      <c r="J408">
        <v>11377</v>
      </c>
      <c r="K408" t="s">
        <v>6074</v>
      </c>
      <c r="L408" t="s">
        <v>6074</v>
      </c>
      <c r="M408" t="s">
        <v>6294</v>
      </c>
      <c r="N408" t="s">
        <v>7276</v>
      </c>
      <c r="O408" t="s">
        <v>7308</v>
      </c>
      <c r="P408" t="s">
        <v>7316</v>
      </c>
      <c r="Q408" t="s">
        <v>7322</v>
      </c>
      <c r="R408" t="s">
        <v>6076</v>
      </c>
      <c r="S408" t="s">
        <v>7324</v>
      </c>
      <c r="T408" t="s">
        <v>7338</v>
      </c>
      <c r="U408" t="s">
        <v>292</v>
      </c>
      <c r="V408">
        <v>1104.78</v>
      </c>
      <c r="W408" t="s">
        <v>7361</v>
      </c>
      <c r="X408" t="s">
        <v>7366</v>
      </c>
      <c r="Y408" t="s">
        <v>7388</v>
      </c>
      <c r="Z408" t="s">
        <v>7731</v>
      </c>
      <c r="AA408" t="s">
        <v>9856</v>
      </c>
      <c r="AB408" t="s">
        <v>10549</v>
      </c>
      <c r="AC408">
        <v>65</v>
      </c>
      <c r="AD408" t="s">
        <v>12422</v>
      </c>
      <c r="AE408" t="s">
        <v>6110</v>
      </c>
      <c r="AF408">
        <v>24</v>
      </c>
      <c r="AG408">
        <v>3</v>
      </c>
      <c r="AH408">
        <v>0</v>
      </c>
      <c r="AI408">
        <v>20.04</v>
      </c>
      <c r="AL408" t="s">
        <v>12460</v>
      </c>
      <c r="AM408">
        <v>4164</v>
      </c>
      <c r="AO408" t="s">
        <v>12846</v>
      </c>
      <c r="AP408" t="s">
        <v>12858</v>
      </c>
      <c r="AQ408" t="s">
        <v>12909</v>
      </c>
      <c r="AR408" t="s">
        <v>12945</v>
      </c>
      <c r="AS408">
        <v>26.95</v>
      </c>
      <c r="AT408" t="s">
        <v>505</v>
      </c>
      <c r="AU408" t="s">
        <v>48</v>
      </c>
      <c r="AV408" t="s">
        <v>13145</v>
      </c>
    </row>
    <row r="409" spans="1:48">
      <c r="A409" s="1">
        <f>HYPERLINK("https://cms.ls-nyc.org/matter/dynamic-profile/view/1879340","18-1879340")</f>
        <v>0</v>
      </c>
      <c r="B409" t="s">
        <v>57</v>
      </c>
      <c r="C409" t="s">
        <v>249</v>
      </c>
      <c r="D409" t="s">
        <v>556</v>
      </c>
      <c r="E409" t="s">
        <v>866</v>
      </c>
      <c r="F409" t="s">
        <v>2328</v>
      </c>
      <c r="G409" t="s">
        <v>3905</v>
      </c>
      <c r="H409" t="s">
        <v>5483</v>
      </c>
      <c r="I409" t="s">
        <v>6025</v>
      </c>
      <c r="J409">
        <v>11691</v>
      </c>
      <c r="K409" t="s">
        <v>6074</v>
      </c>
      <c r="L409" t="s">
        <v>6074</v>
      </c>
      <c r="M409" t="s">
        <v>6300</v>
      </c>
      <c r="N409" t="s">
        <v>7276</v>
      </c>
      <c r="O409" t="s">
        <v>7306</v>
      </c>
      <c r="P409" t="s">
        <v>7314</v>
      </c>
      <c r="Q409" t="s">
        <v>7322</v>
      </c>
      <c r="R409" t="s">
        <v>6076</v>
      </c>
      <c r="S409" t="s">
        <v>7324</v>
      </c>
      <c r="T409" t="s">
        <v>7336</v>
      </c>
      <c r="U409" t="s">
        <v>249</v>
      </c>
      <c r="V409">
        <v>1515</v>
      </c>
      <c r="W409" t="s">
        <v>7361</v>
      </c>
      <c r="X409" t="s">
        <v>7366</v>
      </c>
      <c r="Y409" t="s">
        <v>7386</v>
      </c>
      <c r="Z409" t="s">
        <v>7738</v>
      </c>
      <c r="AA409" t="s">
        <v>9935</v>
      </c>
      <c r="AB409" t="s">
        <v>10556</v>
      </c>
      <c r="AC409">
        <v>26</v>
      </c>
      <c r="AD409" t="s">
        <v>12422</v>
      </c>
      <c r="AE409" t="s">
        <v>12438</v>
      </c>
      <c r="AF409">
        <v>1</v>
      </c>
      <c r="AG409">
        <v>1</v>
      </c>
      <c r="AH409">
        <v>3</v>
      </c>
      <c r="AI409">
        <v>20.1</v>
      </c>
      <c r="AL409" t="s">
        <v>12460</v>
      </c>
      <c r="AM409">
        <v>5044</v>
      </c>
      <c r="AS409">
        <v>0.75</v>
      </c>
      <c r="AT409" t="s">
        <v>357</v>
      </c>
      <c r="AU409" t="s">
        <v>48</v>
      </c>
    </row>
    <row r="410" spans="1:48">
      <c r="A410" s="1">
        <f>HYPERLINK("https://cms.ls-nyc.org/matter/dynamic-profile/view/1889189","19-1889189")</f>
        <v>0</v>
      </c>
      <c r="B410" t="s">
        <v>77</v>
      </c>
      <c r="C410" t="s">
        <v>259</v>
      </c>
      <c r="E410" t="s">
        <v>803</v>
      </c>
      <c r="F410" t="s">
        <v>2329</v>
      </c>
      <c r="G410" t="s">
        <v>3954</v>
      </c>
      <c r="H410" t="s">
        <v>5376</v>
      </c>
      <c r="I410" t="s">
        <v>6043</v>
      </c>
      <c r="J410">
        <v>11207</v>
      </c>
      <c r="K410" t="s">
        <v>6074</v>
      </c>
      <c r="L410" t="s">
        <v>6074</v>
      </c>
      <c r="M410" t="s">
        <v>6301</v>
      </c>
      <c r="O410" t="s">
        <v>7308</v>
      </c>
      <c r="Q410" t="s">
        <v>7322</v>
      </c>
      <c r="R410" t="s">
        <v>6076</v>
      </c>
      <c r="S410" t="s">
        <v>7324</v>
      </c>
      <c r="U410" t="s">
        <v>456</v>
      </c>
      <c r="V410">
        <v>0</v>
      </c>
      <c r="W410" t="s">
        <v>7362</v>
      </c>
      <c r="Z410" t="s">
        <v>7739</v>
      </c>
      <c r="AC410">
        <v>0</v>
      </c>
      <c r="AF410">
        <v>0</v>
      </c>
      <c r="AG410">
        <v>1</v>
      </c>
      <c r="AH410">
        <v>3</v>
      </c>
      <c r="AI410">
        <v>20.18</v>
      </c>
      <c r="AL410" t="s">
        <v>12460</v>
      </c>
      <c r="AM410">
        <v>5196</v>
      </c>
      <c r="AS410">
        <v>14.25</v>
      </c>
      <c r="AT410" t="s">
        <v>330</v>
      </c>
      <c r="AU410" t="s">
        <v>77</v>
      </c>
    </row>
    <row r="411" spans="1:48">
      <c r="A411" s="1">
        <f>HYPERLINK("https://cms.ls-nyc.org/matter/dynamic-profile/view/1890898","19-1890898")</f>
        <v>0</v>
      </c>
      <c r="B411" t="s">
        <v>68</v>
      </c>
      <c r="C411" t="s">
        <v>251</v>
      </c>
      <c r="D411" t="s">
        <v>397</v>
      </c>
      <c r="E411" t="s">
        <v>867</v>
      </c>
      <c r="F411" t="s">
        <v>2258</v>
      </c>
      <c r="G411" t="s">
        <v>3955</v>
      </c>
      <c r="H411">
        <v>2</v>
      </c>
      <c r="I411" t="s">
        <v>6043</v>
      </c>
      <c r="J411">
        <v>11208</v>
      </c>
      <c r="K411" t="s">
        <v>6074</v>
      </c>
      <c r="L411" t="s">
        <v>6074</v>
      </c>
      <c r="M411" t="s">
        <v>6302</v>
      </c>
      <c r="N411" t="s">
        <v>7274</v>
      </c>
      <c r="O411" t="s">
        <v>7307</v>
      </c>
      <c r="P411" t="s">
        <v>7314</v>
      </c>
      <c r="Q411" t="s">
        <v>7322</v>
      </c>
      <c r="R411" t="s">
        <v>6076</v>
      </c>
      <c r="S411" t="s">
        <v>7324</v>
      </c>
      <c r="T411" t="s">
        <v>7339</v>
      </c>
      <c r="U411" t="s">
        <v>371</v>
      </c>
      <c r="V411">
        <v>2100</v>
      </c>
      <c r="W411" t="s">
        <v>7362</v>
      </c>
      <c r="X411" t="s">
        <v>7368</v>
      </c>
      <c r="Y411" t="s">
        <v>7386</v>
      </c>
      <c r="Z411" t="s">
        <v>7740</v>
      </c>
      <c r="AA411">
        <v>6654584</v>
      </c>
      <c r="AB411" t="s">
        <v>10557</v>
      </c>
      <c r="AC411">
        <v>3</v>
      </c>
      <c r="AD411" t="s">
        <v>12419</v>
      </c>
      <c r="AE411" t="s">
        <v>12434</v>
      </c>
      <c r="AF411">
        <v>1</v>
      </c>
      <c r="AG411">
        <v>3</v>
      </c>
      <c r="AH411">
        <v>1</v>
      </c>
      <c r="AI411">
        <v>20.19</v>
      </c>
      <c r="AL411" t="s">
        <v>12460</v>
      </c>
      <c r="AM411">
        <v>5200</v>
      </c>
      <c r="AS411">
        <v>1.2</v>
      </c>
      <c r="AT411" t="s">
        <v>371</v>
      </c>
      <c r="AU411" t="s">
        <v>218</v>
      </c>
    </row>
    <row r="412" spans="1:48">
      <c r="A412" s="1">
        <f>HYPERLINK("https://cms.ls-nyc.org/matter/dynamic-profile/view/1886102","18-1886102")</f>
        <v>0</v>
      </c>
      <c r="B412" t="s">
        <v>101</v>
      </c>
      <c r="C412" t="s">
        <v>326</v>
      </c>
      <c r="E412" t="s">
        <v>854</v>
      </c>
      <c r="F412" t="s">
        <v>2319</v>
      </c>
      <c r="G412" t="s">
        <v>3939</v>
      </c>
      <c r="H412" t="s">
        <v>5493</v>
      </c>
      <c r="I412" t="s">
        <v>6047</v>
      </c>
      <c r="J412">
        <v>10456</v>
      </c>
      <c r="K412" t="s">
        <v>6074</v>
      </c>
      <c r="L412" t="s">
        <v>6074</v>
      </c>
      <c r="M412" t="s">
        <v>6303</v>
      </c>
      <c r="N412" t="s">
        <v>7279</v>
      </c>
      <c r="O412" t="s">
        <v>7311</v>
      </c>
      <c r="Q412" t="s">
        <v>7322</v>
      </c>
      <c r="R412" t="s">
        <v>6074</v>
      </c>
      <c r="S412" t="s">
        <v>7324</v>
      </c>
      <c r="U412" t="s">
        <v>472</v>
      </c>
      <c r="V412">
        <v>820</v>
      </c>
      <c r="W412" t="s">
        <v>7363</v>
      </c>
      <c r="X412" t="s">
        <v>7376</v>
      </c>
      <c r="Z412" t="s">
        <v>7722</v>
      </c>
      <c r="AA412">
        <v>6629815</v>
      </c>
      <c r="AC412">
        <v>131</v>
      </c>
      <c r="AD412" t="s">
        <v>12422</v>
      </c>
      <c r="AE412" t="s">
        <v>12435</v>
      </c>
      <c r="AF412">
        <v>9</v>
      </c>
      <c r="AG412">
        <v>1</v>
      </c>
      <c r="AH412">
        <v>3</v>
      </c>
      <c r="AI412">
        <v>20.3</v>
      </c>
      <c r="AL412" t="s">
        <v>12460</v>
      </c>
      <c r="AM412">
        <v>5096</v>
      </c>
      <c r="AS412">
        <v>0</v>
      </c>
      <c r="AU412" t="s">
        <v>13095</v>
      </c>
    </row>
    <row r="413" spans="1:48">
      <c r="A413" s="1">
        <f>HYPERLINK("https://cms.ls-nyc.org/matter/dynamic-profile/view/1882586","18-1882586")</f>
        <v>0</v>
      </c>
      <c r="B413" t="s">
        <v>126</v>
      </c>
      <c r="C413" t="s">
        <v>296</v>
      </c>
      <c r="E413" t="s">
        <v>868</v>
      </c>
      <c r="F413" t="s">
        <v>2330</v>
      </c>
      <c r="G413" t="s">
        <v>3956</v>
      </c>
      <c r="H413" t="s">
        <v>5436</v>
      </c>
      <c r="I413" t="s">
        <v>6049</v>
      </c>
      <c r="J413">
        <v>10031</v>
      </c>
      <c r="K413" t="s">
        <v>6074</v>
      </c>
      <c r="L413" t="s">
        <v>6074</v>
      </c>
      <c r="M413" t="s">
        <v>6304</v>
      </c>
      <c r="N413" t="s">
        <v>7273</v>
      </c>
      <c r="O413" t="s">
        <v>7308</v>
      </c>
      <c r="Q413" t="s">
        <v>7322</v>
      </c>
      <c r="R413" t="s">
        <v>6074</v>
      </c>
      <c r="S413" t="s">
        <v>7324</v>
      </c>
      <c r="T413" t="s">
        <v>7336</v>
      </c>
      <c r="U413" t="s">
        <v>258</v>
      </c>
      <c r="V413">
        <v>2697</v>
      </c>
      <c r="W413" t="s">
        <v>7365</v>
      </c>
      <c r="X413" t="s">
        <v>7375</v>
      </c>
      <c r="Z413" t="s">
        <v>7741</v>
      </c>
      <c r="AB413" t="s">
        <v>10558</v>
      </c>
      <c r="AC413">
        <v>44</v>
      </c>
      <c r="AD413" t="s">
        <v>12422</v>
      </c>
      <c r="AE413" t="s">
        <v>12434</v>
      </c>
      <c r="AF413">
        <v>10</v>
      </c>
      <c r="AG413">
        <v>2</v>
      </c>
      <c r="AH413">
        <v>0</v>
      </c>
      <c r="AI413">
        <v>20.33</v>
      </c>
      <c r="AL413" t="s">
        <v>12460</v>
      </c>
      <c r="AM413">
        <v>3346.2</v>
      </c>
      <c r="AS413">
        <v>1.5</v>
      </c>
      <c r="AT413" t="s">
        <v>293</v>
      </c>
      <c r="AU413" t="s">
        <v>13107</v>
      </c>
    </row>
    <row r="414" spans="1:48">
      <c r="A414" s="1">
        <f>HYPERLINK("https://cms.ls-nyc.org/matter/dynamic-profile/view/1876683","18-1876683")</f>
        <v>0</v>
      </c>
      <c r="B414" t="s">
        <v>101</v>
      </c>
      <c r="C414" t="s">
        <v>243</v>
      </c>
      <c r="E414" t="s">
        <v>854</v>
      </c>
      <c r="F414" t="s">
        <v>2319</v>
      </c>
      <c r="G414" t="s">
        <v>3939</v>
      </c>
      <c r="H414" t="s">
        <v>5493</v>
      </c>
      <c r="I414" t="s">
        <v>6047</v>
      </c>
      <c r="J414">
        <v>10456</v>
      </c>
      <c r="K414" t="s">
        <v>6074</v>
      </c>
      <c r="L414" t="s">
        <v>6074</v>
      </c>
      <c r="M414" t="s">
        <v>6305</v>
      </c>
      <c r="N414" t="s">
        <v>7279</v>
      </c>
      <c r="O414" t="s">
        <v>7311</v>
      </c>
      <c r="Q414" t="s">
        <v>7322</v>
      </c>
      <c r="R414" t="s">
        <v>6074</v>
      </c>
      <c r="S414" t="s">
        <v>7324</v>
      </c>
      <c r="U414" t="s">
        <v>243</v>
      </c>
      <c r="V414">
        <v>820</v>
      </c>
      <c r="W414" t="s">
        <v>7363</v>
      </c>
      <c r="X414" t="s">
        <v>7376</v>
      </c>
      <c r="Z414" t="s">
        <v>7722</v>
      </c>
      <c r="AA414">
        <v>6629815</v>
      </c>
      <c r="AC414">
        <v>131</v>
      </c>
      <c r="AD414" t="s">
        <v>12422</v>
      </c>
      <c r="AE414" t="s">
        <v>12435</v>
      </c>
      <c r="AF414">
        <v>9</v>
      </c>
      <c r="AG414">
        <v>1</v>
      </c>
      <c r="AH414">
        <v>3</v>
      </c>
      <c r="AI414">
        <v>20.35</v>
      </c>
      <c r="AL414" t="s">
        <v>12460</v>
      </c>
      <c r="AM414">
        <v>5107.96</v>
      </c>
      <c r="AS414">
        <v>0</v>
      </c>
      <c r="AU414" t="s">
        <v>13095</v>
      </c>
    </row>
    <row r="415" spans="1:48">
      <c r="A415" s="1">
        <f>HYPERLINK("https://cms.ls-nyc.org/matter/dynamic-profile/view/1882501","18-1882501")</f>
        <v>0</v>
      </c>
      <c r="B415" t="s">
        <v>151</v>
      </c>
      <c r="C415" t="s">
        <v>283</v>
      </c>
      <c r="E415" t="s">
        <v>869</v>
      </c>
      <c r="F415" t="s">
        <v>2331</v>
      </c>
      <c r="G415" t="s">
        <v>3957</v>
      </c>
      <c r="H415" t="s">
        <v>5501</v>
      </c>
      <c r="I415" t="s">
        <v>6047</v>
      </c>
      <c r="J415">
        <v>10468</v>
      </c>
      <c r="K415" t="s">
        <v>6074</v>
      </c>
      <c r="L415" t="s">
        <v>6074</v>
      </c>
      <c r="M415" t="s">
        <v>6101</v>
      </c>
      <c r="N415" t="s">
        <v>7281</v>
      </c>
      <c r="O415" t="s">
        <v>7309</v>
      </c>
      <c r="Q415" t="s">
        <v>7322</v>
      </c>
      <c r="R415" t="s">
        <v>6076</v>
      </c>
      <c r="S415" t="s">
        <v>7331</v>
      </c>
      <c r="T415" t="s">
        <v>7339</v>
      </c>
      <c r="U415" t="s">
        <v>283</v>
      </c>
      <c r="V415">
        <v>1550.24</v>
      </c>
      <c r="W415" t="s">
        <v>7363</v>
      </c>
      <c r="X415" t="s">
        <v>7376</v>
      </c>
      <c r="Z415" t="s">
        <v>7742</v>
      </c>
      <c r="AA415" t="s">
        <v>9936</v>
      </c>
      <c r="AB415" t="s">
        <v>10559</v>
      </c>
      <c r="AC415">
        <v>871</v>
      </c>
      <c r="AD415" t="s">
        <v>12426</v>
      </c>
      <c r="AE415" t="s">
        <v>12435</v>
      </c>
      <c r="AF415">
        <v>3</v>
      </c>
      <c r="AG415">
        <v>2</v>
      </c>
      <c r="AH415">
        <v>3</v>
      </c>
      <c r="AI415">
        <v>20.39</v>
      </c>
      <c r="AL415" t="s">
        <v>12460</v>
      </c>
      <c r="AM415">
        <v>6000</v>
      </c>
      <c r="AN415" t="s">
        <v>12534</v>
      </c>
      <c r="AO415" t="s">
        <v>12850</v>
      </c>
      <c r="AS415">
        <v>5.3</v>
      </c>
      <c r="AT415" t="s">
        <v>424</v>
      </c>
      <c r="AU415" t="s">
        <v>13118</v>
      </c>
    </row>
    <row r="416" spans="1:48">
      <c r="A416" s="1">
        <f>HYPERLINK("https://cms.ls-nyc.org/matter/dynamic-profile/view/1873162","18-1873162")</f>
        <v>0</v>
      </c>
      <c r="B416" t="s">
        <v>94</v>
      </c>
      <c r="C416" t="s">
        <v>419</v>
      </c>
      <c r="E416" t="s">
        <v>870</v>
      </c>
      <c r="F416" t="s">
        <v>646</v>
      </c>
      <c r="G416" t="s">
        <v>3651</v>
      </c>
      <c r="H416" t="s">
        <v>5502</v>
      </c>
      <c r="I416" t="s">
        <v>6024</v>
      </c>
      <c r="J416">
        <v>11692</v>
      </c>
      <c r="K416" t="s">
        <v>6074</v>
      </c>
      <c r="L416" t="s">
        <v>6074</v>
      </c>
      <c r="M416" t="s">
        <v>6306</v>
      </c>
      <c r="N416" t="s">
        <v>7276</v>
      </c>
      <c r="O416" t="s">
        <v>7308</v>
      </c>
      <c r="Q416" t="s">
        <v>7322</v>
      </c>
      <c r="R416" t="s">
        <v>6076</v>
      </c>
      <c r="S416" t="s">
        <v>7324</v>
      </c>
      <c r="T416" t="s">
        <v>7338</v>
      </c>
      <c r="U416" t="s">
        <v>419</v>
      </c>
      <c r="V416">
        <v>1515</v>
      </c>
      <c r="W416" t="s">
        <v>7361</v>
      </c>
      <c r="X416" t="s">
        <v>7366</v>
      </c>
      <c r="Z416" t="s">
        <v>7743</v>
      </c>
      <c r="AA416" t="s">
        <v>9937</v>
      </c>
      <c r="AB416" t="s">
        <v>10560</v>
      </c>
      <c r="AC416">
        <v>132</v>
      </c>
      <c r="AD416" t="s">
        <v>6322</v>
      </c>
      <c r="AE416" t="s">
        <v>6110</v>
      </c>
      <c r="AF416">
        <v>4</v>
      </c>
      <c r="AG416">
        <v>1</v>
      </c>
      <c r="AH416">
        <v>3</v>
      </c>
      <c r="AI416">
        <v>20.72</v>
      </c>
      <c r="AL416" t="s">
        <v>12460</v>
      </c>
      <c r="AM416">
        <v>5200</v>
      </c>
      <c r="AO416" t="s">
        <v>12850</v>
      </c>
      <c r="AP416" t="s">
        <v>12870</v>
      </c>
      <c r="AQ416" t="s">
        <v>12909</v>
      </c>
      <c r="AR416" t="s">
        <v>12946</v>
      </c>
      <c r="AS416">
        <v>18.85</v>
      </c>
      <c r="AT416" t="s">
        <v>408</v>
      </c>
      <c r="AU416" t="s">
        <v>189</v>
      </c>
    </row>
    <row r="417" spans="1:48">
      <c r="A417" s="1">
        <f>HYPERLINK("https://cms.ls-nyc.org/matter/dynamic-profile/view/1890682","19-1890682")</f>
        <v>0</v>
      </c>
      <c r="B417" t="s">
        <v>128</v>
      </c>
      <c r="C417" t="s">
        <v>420</v>
      </c>
      <c r="E417" t="s">
        <v>871</v>
      </c>
      <c r="F417" t="s">
        <v>2332</v>
      </c>
      <c r="G417" t="s">
        <v>3958</v>
      </c>
      <c r="H417">
        <v>65</v>
      </c>
      <c r="I417" t="s">
        <v>6049</v>
      </c>
      <c r="J417">
        <v>10040</v>
      </c>
      <c r="K417" t="s">
        <v>6074</v>
      </c>
      <c r="L417" t="s">
        <v>6074</v>
      </c>
      <c r="O417" t="s">
        <v>7306</v>
      </c>
      <c r="Q417" t="s">
        <v>7322</v>
      </c>
      <c r="R417" t="s">
        <v>6076</v>
      </c>
      <c r="S417" t="s">
        <v>7324</v>
      </c>
      <c r="U417" t="s">
        <v>420</v>
      </c>
      <c r="V417">
        <v>167</v>
      </c>
      <c r="W417" t="s">
        <v>7365</v>
      </c>
      <c r="X417" t="s">
        <v>7367</v>
      </c>
      <c r="Z417" t="s">
        <v>7744</v>
      </c>
      <c r="AB417" t="s">
        <v>10561</v>
      </c>
      <c r="AC417">
        <v>30</v>
      </c>
      <c r="AD417" t="s">
        <v>12422</v>
      </c>
      <c r="AE417" t="s">
        <v>6110</v>
      </c>
      <c r="AF417">
        <v>40</v>
      </c>
      <c r="AG417">
        <v>1</v>
      </c>
      <c r="AH417">
        <v>0</v>
      </c>
      <c r="AI417">
        <v>20.85</v>
      </c>
      <c r="AL417" t="s">
        <v>12460</v>
      </c>
      <c r="AM417">
        <v>2604</v>
      </c>
      <c r="AS417">
        <v>2</v>
      </c>
      <c r="AT417" t="s">
        <v>386</v>
      </c>
      <c r="AU417" t="s">
        <v>13106</v>
      </c>
      <c r="AV417" t="s">
        <v>13145</v>
      </c>
    </row>
    <row r="418" spans="1:48">
      <c r="A418" s="1">
        <f>HYPERLINK("https://cms.ls-nyc.org/matter/dynamic-profile/view/1887420","19-1887420")</f>
        <v>0</v>
      </c>
      <c r="B418" t="s">
        <v>77</v>
      </c>
      <c r="C418" t="s">
        <v>340</v>
      </c>
      <c r="E418" t="s">
        <v>872</v>
      </c>
      <c r="F418" t="s">
        <v>2333</v>
      </c>
      <c r="G418" t="s">
        <v>3959</v>
      </c>
      <c r="H418" t="s">
        <v>5358</v>
      </c>
      <c r="I418" t="s">
        <v>6043</v>
      </c>
      <c r="J418">
        <v>11207</v>
      </c>
      <c r="K418" t="s">
        <v>6074</v>
      </c>
      <c r="L418" t="s">
        <v>6074</v>
      </c>
      <c r="M418" t="s">
        <v>6307</v>
      </c>
      <c r="N418" t="s">
        <v>7276</v>
      </c>
      <c r="O418" t="s">
        <v>7306</v>
      </c>
      <c r="Q418" t="s">
        <v>7322</v>
      </c>
      <c r="R418" t="s">
        <v>6076</v>
      </c>
      <c r="S418" t="s">
        <v>7324</v>
      </c>
      <c r="T418" t="s">
        <v>7340</v>
      </c>
      <c r="U418" t="s">
        <v>337</v>
      </c>
      <c r="V418">
        <v>2065</v>
      </c>
      <c r="W418" t="s">
        <v>7362</v>
      </c>
      <c r="X418" t="s">
        <v>7373</v>
      </c>
      <c r="Z418" t="s">
        <v>7745</v>
      </c>
      <c r="AA418" t="s">
        <v>9938</v>
      </c>
      <c r="AB418" t="s">
        <v>10562</v>
      </c>
      <c r="AC418">
        <v>6</v>
      </c>
      <c r="AD418" t="s">
        <v>12422</v>
      </c>
      <c r="AE418" t="s">
        <v>12434</v>
      </c>
      <c r="AF418">
        <v>2</v>
      </c>
      <c r="AG418">
        <v>3</v>
      </c>
      <c r="AH418">
        <v>2</v>
      </c>
      <c r="AI418">
        <v>20.97</v>
      </c>
      <c r="AL418" t="s">
        <v>12460</v>
      </c>
      <c r="AM418">
        <v>6168</v>
      </c>
      <c r="AS418">
        <v>3.25</v>
      </c>
      <c r="AT418" t="s">
        <v>259</v>
      </c>
      <c r="AU418" t="s">
        <v>218</v>
      </c>
    </row>
    <row r="419" spans="1:48">
      <c r="A419" s="1">
        <f>HYPERLINK("https://cms.ls-nyc.org/matter/dynamic-profile/view/1897120","19-1897120")</f>
        <v>0</v>
      </c>
      <c r="B419" t="s">
        <v>118</v>
      </c>
      <c r="C419" t="s">
        <v>317</v>
      </c>
      <c r="E419" t="s">
        <v>873</v>
      </c>
      <c r="F419" t="s">
        <v>2198</v>
      </c>
      <c r="G419" t="s">
        <v>3960</v>
      </c>
      <c r="H419" t="s">
        <v>5503</v>
      </c>
      <c r="I419" t="s">
        <v>6048</v>
      </c>
      <c r="J419">
        <v>10303</v>
      </c>
      <c r="K419" t="s">
        <v>6074</v>
      </c>
      <c r="L419" t="s">
        <v>6074</v>
      </c>
      <c r="M419" t="s">
        <v>6110</v>
      </c>
      <c r="N419" t="s">
        <v>7288</v>
      </c>
      <c r="Q419" t="s">
        <v>7322</v>
      </c>
      <c r="R419" t="s">
        <v>6076</v>
      </c>
      <c r="S419" t="s">
        <v>7326</v>
      </c>
      <c r="T419" t="s">
        <v>7336</v>
      </c>
      <c r="U419" t="s">
        <v>279</v>
      </c>
      <c r="V419">
        <v>2200</v>
      </c>
      <c r="W419" t="s">
        <v>7364</v>
      </c>
      <c r="X419" t="s">
        <v>7378</v>
      </c>
      <c r="Z419" t="s">
        <v>7746</v>
      </c>
      <c r="AA419" t="s">
        <v>9939</v>
      </c>
      <c r="AB419" t="s">
        <v>10563</v>
      </c>
      <c r="AC419">
        <v>2</v>
      </c>
      <c r="AD419" t="s">
        <v>12422</v>
      </c>
      <c r="AE419" t="s">
        <v>12434</v>
      </c>
      <c r="AF419">
        <v>1</v>
      </c>
      <c r="AG419">
        <v>1</v>
      </c>
      <c r="AH419">
        <v>3</v>
      </c>
      <c r="AI419">
        <v>20.97</v>
      </c>
      <c r="AL419" t="s">
        <v>12460</v>
      </c>
      <c r="AM419">
        <v>5400</v>
      </c>
      <c r="AS419">
        <v>1</v>
      </c>
      <c r="AT419" t="s">
        <v>254</v>
      </c>
      <c r="AU419" t="s">
        <v>13101</v>
      </c>
      <c r="AV419" t="s">
        <v>13145</v>
      </c>
    </row>
    <row r="420" spans="1:48">
      <c r="A420" s="1">
        <f>HYPERLINK("https://cms.ls-nyc.org/matter/dynamic-profile/view/1875043","18-1875043")</f>
        <v>0</v>
      </c>
      <c r="B420" t="s">
        <v>152</v>
      </c>
      <c r="C420" t="s">
        <v>262</v>
      </c>
      <c r="D420" t="s">
        <v>411</v>
      </c>
      <c r="E420" t="s">
        <v>874</v>
      </c>
      <c r="F420" t="s">
        <v>2334</v>
      </c>
      <c r="G420" t="s">
        <v>3961</v>
      </c>
      <c r="I420" t="s">
        <v>6025</v>
      </c>
      <c r="J420">
        <v>11691</v>
      </c>
      <c r="K420" t="s">
        <v>6074</v>
      </c>
      <c r="L420" t="s">
        <v>6074</v>
      </c>
      <c r="M420" t="s">
        <v>6308</v>
      </c>
      <c r="N420" t="s">
        <v>7276</v>
      </c>
      <c r="O420" t="s">
        <v>7306</v>
      </c>
      <c r="P420" t="s">
        <v>7314</v>
      </c>
      <c r="Q420" t="s">
        <v>7322</v>
      </c>
      <c r="R420" t="s">
        <v>6076</v>
      </c>
      <c r="S420" t="s">
        <v>7324</v>
      </c>
      <c r="T420" t="s">
        <v>7336</v>
      </c>
      <c r="U420" t="s">
        <v>262</v>
      </c>
      <c r="V420">
        <v>1515</v>
      </c>
      <c r="W420" t="s">
        <v>7361</v>
      </c>
      <c r="X420" t="s">
        <v>7366</v>
      </c>
      <c r="Y420" t="s">
        <v>7386</v>
      </c>
      <c r="Z420" t="s">
        <v>7747</v>
      </c>
      <c r="AA420" t="s">
        <v>9940</v>
      </c>
      <c r="AB420" t="s">
        <v>10564</v>
      </c>
      <c r="AC420">
        <v>2</v>
      </c>
      <c r="AD420" t="s">
        <v>12419</v>
      </c>
      <c r="AE420" t="s">
        <v>6110</v>
      </c>
      <c r="AF420">
        <v>7</v>
      </c>
      <c r="AG420">
        <v>1</v>
      </c>
      <c r="AH420">
        <v>2</v>
      </c>
      <c r="AI420">
        <v>21.08</v>
      </c>
      <c r="AL420" t="s">
        <v>12460</v>
      </c>
      <c r="AM420">
        <v>4380</v>
      </c>
      <c r="AS420">
        <v>1.4</v>
      </c>
      <c r="AT420" t="s">
        <v>355</v>
      </c>
      <c r="AU420" t="s">
        <v>48</v>
      </c>
    </row>
    <row r="421" spans="1:48">
      <c r="A421" s="1">
        <f>HYPERLINK("https://cms.ls-nyc.org/matter/dynamic-profile/view/1899975","19-1899975")</f>
        <v>0</v>
      </c>
      <c r="B421" t="s">
        <v>66</v>
      </c>
      <c r="C421" t="s">
        <v>265</v>
      </c>
      <c r="E421" t="s">
        <v>875</v>
      </c>
      <c r="F421" t="s">
        <v>2200</v>
      </c>
      <c r="G421" t="s">
        <v>3962</v>
      </c>
      <c r="H421" t="s">
        <v>5431</v>
      </c>
      <c r="I421" t="s">
        <v>6030</v>
      </c>
      <c r="J421">
        <v>11421</v>
      </c>
      <c r="K421" t="s">
        <v>6074</v>
      </c>
      <c r="L421" t="s">
        <v>6075</v>
      </c>
      <c r="M421" t="s">
        <v>6309</v>
      </c>
      <c r="N421" t="s">
        <v>7274</v>
      </c>
      <c r="O421" t="s">
        <v>7310</v>
      </c>
      <c r="Q421" t="s">
        <v>7322</v>
      </c>
      <c r="R421" t="s">
        <v>6076</v>
      </c>
      <c r="S421" t="s">
        <v>7324</v>
      </c>
      <c r="T421" t="s">
        <v>7336</v>
      </c>
      <c r="U421" t="s">
        <v>265</v>
      </c>
      <c r="V421">
        <v>1500</v>
      </c>
      <c r="W421" t="s">
        <v>7361</v>
      </c>
      <c r="X421" t="s">
        <v>7366</v>
      </c>
      <c r="Z421" t="s">
        <v>7748</v>
      </c>
      <c r="AA421" t="s">
        <v>9941</v>
      </c>
      <c r="AB421" t="s">
        <v>10565</v>
      </c>
      <c r="AC421">
        <v>2</v>
      </c>
      <c r="AD421" t="s">
        <v>12419</v>
      </c>
      <c r="AE421" t="s">
        <v>6110</v>
      </c>
      <c r="AF421">
        <v>-1</v>
      </c>
      <c r="AG421">
        <v>1</v>
      </c>
      <c r="AH421">
        <v>2</v>
      </c>
      <c r="AI421">
        <v>21.1</v>
      </c>
      <c r="AL421" t="s">
        <v>12460</v>
      </c>
      <c r="AM421">
        <v>4500</v>
      </c>
      <c r="AS421">
        <v>1.25</v>
      </c>
      <c r="AT421" t="s">
        <v>381</v>
      </c>
      <c r="AU421" t="s">
        <v>189</v>
      </c>
      <c r="AV421" t="s">
        <v>13145</v>
      </c>
    </row>
    <row r="422" spans="1:48">
      <c r="A422" s="1">
        <f>HYPERLINK("https://cms.ls-nyc.org/matter/dynamic-profile/view/1880262","18-1880262")</f>
        <v>0</v>
      </c>
      <c r="B422" t="s">
        <v>76</v>
      </c>
      <c r="C422" t="s">
        <v>391</v>
      </c>
      <c r="E422" t="s">
        <v>876</v>
      </c>
      <c r="F422" t="s">
        <v>1977</v>
      </c>
      <c r="G422" t="s">
        <v>3963</v>
      </c>
      <c r="H422" t="s">
        <v>5385</v>
      </c>
      <c r="I422" t="s">
        <v>6043</v>
      </c>
      <c r="J422">
        <v>11207</v>
      </c>
      <c r="K422" t="s">
        <v>6074</v>
      </c>
      <c r="L422" t="s">
        <v>6074</v>
      </c>
      <c r="M422" t="s">
        <v>6310</v>
      </c>
      <c r="N422" t="s">
        <v>7276</v>
      </c>
      <c r="O422" t="s">
        <v>7308</v>
      </c>
      <c r="Q422" t="s">
        <v>7322</v>
      </c>
      <c r="R422" t="s">
        <v>6076</v>
      </c>
      <c r="S422" t="s">
        <v>7324</v>
      </c>
      <c r="T422" t="s">
        <v>7336</v>
      </c>
      <c r="U422" t="s">
        <v>307</v>
      </c>
      <c r="V422">
        <v>1136.48</v>
      </c>
      <c r="W422" t="s">
        <v>7362</v>
      </c>
      <c r="X422" t="s">
        <v>7305</v>
      </c>
      <c r="Z422" t="s">
        <v>7749</v>
      </c>
      <c r="AA422" t="s">
        <v>9942</v>
      </c>
      <c r="AB422" t="s">
        <v>10566</v>
      </c>
      <c r="AC422">
        <v>542</v>
      </c>
      <c r="AD422" t="s">
        <v>12422</v>
      </c>
      <c r="AE422" t="s">
        <v>6110</v>
      </c>
      <c r="AF422">
        <v>34</v>
      </c>
      <c r="AG422">
        <v>2</v>
      </c>
      <c r="AH422">
        <v>0</v>
      </c>
      <c r="AI422">
        <v>21.14</v>
      </c>
      <c r="AL422" t="s">
        <v>12460</v>
      </c>
      <c r="AM422">
        <v>3480</v>
      </c>
      <c r="AS422">
        <v>7.5</v>
      </c>
      <c r="AT422" t="s">
        <v>346</v>
      </c>
      <c r="AU422" t="s">
        <v>218</v>
      </c>
    </row>
    <row r="423" spans="1:48">
      <c r="A423" s="1">
        <f>HYPERLINK("https://cms.ls-nyc.org/matter/dynamic-profile/view/1882800","18-1882800")</f>
        <v>0</v>
      </c>
      <c r="B423" t="s">
        <v>76</v>
      </c>
      <c r="C423" t="s">
        <v>246</v>
      </c>
      <c r="D423" t="s">
        <v>351</v>
      </c>
      <c r="E423" t="s">
        <v>876</v>
      </c>
      <c r="F423" t="s">
        <v>1977</v>
      </c>
      <c r="G423" t="s">
        <v>3963</v>
      </c>
      <c r="H423" t="s">
        <v>5385</v>
      </c>
      <c r="I423" t="s">
        <v>6043</v>
      </c>
      <c r="J423">
        <v>11207</v>
      </c>
      <c r="K423" t="s">
        <v>6074</v>
      </c>
      <c r="L423" t="s">
        <v>6074</v>
      </c>
      <c r="M423" t="s">
        <v>6311</v>
      </c>
      <c r="N423" t="s">
        <v>7291</v>
      </c>
      <c r="O423" t="s">
        <v>7311</v>
      </c>
      <c r="P423" t="s">
        <v>7317</v>
      </c>
      <c r="Q423" t="s">
        <v>7322</v>
      </c>
      <c r="S423" t="s">
        <v>7324</v>
      </c>
      <c r="T423" t="s">
        <v>7340</v>
      </c>
      <c r="U423" t="s">
        <v>296</v>
      </c>
      <c r="V423">
        <v>1136.48</v>
      </c>
      <c r="W423" t="s">
        <v>7362</v>
      </c>
      <c r="X423" t="s">
        <v>7305</v>
      </c>
      <c r="Y423" t="s">
        <v>7387</v>
      </c>
      <c r="Z423" t="s">
        <v>7749</v>
      </c>
      <c r="AA423" t="s">
        <v>9942</v>
      </c>
      <c r="AB423" t="s">
        <v>10566</v>
      </c>
      <c r="AC423">
        <v>542</v>
      </c>
      <c r="AD423" t="s">
        <v>12422</v>
      </c>
      <c r="AE423" t="s">
        <v>6110</v>
      </c>
      <c r="AF423">
        <v>34</v>
      </c>
      <c r="AG423">
        <v>2</v>
      </c>
      <c r="AH423">
        <v>0</v>
      </c>
      <c r="AI423">
        <v>21.14</v>
      </c>
      <c r="AL423" t="s">
        <v>12460</v>
      </c>
      <c r="AM423">
        <v>3480</v>
      </c>
      <c r="AN423" t="s">
        <v>12535</v>
      </c>
      <c r="AS423">
        <v>2.25</v>
      </c>
      <c r="AT423" t="s">
        <v>351</v>
      </c>
      <c r="AU423" t="s">
        <v>218</v>
      </c>
    </row>
    <row r="424" spans="1:48">
      <c r="A424" s="1">
        <f>HYPERLINK("https://cms.ls-nyc.org/matter/dynamic-profile/view/1881030","18-1881030")</f>
        <v>0</v>
      </c>
      <c r="B424" t="s">
        <v>98</v>
      </c>
      <c r="C424" t="s">
        <v>357</v>
      </c>
      <c r="D424" t="s">
        <v>465</v>
      </c>
      <c r="E424" t="s">
        <v>877</v>
      </c>
      <c r="F424" t="s">
        <v>2335</v>
      </c>
      <c r="G424" t="s">
        <v>3964</v>
      </c>
      <c r="H424" t="s">
        <v>5504</v>
      </c>
      <c r="I424" t="s">
        <v>6047</v>
      </c>
      <c r="J424">
        <v>10459</v>
      </c>
      <c r="K424" t="s">
        <v>6074</v>
      </c>
      <c r="L424" t="s">
        <v>6074</v>
      </c>
      <c r="M424" t="s">
        <v>6312</v>
      </c>
      <c r="N424" t="s">
        <v>7276</v>
      </c>
      <c r="O424" t="s">
        <v>7308</v>
      </c>
      <c r="P424" t="s">
        <v>7316</v>
      </c>
      <c r="Q424" t="s">
        <v>7322</v>
      </c>
      <c r="S424" t="s">
        <v>7324</v>
      </c>
      <c r="T424" t="s">
        <v>7338</v>
      </c>
      <c r="U424" t="s">
        <v>357</v>
      </c>
      <c r="V424">
        <v>1244</v>
      </c>
      <c r="W424" t="s">
        <v>7363</v>
      </c>
      <c r="X424" t="s">
        <v>7305</v>
      </c>
      <c r="Y424" t="s">
        <v>7388</v>
      </c>
      <c r="Z424" t="s">
        <v>7750</v>
      </c>
      <c r="AA424" t="s">
        <v>9943</v>
      </c>
      <c r="AB424" t="s">
        <v>10567</v>
      </c>
      <c r="AC424">
        <v>64</v>
      </c>
      <c r="AD424" t="s">
        <v>12422</v>
      </c>
      <c r="AE424" t="s">
        <v>12434</v>
      </c>
      <c r="AF424">
        <v>10</v>
      </c>
      <c r="AG424">
        <v>2</v>
      </c>
      <c r="AH424">
        <v>0</v>
      </c>
      <c r="AI424">
        <v>21.22</v>
      </c>
      <c r="AL424" t="s">
        <v>12460</v>
      </c>
      <c r="AM424">
        <v>3492</v>
      </c>
      <c r="AN424" t="s">
        <v>12536</v>
      </c>
      <c r="AP424" t="s">
        <v>12871</v>
      </c>
      <c r="AQ424" t="s">
        <v>12909</v>
      </c>
      <c r="AR424" t="s">
        <v>12947</v>
      </c>
      <c r="AS424">
        <v>6</v>
      </c>
      <c r="AT424" t="s">
        <v>468</v>
      </c>
      <c r="AU424" t="s">
        <v>13096</v>
      </c>
    </row>
    <row r="425" spans="1:48">
      <c r="A425" s="1">
        <f>HYPERLINK("https://cms.ls-nyc.org/matter/dynamic-profile/view/1877745","18-1877745")</f>
        <v>0</v>
      </c>
      <c r="B425" t="s">
        <v>125</v>
      </c>
      <c r="C425" t="s">
        <v>291</v>
      </c>
      <c r="E425" t="s">
        <v>878</v>
      </c>
      <c r="F425" t="s">
        <v>2336</v>
      </c>
      <c r="G425" t="s">
        <v>3965</v>
      </c>
      <c r="H425" t="s">
        <v>5476</v>
      </c>
      <c r="I425" t="s">
        <v>6049</v>
      </c>
      <c r="J425">
        <v>10032</v>
      </c>
      <c r="K425" t="s">
        <v>6074</v>
      </c>
      <c r="L425" t="s">
        <v>6074</v>
      </c>
      <c r="N425" t="s">
        <v>7276</v>
      </c>
      <c r="O425" t="s">
        <v>7308</v>
      </c>
      <c r="Q425" t="s">
        <v>7322</v>
      </c>
      <c r="R425" t="s">
        <v>6076</v>
      </c>
      <c r="S425" t="s">
        <v>7324</v>
      </c>
      <c r="U425" t="s">
        <v>291</v>
      </c>
      <c r="V425">
        <v>1258.6</v>
      </c>
      <c r="W425" t="s">
        <v>7365</v>
      </c>
      <c r="X425" t="s">
        <v>7366</v>
      </c>
      <c r="Z425" t="s">
        <v>7751</v>
      </c>
      <c r="AB425" t="s">
        <v>10568</v>
      </c>
      <c r="AC425">
        <v>0</v>
      </c>
      <c r="AD425" t="s">
        <v>12422</v>
      </c>
      <c r="AE425" t="s">
        <v>6110</v>
      </c>
      <c r="AF425">
        <v>39</v>
      </c>
      <c r="AG425">
        <v>1</v>
      </c>
      <c r="AH425">
        <v>0</v>
      </c>
      <c r="AI425">
        <v>21.25</v>
      </c>
      <c r="AL425" t="s">
        <v>12460</v>
      </c>
      <c r="AM425">
        <v>2580</v>
      </c>
      <c r="AS425">
        <v>53.3</v>
      </c>
      <c r="AT425" t="s">
        <v>260</v>
      </c>
      <c r="AU425" t="s">
        <v>13106</v>
      </c>
    </row>
    <row r="426" spans="1:48">
      <c r="A426" s="1">
        <f>HYPERLINK("https://cms.ls-nyc.org/matter/dynamic-profile/view/1896215","19-1896215")</f>
        <v>0</v>
      </c>
      <c r="B426" t="s">
        <v>96</v>
      </c>
      <c r="C426" t="s">
        <v>314</v>
      </c>
      <c r="E426" t="s">
        <v>586</v>
      </c>
      <c r="F426" t="s">
        <v>2337</v>
      </c>
      <c r="G426" t="s">
        <v>3792</v>
      </c>
      <c r="H426" t="s">
        <v>5357</v>
      </c>
      <c r="I426" t="s">
        <v>6047</v>
      </c>
      <c r="J426">
        <v>10453</v>
      </c>
      <c r="K426" t="s">
        <v>6074</v>
      </c>
      <c r="L426" t="s">
        <v>6074</v>
      </c>
      <c r="N426" t="s">
        <v>7279</v>
      </c>
      <c r="O426" t="s">
        <v>7311</v>
      </c>
      <c r="Q426" t="s">
        <v>7322</v>
      </c>
      <c r="R426" t="s">
        <v>6074</v>
      </c>
      <c r="S426" t="s">
        <v>7324</v>
      </c>
      <c r="U426" t="s">
        <v>457</v>
      </c>
      <c r="V426">
        <v>931</v>
      </c>
      <c r="W426" t="s">
        <v>7363</v>
      </c>
      <c r="X426" t="s">
        <v>7375</v>
      </c>
      <c r="Z426" t="s">
        <v>7752</v>
      </c>
      <c r="AB426" t="s">
        <v>10569</v>
      </c>
      <c r="AC426">
        <v>170</v>
      </c>
      <c r="AD426" t="s">
        <v>12422</v>
      </c>
      <c r="AE426" t="s">
        <v>6110</v>
      </c>
      <c r="AF426">
        <v>12</v>
      </c>
      <c r="AG426">
        <v>1</v>
      </c>
      <c r="AH426">
        <v>1</v>
      </c>
      <c r="AI426">
        <v>21.29</v>
      </c>
      <c r="AL426" t="s">
        <v>12460</v>
      </c>
      <c r="AM426">
        <v>3600</v>
      </c>
      <c r="AS426">
        <v>0</v>
      </c>
      <c r="AU426" t="s">
        <v>13093</v>
      </c>
    </row>
    <row r="427" spans="1:48">
      <c r="A427" s="1">
        <f>HYPERLINK("https://cms.ls-nyc.org/matter/dynamic-profile/view/1896214","19-1896214")</f>
        <v>0</v>
      </c>
      <c r="B427" t="s">
        <v>96</v>
      </c>
      <c r="C427" t="s">
        <v>314</v>
      </c>
      <c r="E427" t="s">
        <v>586</v>
      </c>
      <c r="F427" t="s">
        <v>2337</v>
      </c>
      <c r="G427" t="s">
        <v>3792</v>
      </c>
      <c r="H427" t="s">
        <v>5357</v>
      </c>
      <c r="I427" t="s">
        <v>6047</v>
      </c>
      <c r="J427">
        <v>10453</v>
      </c>
      <c r="K427" t="s">
        <v>6074</v>
      </c>
      <c r="L427" t="s">
        <v>6074</v>
      </c>
      <c r="N427" t="s">
        <v>7273</v>
      </c>
      <c r="O427" t="s">
        <v>7308</v>
      </c>
      <c r="Q427" t="s">
        <v>7322</v>
      </c>
      <c r="R427" t="s">
        <v>6074</v>
      </c>
      <c r="S427" t="s">
        <v>7324</v>
      </c>
      <c r="U427" t="s">
        <v>457</v>
      </c>
      <c r="V427">
        <v>931</v>
      </c>
      <c r="W427" t="s">
        <v>7363</v>
      </c>
      <c r="X427" t="s">
        <v>7375</v>
      </c>
      <c r="Z427" t="s">
        <v>7752</v>
      </c>
      <c r="AB427" t="s">
        <v>10569</v>
      </c>
      <c r="AC427">
        <v>170</v>
      </c>
      <c r="AD427" t="s">
        <v>12422</v>
      </c>
      <c r="AE427" t="s">
        <v>12435</v>
      </c>
      <c r="AF427">
        <v>12</v>
      </c>
      <c r="AG427">
        <v>1</v>
      </c>
      <c r="AH427">
        <v>1</v>
      </c>
      <c r="AI427">
        <v>21.29</v>
      </c>
      <c r="AL427" t="s">
        <v>12460</v>
      </c>
      <c r="AM427">
        <v>3600</v>
      </c>
      <c r="AS427">
        <v>0</v>
      </c>
      <c r="AU427" t="s">
        <v>13093</v>
      </c>
    </row>
    <row r="428" spans="1:48">
      <c r="A428" s="1">
        <f>HYPERLINK("https://cms.ls-nyc.org/matter/dynamic-profile/view/1899384","19-1899384")</f>
        <v>0</v>
      </c>
      <c r="B428" t="s">
        <v>152</v>
      </c>
      <c r="C428" t="s">
        <v>421</v>
      </c>
      <c r="E428" t="s">
        <v>879</v>
      </c>
      <c r="F428" t="s">
        <v>2338</v>
      </c>
      <c r="G428" t="s">
        <v>3966</v>
      </c>
      <c r="I428" t="s">
        <v>6050</v>
      </c>
      <c r="J428">
        <v>11413</v>
      </c>
      <c r="K428" t="s">
        <v>6074</v>
      </c>
      <c r="L428" t="s">
        <v>6075</v>
      </c>
      <c r="M428" t="s">
        <v>6313</v>
      </c>
      <c r="N428" t="s">
        <v>7276</v>
      </c>
      <c r="O428" t="s">
        <v>7308</v>
      </c>
      <c r="Q428" t="s">
        <v>7322</v>
      </c>
      <c r="R428" t="s">
        <v>6076</v>
      </c>
      <c r="S428" t="s">
        <v>7324</v>
      </c>
      <c r="U428" t="s">
        <v>421</v>
      </c>
      <c r="V428">
        <v>1250</v>
      </c>
      <c r="W428" t="s">
        <v>7361</v>
      </c>
      <c r="X428" t="s">
        <v>7366</v>
      </c>
      <c r="Z428" t="s">
        <v>7753</v>
      </c>
      <c r="AA428" t="s">
        <v>9944</v>
      </c>
      <c r="AB428" t="s">
        <v>10570</v>
      </c>
      <c r="AC428">
        <v>0</v>
      </c>
      <c r="AF428">
        <v>1</v>
      </c>
      <c r="AG428">
        <v>1</v>
      </c>
      <c r="AH428">
        <v>1</v>
      </c>
      <c r="AI428">
        <v>21.68</v>
      </c>
      <c r="AL428" t="s">
        <v>12460</v>
      </c>
      <c r="AM428">
        <v>3666</v>
      </c>
      <c r="AS428">
        <v>9.1</v>
      </c>
      <c r="AT428" t="s">
        <v>260</v>
      </c>
      <c r="AU428" t="s">
        <v>13078</v>
      </c>
      <c r="AV428" t="s">
        <v>13145</v>
      </c>
    </row>
    <row r="429" spans="1:48">
      <c r="A429" s="1">
        <f>HYPERLINK("https://cms.ls-nyc.org/matter/dynamic-profile/view/1891487","19-1891487")</f>
        <v>0</v>
      </c>
      <c r="B429" t="s">
        <v>118</v>
      </c>
      <c r="C429" t="s">
        <v>395</v>
      </c>
      <c r="E429" t="s">
        <v>880</v>
      </c>
      <c r="F429" t="s">
        <v>2285</v>
      </c>
      <c r="G429" t="s">
        <v>3967</v>
      </c>
      <c r="H429" t="s">
        <v>5505</v>
      </c>
      <c r="I429" t="s">
        <v>6048</v>
      </c>
      <c r="J429">
        <v>10306</v>
      </c>
      <c r="K429" t="s">
        <v>6074</v>
      </c>
      <c r="L429" t="s">
        <v>6074</v>
      </c>
      <c r="M429" t="s">
        <v>6314</v>
      </c>
      <c r="N429" t="s">
        <v>7276</v>
      </c>
      <c r="O429" t="s">
        <v>7308</v>
      </c>
      <c r="Q429" t="s">
        <v>7322</v>
      </c>
      <c r="R429" t="s">
        <v>6076</v>
      </c>
      <c r="S429" t="s">
        <v>7324</v>
      </c>
      <c r="T429" t="s">
        <v>7336</v>
      </c>
      <c r="U429" t="s">
        <v>395</v>
      </c>
      <c r="V429">
        <v>1499</v>
      </c>
      <c r="W429" t="s">
        <v>7364</v>
      </c>
      <c r="Z429" t="s">
        <v>7754</v>
      </c>
      <c r="AB429" t="s">
        <v>10571</v>
      </c>
      <c r="AC429">
        <v>0</v>
      </c>
      <c r="AD429" t="s">
        <v>12422</v>
      </c>
      <c r="AE429" t="s">
        <v>6110</v>
      </c>
      <c r="AF429">
        <v>2</v>
      </c>
      <c r="AG429">
        <v>1</v>
      </c>
      <c r="AH429">
        <v>1</v>
      </c>
      <c r="AI429">
        <v>21.68</v>
      </c>
      <c r="AL429" t="s">
        <v>12460</v>
      </c>
      <c r="AM429">
        <v>3666</v>
      </c>
      <c r="AS429">
        <v>10.3</v>
      </c>
      <c r="AT429" t="s">
        <v>423</v>
      </c>
      <c r="AU429" t="s">
        <v>13102</v>
      </c>
    </row>
    <row r="430" spans="1:48">
      <c r="A430" s="1">
        <f>HYPERLINK("https://cms.ls-nyc.org/matter/dynamic-profile/view/1874133","18-1874133")</f>
        <v>0</v>
      </c>
      <c r="B430" t="s">
        <v>153</v>
      </c>
      <c r="C430" t="s">
        <v>384</v>
      </c>
      <c r="D430" t="s">
        <v>255</v>
      </c>
      <c r="E430" t="s">
        <v>881</v>
      </c>
      <c r="F430" t="s">
        <v>2339</v>
      </c>
      <c r="G430" t="s">
        <v>3968</v>
      </c>
      <c r="I430" t="s">
        <v>6043</v>
      </c>
      <c r="J430">
        <v>11233</v>
      </c>
      <c r="K430" t="s">
        <v>6074</v>
      </c>
      <c r="L430" t="s">
        <v>6074</v>
      </c>
      <c r="M430" t="s">
        <v>6315</v>
      </c>
      <c r="N430" t="s">
        <v>7274</v>
      </c>
      <c r="O430" t="s">
        <v>7306</v>
      </c>
      <c r="P430" t="s">
        <v>7314</v>
      </c>
      <c r="Q430" t="s">
        <v>7322</v>
      </c>
      <c r="R430" t="s">
        <v>6076</v>
      </c>
      <c r="S430" t="s">
        <v>7324</v>
      </c>
      <c r="U430" t="s">
        <v>274</v>
      </c>
      <c r="V430">
        <v>0</v>
      </c>
      <c r="W430" t="s">
        <v>7362</v>
      </c>
      <c r="X430" t="s">
        <v>7379</v>
      </c>
      <c r="Y430" t="s">
        <v>7390</v>
      </c>
      <c r="Z430" t="s">
        <v>7755</v>
      </c>
      <c r="AB430" t="s">
        <v>10572</v>
      </c>
      <c r="AC430">
        <v>3</v>
      </c>
      <c r="AE430" t="s">
        <v>6110</v>
      </c>
      <c r="AF430">
        <v>5</v>
      </c>
      <c r="AG430">
        <v>1</v>
      </c>
      <c r="AH430">
        <v>0</v>
      </c>
      <c r="AI430">
        <v>21.75</v>
      </c>
      <c r="AL430" t="s">
        <v>12460</v>
      </c>
      <c r="AM430">
        <v>2640</v>
      </c>
      <c r="AP430" t="s">
        <v>7305</v>
      </c>
      <c r="AQ430" t="s">
        <v>12910</v>
      </c>
      <c r="AR430" t="s">
        <v>12948</v>
      </c>
      <c r="AS430">
        <v>1.9</v>
      </c>
      <c r="AT430" t="s">
        <v>409</v>
      </c>
      <c r="AU430" t="s">
        <v>13082</v>
      </c>
    </row>
    <row r="431" spans="1:48">
      <c r="A431" s="1">
        <f>HYPERLINK("https://cms.ls-nyc.org/matter/dynamic-profile/view/1886889","19-1886889")</f>
        <v>0</v>
      </c>
      <c r="B431" t="s">
        <v>76</v>
      </c>
      <c r="C431" t="s">
        <v>422</v>
      </c>
      <c r="E431" t="s">
        <v>676</v>
      </c>
      <c r="F431" t="s">
        <v>2340</v>
      </c>
      <c r="G431" t="s">
        <v>3969</v>
      </c>
      <c r="I431" t="s">
        <v>6043</v>
      </c>
      <c r="J431">
        <v>11212</v>
      </c>
      <c r="K431" t="s">
        <v>6074</v>
      </c>
      <c r="L431" t="s">
        <v>6074</v>
      </c>
      <c r="O431" t="s">
        <v>7310</v>
      </c>
      <c r="Q431" t="s">
        <v>7322</v>
      </c>
      <c r="R431" t="s">
        <v>6076</v>
      </c>
      <c r="S431" t="s">
        <v>7324</v>
      </c>
      <c r="T431" t="s">
        <v>7336</v>
      </c>
      <c r="U431" t="s">
        <v>422</v>
      </c>
      <c r="V431">
        <v>1696</v>
      </c>
      <c r="W431" t="s">
        <v>7362</v>
      </c>
      <c r="Z431" t="s">
        <v>7756</v>
      </c>
      <c r="AA431" t="s">
        <v>9945</v>
      </c>
      <c r="AB431" t="s">
        <v>10573</v>
      </c>
      <c r="AC431">
        <v>0</v>
      </c>
      <c r="AD431" t="s">
        <v>12420</v>
      </c>
      <c r="AE431" t="s">
        <v>12434</v>
      </c>
      <c r="AF431">
        <v>1</v>
      </c>
      <c r="AG431">
        <v>2</v>
      </c>
      <c r="AH431">
        <v>1</v>
      </c>
      <c r="AI431">
        <v>21.9</v>
      </c>
      <c r="AL431" t="s">
        <v>12460</v>
      </c>
      <c r="AM431">
        <v>4550</v>
      </c>
      <c r="AN431" t="s">
        <v>12511</v>
      </c>
      <c r="AS431">
        <v>2</v>
      </c>
      <c r="AT431" t="s">
        <v>272</v>
      </c>
      <c r="AU431" t="s">
        <v>218</v>
      </c>
    </row>
    <row r="432" spans="1:48">
      <c r="A432" s="1">
        <f>HYPERLINK("https://cms.ls-nyc.org/matter/dynamic-profile/view/1899402","19-1899402")</f>
        <v>0</v>
      </c>
      <c r="B432" t="s">
        <v>53</v>
      </c>
      <c r="C432" t="s">
        <v>421</v>
      </c>
      <c r="E432" t="s">
        <v>882</v>
      </c>
      <c r="F432" t="s">
        <v>2341</v>
      </c>
      <c r="G432" t="s">
        <v>3970</v>
      </c>
      <c r="I432" t="s">
        <v>6026</v>
      </c>
      <c r="J432">
        <v>11436</v>
      </c>
      <c r="K432" t="s">
        <v>6074</v>
      </c>
      <c r="L432" t="s">
        <v>6075</v>
      </c>
      <c r="M432" t="s">
        <v>6316</v>
      </c>
      <c r="N432" t="s">
        <v>7274</v>
      </c>
      <c r="O432" t="s">
        <v>7310</v>
      </c>
      <c r="Q432" t="s">
        <v>7322</v>
      </c>
      <c r="S432" t="s">
        <v>7324</v>
      </c>
      <c r="U432" t="s">
        <v>421</v>
      </c>
      <c r="V432">
        <v>900</v>
      </c>
      <c r="W432" t="s">
        <v>7361</v>
      </c>
      <c r="X432" t="s">
        <v>7366</v>
      </c>
      <c r="Z432" t="s">
        <v>7757</v>
      </c>
      <c r="AB432" t="s">
        <v>10574</v>
      </c>
      <c r="AC432">
        <v>0</v>
      </c>
      <c r="AF432">
        <v>1</v>
      </c>
      <c r="AG432">
        <v>1</v>
      </c>
      <c r="AH432">
        <v>0</v>
      </c>
      <c r="AI432">
        <v>22.1</v>
      </c>
      <c r="AL432" t="s">
        <v>12460</v>
      </c>
      <c r="AM432">
        <v>2760</v>
      </c>
      <c r="AS432">
        <v>1.2</v>
      </c>
      <c r="AT432" t="s">
        <v>317</v>
      </c>
      <c r="AU432" t="s">
        <v>13078</v>
      </c>
    </row>
    <row r="433" spans="1:48">
      <c r="A433" s="1">
        <f>HYPERLINK("https://cms.ls-nyc.org/matter/dynamic-profile/view/1891258","19-1891258")</f>
        <v>0</v>
      </c>
      <c r="B433" t="s">
        <v>122</v>
      </c>
      <c r="C433" t="s">
        <v>359</v>
      </c>
      <c r="D433" t="s">
        <v>457</v>
      </c>
      <c r="E433" t="s">
        <v>883</v>
      </c>
      <c r="F433" t="s">
        <v>2342</v>
      </c>
      <c r="G433" t="s">
        <v>3971</v>
      </c>
      <c r="H433" t="s">
        <v>5492</v>
      </c>
      <c r="I433" t="s">
        <v>6048</v>
      </c>
      <c r="J433">
        <v>10306</v>
      </c>
      <c r="K433" t="s">
        <v>6074</v>
      </c>
      <c r="L433" t="s">
        <v>6074</v>
      </c>
      <c r="M433" t="s">
        <v>6317</v>
      </c>
      <c r="N433" t="s">
        <v>7276</v>
      </c>
      <c r="O433" t="s">
        <v>7308</v>
      </c>
      <c r="P433" t="s">
        <v>7320</v>
      </c>
      <c r="Q433" t="s">
        <v>7322</v>
      </c>
      <c r="R433" t="s">
        <v>6076</v>
      </c>
      <c r="S433" t="s">
        <v>7324</v>
      </c>
      <c r="T433" t="s">
        <v>7338</v>
      </c>
      <c r="U433" t="s">
        <v>359</v>
      </c>
      <c r="V433">
        <v>1800</v>
      </c>
      <c r="W433" t="s">
        <v>7364</v>
      </c>
      <c r="X433" t="s">
        <v>7367</v>
      </c>
      <c r="Y433" t="s">
        <v>7388</v>
      </c>
      <c r="Z433" t="s">
        <v>7758</v>
      </c>
      <c r="AB433" t="s">
        <v>10575</v>
      </c>
      <c r="AC433">
        <v>3</v>
      </c>
      <c r="AD433" t="s">
        <v>12419</v>
      </c>
      <c r="AE433" t="s">
        <v>6110</v>
      </c>
      <c r="AF433">
        <v>1</v>
      </c>
      <c r="AG433">
        <v>1</v>
      </c>
      <c r="AH433">
        <v>1</v>
      </c>
      <c r="AI433">
        <v>22.29</v>
      </c>
      <c r="AL433" t="s">
        <v>12471</v>
      </c>
      <c r="AM433">
        <v>3770</v>
      </c>
      <c r="AO433" t="s">
        <v>12847</v>
      </c>
      <c r="AP433" t="s">
        <v>12858</v>
      </c>
      <c r="AQ433" t="s">
        <v>12909</v>
      </c>
      <c r="AR433" t="s">
        <v>12949</v>
      </c>
      <c r="AS433">
        <v>13.6</v>
      </c>
      <c r="AT433" t="s">
        <v>314</v>
      </c>
      <c r="AU433" t="s">
        <v>13102</v>
      </c>
    </row>
    <row r="434" spans="1:48">
      <c r="A434" s="1">
        <f>HYPERLINK("https://cms.ls-nyc.org/matter/dynamic-profile/view/1889653","19-1889653")</f>
        <v>0</v>
      </c>
      <c r="B434" t="s">
        <v>60</v>
      </c>
      <c r="C434" t="s">
        <v>365</v>
      </c>
      <c r="D434" t="s">
        <v>420</v>
      </c>
      <c r="E434" t="s">
        <v>884</v>
      </c>
      <c r="F434" t="s">
        <v>2343</v>
      </c>
      <c r="G434" t="s">
        <v>3972</v>
      </c>
      <c r="H434" t="s">
        <v>5506</v>
      </c>
      <c r="I434" t="s">
        <v>6040</v>
      </c>
      <c r="J434">
        <v>11355</v>
      </c>
      <c r="K434" t="s">
        <v>6074</v>
      </c>
      <c r="L434" t="s">
        <v>6074</v>
      </c>
      <c r="M434" t="s">
        <v>6101</v>
      </c>
      <c r="N434" t="s">
        <v>6104</v>
      </c>
      <c r="O434" t="s">
        <v>7307</v>
      </c>
      <c r="P434" t="s">
        <v>7315</v>
      </c>
      <c r="Q434" t="s">
        <v>7322</v>
      </c>
      <c r="R434" t="s">
        <v>6076</v>
      </c>
      <c r="S434" t="s">
        <v>7324</v>
      </c>
      <c r="T434" t="s">
        <v>7336</v>
      </c>
      <c r="U434" t="s">
        <v>365</v>
      </c>
      <c r="V434">
        <v>1675</v>
      </c>
      <c r="W434" t="s">
        <v>7361</v>
      </c>
      <c r="X434" t="s">
        <v>7371</v>
      </c>
      <c r="Y434" t="s">
        <v>7386</v>
      </c>
      <c r="Z434" t="s">
        <v>7759</v>
      </c>
      <c r="AA434" t="s">
        <v>9946</v>
      </c>
      <c r="AB434" t="s">
        <v>10576</v>
      </c>
      <c r="AC434">
        <v>150</v>
      </c>
      <c r="AD434" t="s">
        <v>12419</v>
      </c>
      <c r="AE434" t="s">
        <v>6110</v>
      </c>
      <c r="AF434">
        <v>12</v>
      </c>
      <c r="AG434">
        <v>1</v>
      </c>
      <c r="AH434">
        <v>0</v>
      </c>
      <c r="AI434">
        <v>22.38</v>
      </c>
      <c r="AL434" t="s">
        <v>12464</v>
      </c>
      <c r="AM434">
        <v>2795</v>
      </c>
      <c r="AS434">
        <v>2.68</v>
      </c>
      <c r="AT434" t="s">
        <v>448</v>
      </c>
      <c r="AU434" t="s">
        <v>60</v>
      </c>
    </row>
    <row r="435" spans="1:48">
      <c r="A435" s="1">
        <f>HYPERLINK("https://cms.ls-nyc.org/matter/dynamic-profile/view/1881397","18-1881397")</f>
        <v>0</v>
      </c>
      <c r="B435" t="s">
        <v>126</v>
      </c>
      <c r="C435" t="s">
        <v>414</v>
      </c>
      <c r="E435" t="s">
        <v>706</v>
      </c>
      <c r="F435" t="s">
        <v>2344</v>
      </c>
      <c r="G435" t="s">
        <v>3956</v>
      </c>
      <c r="H435" t="s">
        <v>5507</v>
      </c>
      <c r="I435" t="s">
        <v>6049</v>
      </c>
      <c r="J435">
        <v>10031</v>
      </c>
      <c r="K435" t="s">
        <v>6074</v>
      </c>
      <c r="L435" t="s">
        <v>6074</v>
      </c>
      <c r="M435" t="s">
        <v>6318</v>
      </c>
      <c r="N435" t="s">
        <v>7273</v>
      </c>
      <c r="O435" t="s">
        <v>7308</v>
      </c>
      <c r="Q435" t="s">
        <v>7322</v>
      </c>
      <c r="R435" t="s">
        <v>6074</v>
      </c>
      <c r="S435" t="s">
        <v>7324</v>
      </c>
      <c r="T435" t="s">
        <v>7336</v>
      </c>
      <c r="U435" t="s">
        <v>256</v>
      </c>
      <c r="V435">
        <v>457</v>
      </c>
      <c r="W435" t="s">
        <v>7365</v>
      </c>
      <c r="X435" t="s">
        <v>7375</v>
      </c>
      <c r="Z435" t="s">
        <v>7760</v>
      </c>
      <c r="AB435" t="s">
        <v>10577</v>
      </c>
      <c r="AC435">
        <v>44</v>
      </c>
      <c r="AD435" t="s">
        <v>12422</v>
      </c>
      <c r="AE435" t="s">
        <v>12434</v>
      </c>
      <c r="AF435">
        <v>14</v>
      </c>
      <c r="AG435">
        <v>2</v>
      </c>
      <c r="AH435">
        <v>0</v>
      </c>
      <c r="AI435">
        <v>22.38</v>
      </c>
      <c r="AL435" t="s">
        <v>12460</v>
      </c>
      <c r="AM435">
        <v>3684</v>
      </c>
      <c r="AS435">
        <v>0.25</v>
      </c>
      <c r="AT435" t="s">
        <v>345</v>
      </c>
      <c r="AU435" t="s">
        <v>13107</v>
      </c>
    </row>
    <row r="436" spans="1:48">
      <c r="A436" s="1">
        <f>HYPERLINK("https://cms.ls-nyc.org/matter/dynamic-profile/view/1890777","19-1890777")</f>
        <v>0</v>
      </c>
      <c r="B436" t="s">
        <v>70</v>
      </c>
      <c r="C436" t="s">
        <v>420</v>
      </c>
      <c r="E436" t="s">
        <v>885</v>
      </c>
      <c r="F436" t="s">
        <v>2345</v>
      </c>
      <c r="G436" t="s">
        <v>3973</v>
      </c>
      <c r="H436" t="s">
        <v>5508</v>
      </c>
      <c r="I436" t="s">
        <v>6043</v>
      </c>
      <c r="J436">
        <v>11226</v>
      </c>
      <c r="K436" t="s">
        <v>6074</v>
      </c>
      <c r="L436" t="s">
        <v>6075</v>
      </c>
      <c r="N436" t="s">
        <v>6104</v>
      </c>
      <c r="O436" t="s">
        <v>7309</v>
      </c>
      <c r="Q436" t="s">
        <v>7322</v>
      </c>
      <c r="R436" t="s">
        <v>6076</v>
      </c>
      <c r="S436" t="s">
        <v>7324</v>
      </c>
      <c r="U436" t="s">
        <v>317</v>
      </c>
      <c r="V436">
        <v>1158.36</v>
      </c>
      <c r="W436" t="s">
        <v>7362</v>
      </c>
      <c r="Z436" t="s">
        <v>7761</v>
      </c>
      <c r="AB436" t="s">
        <v>10578</v>
      </c>
      <c r="AC436">
        <v>80</v>
      </c>
      <c r="AD436" t="s">
        <v>12422</v>
      </c>
      <c r="AF436">
        <v>25</v>
      </c>
      <c r="AG436">
        <v>3</v>
      </c>
      <c r="AH436">
        <v>0</v>
      </c>
      <c r="AI436">
        <v>22.62</v>
      </c>
      <c r="AM436">
        <v>4824</v>
      </c>
      <c r="AS436">
        <v>17.5</v>
      </c>
      <c r="AT436" t="s">
        <v>317</v>
      </c>
      <c r="AU436" t="s">
        <v>201</v>
      </c>
      <c r="AV436" t="s">
        <v>13145</v>
      </c>
    </row>
    <row r="437" spans="1:48">
      <c r="A437" s="1">
        <f>HYPERLINK("https://cms.ls-nyc.org/matter/dynamic-profile/view/1882756","18-1882756")</f>
        <v>0</v>
      </c>
      <c r="B437" t="s">
        <v>98</v>
      </c>
      <c r="C437" t="s">
        <v>296</v>
      </c>
      <c r="E437" t="s">
        <v>886</v>
      </c>
      <c r="F437" t="s">
        <v>2346</v>
      </c>
      <c r="G437" t="s">
        <v>3786</v>
      </c>
      <c r="H437" t="s">
        <v>5504</v>
      </c>
      <c r="I437" t="s">
        <v>6047</v>
      </c>
      <c r="J437">
        <v>10457</v>
      </c>
      <c r="K437" t="s">
        <v>6074</v>
      </c>
      <c r="L437" t="s">
        <v>6074</v>
      </c>
      <c r="M437" t="s">
        <v>6187</v>
      </c>
      <c r="N437" t="s">
        <v>7279</v>
      </c>
      <c r="O437" t="s">
        <v>7311</v>
      </c>
      <c r="Q437" t="s">
        <v>7322</v>
      </c>
      <c r="R437" t="s">
        <v>6074</v>
      </c>
      <c r="S437" t="s">
        <v>7324</v>
      </c>
      <c r="U437" t="s">
        <v>472</v>
      </c>
      <c r="V437">
        <v>1158</v>
      </c>
      <c r="W437" t="s">
        <v>7363</v>
      </c>
      <c r="X437" t="s">
        <v>7376</v>
      </c>
      <c r="Z437" t="s">
        <v>7711</v>
      </c>
      <c r="AB437" t="s">
        <v>10579</v>
      </c>
      <c r="AC437">
        <v>47</v>
      </c>
      <c r="AD437" t="s">
        <v>12422</v>
      </c>
      <c r="AE437" t="s">
        <v>6110</v>
      </c>
      <c r="AF437">
        <v>9</v>
      </c>
      <c r="AG437">
        <v>1</v>
      </c>
      <c r="AH437">
        <v>0</v>
      </c>
      <c r="AI437">
        <v>22.92</v>
      </c>
      <c r="AL437" t="s">
        <v>12460</v>
      </c>
      <c r="AM437">
        <v>2782</v>
      </c>
      <c r="AS437">
        <v>0.5</v>
      </c>
      <c r="AT437" t="s">
        <v>252</v>
      </c>
      <c r="AU437" t="s">
        <v>13092</v>
      </c>
    </row>
    <row r="438" spans="1:48">
      <c r="A438" s="1">
        <f>HYPERLINK("https://cms.ls-nyc.org/matter/dynamic-profile/view/1882755","18-1882755")</f>
        <v>0</v>
      </c>
      <c r="B438" t="s">
        <v>98</v>
      </c>
      <c r="C438" t="s">
        <v>296</v>
      </c>
      <c r="D438" t="s">
        <v>412</v>
      </c>
      <c r="E438" t="s">
        <v>886</v>
      </c>
      <c r="F438" t="s">
        <v>2346</v>
      </c>
      <c r="G438" t="s">
        <v>3786</v>
      </c>
      <c r="H438" t="s">
        <v>5504</v>
      </c>
      <c r="I438" t="s">
        <v>6047</v>
      </c>
      <c r="J438">
        <v>10457</v>
      </c>
      <c r="K438" t="s">
        <v>6074</v>
      </c>
      <c r="L438" t="s">
        <v>6074</v>
      </c>
      <c r="N438" t="s">
        <v>7273</v>
      </c>
      <c r="O438" t="s">
        <v>7306</v>
      </c>
      <c r="P438" t="s">
        <v>7314</v>
      </c>
      <c r="Q438" t="s">
        <v>7322</v>
      </c>
      <c r="R438" t="s">
        <v>6074</v>
      </c>
      <c r="S438" t="s">
        <v>7324</v>
      </c>
      <c r="U438" t="s">
        <v>472</v>
      </c>
      <c r="V438">
        <v>1158</v>
      </c>
      <c r="W438" t="s">
        <v>7363</v>
      </c>
      <c r="X438" t="s">
        <v>7376</v>
      </c>
      <c r="Y438" t="s">
        <v>7386</v>
      </c>
      <c r="Z438" t="s">
        <v>7711</v>
      </c>
      <c r="AB438" t="s">
        <v>10579</v>
      </c>
      <c r="AC438">
        <v>47</v>
      </c>
      <c r="AD438" t="s">
        <v>12422</v>
      </c>
      <c r="AE438" t="s">
        <v>6110</v>
      </c>
      <c r="AF438">
        <v>9</v>
      </c>
      <c r="AG438">
        <v>1</v>
      </c>
      <c r="AH438">
        <v>0</v>
      </c>
      <c r="AI438">
        <v>22.92</v>
      </c>
      <c r="AL438" t="s">
        <v>12460</v>
      </c>
      <c r="AM438">
        <v>2782</v>
      </c>
      <c r="AS438">
        <v>0.5</v>
      </c>
      <c r="AT438" t="s">
        <v>408</v>
      </c>
      <c r="AU438" t="s">
        <v>13092</v>
      </c>
    </row>
    <row r="439" spans="1:48">
      <c r="A439" s="1">
        <f>HYPERLINK("https://cms.ls-nyc.org/matter/dynamic-profile/view/1877025","18-1877025")</f>
        <v>0</v>
      </c>
      <c r="B439" t="s">
        <v>154</v>
      </c>
      <c r="C439" t="s">
        <v>273</v>
      </c>
      <c r="D439" t="s">
        <v>355</v>
      </c>
      <c r="E439" t="s">
        <v>887</v>
      </c>
      <c r="F439" t="s">
        <v>2347</v>
      </c>
      <c r="G439" t="s">
        <v>3974</v>
      </c>
      <c r="I439" t="s">
        <v>6048</v>
      </c>
      <c r="J439">
        <v>10308</v>
      </c>
      <c r="K439" t="s">
        <v>6076</v>
      </c>
      <c r="L439" t="s">
        <v>6076</v>
      </c>
      <c r="N439" t="s">
        <v>7274</v>
      </c>
      <c r="O439" t="s">
        <v>7306</v>
      </c>
      <c r="P439" t="s">
        <v>7314</v>
      </c>
      <c r="Q439" t="s">
        <v>7322</v>
      </c>
      <c r="R439" t="s">
        <v>6076</v>
      </c>
      <c r="S439" t="s">
        <v>7324</v>
      </c>
      <c r="U439" t="s">
        <v>273</v>
      </c>
      <c r="V439">
        <v>1850</v>
      </c>
      <c r="W439" t="s">
        <v>7364</v>
      </c>
      <c r="X439" t="s">
        <v>7367</v>
      </c>
      <c r="Y439" t="s">
        <v>7386</v>
      </c>
      <c r="Z439" t="s">
        <v>7762</v>
      </c>
      <c r="AC439">
        <v>2</v>
      </c>
      <c r="AD439" t="s">
        <v>12419</v>
      </c>
      <c r="AE439" t="s">
        <v>6110</v>
      </c>
      <c r="AF439">
        <v>2</v>
      </c>
      <c r="AG439">
        <v>2</v>
      </c>
      <c r="AH439">
        <v>1</v>
      </c>
      <c r="AI439">
        <v>23.1</v>
      </c>
      <c r="AL439" t="s">
        <v>12460</v>
      </c>
      <c r="AM439">
        <v>4800</v>
      </c>
      <c r="AR439" t="s">
        <v>12950</v>
      </c>
      <c r="AS439">
        <v>0.8</v>
      </c>
      <c r="AT439" t="s">
        <v>355</v>
      </c>
      <c r="AU439" t="s">
        <v>210</v>
      </c>
    </row>
    <row r="440" spans="1:48">
      <c r="A440" s="1">
        <f>HYPERLINK("https://cms.ls-nyc.org/matter/dynamic-profile/view/1900864","19-1900864")</f>
        <v>0</v>
      </c>
      <c r="B440" t="s">
        <v>71</v>
      </c>
      <c r="C440" t="s">
        <v>423</v>
      </c>
      <c r="E440" t="s">
        <v>849</v>
      </c>
      <c r="F440" t="s">
        <v>2313</v>
      </c>
      <c r="G440" t="s">
        <v>3975</v>
      </c>
      <c r="H440" t="s">
        <v>5470</v>
      </c>
      <c r="I440" t="s">
        <v>6043</v>
      </c>
      <c r="J440">
        <v>11233</v>
      </c>
      <c r="K440" t="s">
        <v>6076</v>
      </c>
      <c r="L440" t="s">
        <v>6075</v>
      </c>
      <c r="M440" t="s">
        <v>6319</v>
      </c>
      <c r="N440" t="s">
        <v>7276</v>
      </c>
      <c r="O440" t="s">
        <v>7310</v>
      </c>
      <c r="Q440" t="s">
        <v>7322</v>
      </c>
      <c r="R440" t="s">
        <v>6076</v>
      </c>
      <c r="S440" t="s">
        <v>7324</v>
      </c>
      <c r="U440" t="s">
        <v>260</v>
      </c>
      <c r="V440">
        <v>904</v>
      </c>
      <c r="W440" t="s">
        <v>7362</v>
      </c>
      <c r="X440" t="s">
        <v>7305</v>
      </c>
      <c r="Z440" t="s">
        <v>7763</v>
      </c>
      <c r="AA440" t="s">
        <v>9947</v>
      </c>
      <c r="AB440" t="s">
        <v>10580</v>
      </c>
      <c r="AC440">
        <v>0</v>
      </c>
      <c r="AD440" t="s">
        <v>12422</v>
      </c>
      <c r="AE440" t="s">
        <v>12438</v>
      </c>
      <c r="AF440">
        <v>10</v>
      </c>
      <c r="AG440">
        <v>1</v>
      </c>
      <c r="AH440">
        <v>2</v>
      </c>
      <c r="AI440">
        <v>23.16</v>
      </c>
      <c r="AL440" t="s">
        <v>12460</v>
      </c>
      <c r="AM440">
        <v>4940</v>
      </c>
      <c r="AS440">
        <v>0</v>
      </c>
      <c r="AU440" t="s">
        <v>180</v>
      </c>
      <c r="AV440" t="s">
        <v>13145</v>
      </c>
    </row>
    <row r="441" spans="1:48">
      <c r="A441" s="1">
        <f>HYPERLINK("https://cms.ls-nyc.org/matter/dynamic-profile/view/1875314","18-1875314")</f>
        <v>0</v>
      </c>
      <c r="B441" t="s">
        <v>68</v>
      </c>
      <c r="C441" t="s">
        <v>399</v>
      </c>
      <c r="E441" t="s">
        <v>888</v>
      </c>
      <c r="F441" t="s">
        <v>2348</v>
      </c>
      <c r="G441" t="s">
        <v>3976</v>
      </c>
      <c r="H441">
        <v>2</v>
      </c>
      <c r="I441" t="s">
        <v>6043</v>
      </c>
      <c r="J441">
        <v>11208</v>
      </c>
      <c r="K441" t="s">
        <v>6074</v>
      </c>
      <c r="L441" t="s">
        <v>6074</v>
      </c>
      <c r="N441" t="s">
        <v>7276</v>
      </c>
      <c r="O441" t="s">
        <v>7308</v>
      </c>
      <c r="Q441" t="s">
        <v>7323</v>
      </c>
      <c r="R441" t="s">
        <v>6076</v>
      </c>
      <c r="S441" t="s">
        <v>7324</v>
      </c>
      <c r="U441" t="s">
        <v>399</v>
      </c>
      <c r="V441">
        <v>1956</v>
      </c>
      <c r="W441" t="s">
        <v>7362</v>
      </c>
      <c r="X441" t="s">
        <v>7369</v>
      </c>
      <c r="Z441" t="s">
        <v>7764</v>
      </c>
      <c r="AA441" t="s">
        <v>9948</v>
      </c>
      <c r="AB441" t="s">
        <v>10581</v>
      </c>
      <c r="AC441">
        <v>2</v>
      </c>
      <c r="AD441" t="s">
        <v>12419</v>
      </c>
      <c r="AE441" t="s">
        <v>12435</v>
      </c>
      <c r="AF441">
        <v>-2</v>
      </c>
      <c r="AG441">
        <v>1</v>
      </c>
      <c r="AH441">
        <v>3</v>
      </c>
      <c r="AI441">
        <v>23.31</v>
      </c>
      <c r="AJ441" t="s">
        <v>12443</v>
      </c>
      <c r="AK441" t="s">
        <v>12455</v>
      </c>
      <c r="AL441" t="s">
        <v>12461</v>
      </c>
      <c r="AM441">
        <v>5850</v>
      </c>
      <c r="AS441">
        <v>14.55</v>
      </c>
      <c r="AT441" t="s">
        <v>413</v>
      </c>
      <c r="AU441" t="s">
        <v>13087</v>
      </c>
    </row>
    <row r="442" spans="1:48">
      <c r="A442" s="1">
        <f>HYPERLINK("https://cms.ls-nyc.org/matter/dynamic-profile/view/1897598","19-1897598")</f>
        <v>0</v>
      </c>
      <c r="B442" t="s">
        <v>86</v>
      </c>
      <c r="C442" t="s">
        <v>424</v>
      </c>
      <c r="E442" t="s">
        <v>889</v>
      </c>
      <c r="F442" t="s">
        <v>2349</v>
      </c>
      <c r="G442" t="s">
        <v>3977</v>
      </c>
      <c r="H442" t="s">
        <v>5509</v>
      </c>
      <c r="I442" t="s">
        <v>6043</v>
      </c>
      <c r="J442">
        <v>11212</v>
      </c>
      <c r="K442" t="s">
        <v>6074</v>
      </c>
      <c r="L442" t="s">
        <v>6074</v>
      </c>
      <c r="N442" t="s">
        <v>7291</v>
      </c>
      <c r="O442" t="s">
        <v>7311</v>
      </c>
      <c r="Q442" t="s">
        <v>7322</v>
      </c>
      <c r="R442" t="s">
        <v>6076</v>
      </c>
      <c r="S442" t="s">
        <v>7327</v>
      </c>
      <c r="T442" t="s">
        <v>7337</v>
      </c>
      <c r="U442" t="s">
        <v>387</v>
      </c>
      <c r="V442">
        <v>911</v>
      </c>
      <c r="W442" t="s">
        <v>7362</v>
      </c>
      <c r="X442" t="s">
        <v>7366</v>
      </c>
      <c r="Z442" t="s">
        <v>7765</v>
      </c>
      <c r="AA442" t="s">
        <v>9949</v>
      </c>
      <c r="AB442" t="s">
        <v>10582</v>
      </c>
      <c r="AC442">
        <v>0</v>
      </c>
      <c r="AD442" t="s">
        <v>12422</v>
      </c>
      <c r="AE442" t="s">
        <v>12435</v>
      </c>
      <c r="AF442">
        <v>9</v>
      </c>
      <c r="AG442">
        <v>1</v>
      </c>
      <c r="AH442">
        <v>2</v>
      </c>
      <c r="AI442">
        <v>23.65</v>
      </c>
      <c r="AL442" t="s">
        <v>12460</v>
      </c>
      <c r="AM442">
        <v>5044</v>
      </c>
      <c r="AS442">
        <v>1.75</v>
      </c>
      <c r="AT442" t="s">
        <v>424</v>
      </c>
      <c r="AU442" t="s">
        <v>180</v>
      </c>
    </row>
    <row r="443" spans="1:48">
      <c r="A443" s="1">
        <f>HYPERLINK("https://cms.ls-nyc.org/matter/dynamic-profile/view/1894669","19-1894669")</f>
        <v>0</v>
      </c>
      <c r="B443" t="s">
        <v>90</v>
      </c>
      <c r="C443" t="s">
        <v>235</v>
      </c>
      <c r="E443" t="s">
        <v>890</v>
      </c>
      <c r="F443" t="s">
        <v>2265</v>
      </c>
      <c r="G443" t="s">
        <v>3978</v>
      </c>
      <c r="H443">
        <v>3</v>
      </c>
      <c r="I443" t="s">
        <v>6043</v>
      </c>
      <c r="J443">
        <v>11208</v>
      </c>
      <c r="K443" t="s">
        <v>6074</v>
      </c>
      <c r="L443" t="s">
        <v>6074</v>
      </c>
      <c r="M443" t="s">
        <v>6320</v>
      </c>
      <c r="N443" t="s">
        <v>7274</v>
      </c>
      <c r="O443" t="s">
        <v>7307</v>
      </c>
      <c r="Q443" t="s">
        <v>7322</v>
      </c>
      <c r="R443" t="s">
        <v>6076</v>
      </c>
      <c r="S443" t="s">
        <v>7324</v>
      </c>
      <c r="T443" t="s">
        <v>7336</v>
      </c>
      <c r="U443" t="s">
        <v>337</v>
      </c>
      <c r="V443">
        <v>1515</v>
      </c>
      <c r="W443" t="s">
        <v>7362</v>
      </c>
      <c r="X443" t="s">
        <v>7373</v>
      </c>
      <c r="Z443" t="s">
        <v>7766</v>
      </c>
      <c r="AA443" t="s">
        <v>9950</v>
      </c>
      <c r="AB443" t="s">
        <v>10583</v>
      </c>
      <c r="AC443">
        <v>3</v>
      </c>
      <c r="AD443" t="s">
        <v>12419</v>
      </c>
      <c r="AE443" t="s">
        <v>12438</v>
      </c>
      <c r="AF443">
        <v>1</v>
      </c>
      <c r="AG443">
        <v>2</v>
      </c>
      <c r="AH443">
        <v>1</v>
      </c>
      <c r="AI443">
        <v>23.65</v>
      </c>
      <c r="AL443" t="s">
        <v>12460</v>
      </c>
      <c r="AM443">
        <v>5044</v>
      </c>
      <c r="AS443">
        <v>3.2</v>
      </c>
      <c r="AT443" t="s">
        <v>418</v>
      </c>
      <c r="AU443" t="s">
        <v>218</v>
      </c>
    </row>
    <row r="444" spans="1:48">
      <c r="A444" s="1">
        <f>HYPERLINK("https://cms.ls-nyc.org/matter/dynamic-profile/view/1872303","18-1872303")</f>
        <v>0</v>
      </c>
      <c r="B444" t="s">
        <v>53</v>
      </c>
      <c r="C444" t="s">
        <v>394</v>
      </c>
      <c r="E444" t="s">
        <v>891</v>
      </c>
      <c r="F444" t="s">
        <v>2350</v>
      </c>
      <c r="G444" t="s">
        <v>3661</v>
      </c>
      <c r="H444" t="s">
        <v>5418</v>
      </c>
      <c r="I444" t="s">
        <v>6025</v>
      </c>
      <c r="J444">
        <v>11691</v>
      </c>
      <c r="K444" t="s">
        <v>6074</v>
      </c>
      <c r="L444" t="s">
        <v>6074</v>
      </c>
      <c r="M444" t="s">
        <v>6321</v>
      </c>
      <c r="N444" t="s">
        <v>7274</v>
      </c>
      <c r="O444" t="s">
        <v>7308</v>
      </c>
      <c r="Q444" t="s">
        <v>7322</v>
      </c>
      <c r="R444" t="s">
        <v>6076</v>
      </c>
      <c r="S444" t="s">
        <v>7324</v>
      </c>
      <c r="T444" t="s">
        <v>7336</v>
      </c>
      <c r="U444" t="s">
        <v>394</v>
      </c>
      <c r="V444">
        <v>380</v>
      </c>
      <c r="W444" t="s">
        <v>7361</v>
      </c>
      <c r="X444" t="s">
        <v>7368</v>
      </c>
      <c r="Z444" t="s">
        <v>7767</v>
      </c>
      <c r="AA444" t="s">
        <v>9951</v>
      </c>
      <c r="AB444" t="s">
        <v>10584</v>
      </c>
      <c r="AC444">
        <v>231</v>
      </c>
      <c r="AD444" t="s">
        <v>12423</v>
      </c>
      <c r="AE444" t="s">
        <v>6110</v>
      </c>
      <c r="AF444">
        <v>19</v>
      </c>
      <c r="AG444">
        <v>3</v>
      </c>
      <c r="AH444">
        <v>0</v>
      </c>
      <c r="AI444">
        <v>23.77</v>
      </c>
      <c r="AL444" t="s">
        <v>12460</v>
      </c>
      <c r="AM444">
        <v>4940</v>
      </c>
      <c r="AS444">
        <v>17.68</v>
      </c>
      <c r="AT444" t="s">
        <v>363</v>
      </c>
      <c r="AU444" t="s">
        <v>189</v>
      </c>
    </row>
    <row r="445" spans="1:48">
      <c r="A445" s="1">
        <f>HYPERLINK("https://cms.ls-nyc.org/matter/dynamic-profile/view/1881968","18-1881968")</f>
        <v>0</v>
      </c>
      <c r="B445" t="s">
        <v>125</v>
      </c>
      <c r="C445" t="s">
        <v>258</v>
      </c>
      <c r="D445" t="s">
        <v>260</v>
      </c>
      <c r="E445" t="s">
        <v>892</v>
      </c>
      <c r="F445" t="s">
        <v>2351</v>
      </c>
      <c r="G445" t="s">
        <v>3979</v>
      </c>
      <c r="H445" t="s">
        <v>5435</v>
      </c>
      <c r="I445" t="s">
        <v>6049</v>
      </c>
      <c r="J445">
        <v>10033</v>
      </c>
      <c r="K445" t="s">
        <v>6074</v>
      </c>
      <c r="L445" t="s">
        <v>6074</v>
      </c>
      <c r="O445" t="s">
        <v>7306</v>
      </c>
      <c r="P445" t="s">
        <v>7314</v>
      </c>
      <c r="Q445" t="s">
        <v>7323</v>
      </c>
      <c r="R445" t="s">
        <v>6076</v>
      </c>
      <c r="S445" t="s">
        <v>7324</v>
      </c>
      <c r="U445" t="s">
        <v>258</v>
      </c>
      <c r="V445">
        <v>0</v>
      </c>
      <c r="W445" t="s">
        <v>7365</v>
      </c>
      <c r="X445" t="s">
        <v>7369</v>
      </c>
      <c r="Y445" t="s">
        <v>7386</v>
      </c>
      <c r="Z445" t="s">
        <v>7768</v>
      </c>
      <c r="AB445" t="s">
        <v>10585</v>
      </c>
      <c r="AC445">
        <v>0</v>
      </c>
      <c r="AD445" t="s">
        <v>12422</v>
      </c>
      <c r="AE445" t="s">
        <v>6110</v>
      </c>
      <c r="AF445">
        <v>1</v>
      </c>
      <c r="AG445">
        <v>1</v>
      </c>
      <c r="AH445">
        <v>0</v>
      </c>
      <c r="AI445">
        <v>23.77</v>
      </c>
      <c r="AJ445" t="s">
        <v>12443</v>
      </c>
      <c r="AK445" t="s">
        <v>12455</v>
      </c>
      <c r="AL445" t="s">
        <v>12460</v>
      </c>
      <c r="AM445">
        <v>2886</v>
      </c>
      <c r="AS445">
        <v>4.8</v>
      </c>
      <c r="AT445" t="s">
        <v>310</v>
      </c>
      <c r="AU445" t="s">
        <v>13106</v>
      </c>
      <c r="AV445" t="s">
        <v>13145</v>
      </c>
    </row>
    <row r="446" spans="1:48">
      <c r="A446" s="1">
        <f>HYPERLINK("https://cms.ls-nyc.org/matter/dynamic-profile/view/1893788","19-1893788")</f>
        <v>0</v>
      </c>
      <c r="B446" t="s">
        <v>105</v>
      </c>
      <c r="C446" t="s">
        <v>275</v>
      </c>
      <c r="D446" t="s">
        <v>247</v>
      </c>
      <c r="E446" t="s">
        <v>893</v>
      </c>
      <c r="F446" t="s">
        <v>2352</v>
      </c>
      <c r="G446" t="s">
        <v>3980</v>
      </c>
      <c r="H446" t="s">
        <v>5348</v>
      </c>
      <c r="I446" t="s">
        <v>6047</v>
      </c>
      <c r="J446">
        <v>10456</v>
      </c>
      <c r="K446" t="s">
        <v>6074</v>
      </c>
      <c r="L446" t="s">
        <v>6074</v>
      </c>
      <c r="N446" t="s">
        <v>6104</v>
      </c>
      <c r="O446" t="s">
        <v>7306</v>
      </c>
      <c r="P446" t="s">
        <v>7314</v>
      </c>
      <c r="Q446" t="s">
        <v>7322</v>
      </c>
      <c r="R446" t="s">
        <v>6076</v>
      </c>
      <c r="S446" t="s">
        <v>7324</v>
      </c>
      <c r="U446" t="s">
        <v>247</v>
      </c>
      <c r="V446">
        <v>1027.6</v>
      </c>
      <c r="W446" t="s">
        <v>7363</v>
      </c>
      <c r="X446" t="s">
        <v>7376</v>
      </c>
      <c r="Y446" t="s">
        <v>7386</v>
      </c>
      <c r="Z446" t="s">
        <v>7769</v>
      </c>
      <c r="AB446" t="s">
        <v>10586</v>
      </c>
      <c r="AC446">
        <v>0</v>
      </c>
      <c r="AD446" t="s">
        <v>12422</v>
      </c>
      <c r="AE446" t="s">
        <v>6110</v>
      </c>
      <c r="AF446">
        <v>10</v>
      </c>
      <c r="AG446">
        <v>4</v>
      </c>
      <c r="AH446">
        <v>1</v>
      </c>
      <c r="AI446">
        <v>23.86</v>
      </c>
      <c r="AL446" t="s">
        <v>12461</v>
      </c>
      <c r="AM446">
        <v>7200</v>
      </c>
      <c r="AS446">
        <v>0.8</v>
      </c>
      <c r="AT446" t="s">
        <v>275</v>
      </c>
      <c r="AU446" t="s">
        <v>105</v>
      </c>
    </row>
    <row r="447" spans="1:48">
      <c r="A447" s="1">
        <f>HYPERLINK("https://cms.ls-nyc.org/matter/dynamic-profile/view/1878440","18-1878440")</f>
        <v>0</v>
      </c>
      <c r="B447" t="s">
        <v>73</v>
      </c>
      <c r="C447" t="s">
        <v>425</v>
      </c>
      <c r="D447" t="s">
        <v>297</v>
      </c>
      <c r="E447" t="s">
        <v>894</v>
      </c>
      <c r="F447" t="s">
        <v>2353</v>
      </c>
      <c r="G447" t="s">
        <v>3981</v>
      </c>
      <c r="H447" t="s">
        <v>5358</v>
      </c>
      <c r="I447" t="s">
        <v>6043</v>
      </c>
      <c r="J447">
        <v>11208</v>
      </c>
      <c r="K447" t="s">
        <v>6074</v>
      </c>
      <c r="L447" t="s">
        <v>6074</v>
      </c>
      <c r="M447" t="s">
        <v>6322</v>
      </c>
      <c r="N447" t="s">
        <v>7274</v>
      </c>
      <c r="O447" t="s">
        <v>7308</v>
      </c>
      <c r="P447" t="s">
        <v>7317</v>
      </c>
      <c r="Q447" t="s">
        <v>7322</v>
      </c>
      <c r="R447" t="s">
        <v>6076</v>
      </c>
      <c r="S447" t="s">
        <v>7324</v>
      </c>
      <c r="U447" t="s">
        <v>425</v>
      </c>
      <c r="V447">
        <v>1557</v>
      </c>
      <c r="W447" t="s">
        <v>7362</v>
      </c>
      <c r="X447" t="s">
        <v>7367</v>
      </c>
      <c r="Y447" t="s">
        <v>7388</v>
      </c>
      <c r="Z447" t="s">
        <v>7770</v>
      </c>
      <c r="AA447" t="s">
        <v>9952</v>
      </c>
      <c r="AB447" t="s">
        <v>10587</v>
      </c>
      <c r="AC447">
        <v>6</v>
      </c>
      <c r="AD447" t="s">
        <v>6322</v>
      </c>
      <c r="AE447" t="s">
        <v>12433</v>
      </c>
      <c r="AF447">
        <v>4</v>
      </c>
      <c r="AG447">
        <v>1</v>
      </c>
      <c r="AH447">
        <v>3</v>
      </c>
      <c r="AI447">
        <v>23.9</v>
      </c>
      <c r="AL447" t="s">
        <v>12460</v>
      </c>
      <c r="AM447">
        <v>6000</v>
      </c>
      <c r="AN447" t="s">
        <v>12532</v>
      </c>
      <c r="AS447">
        <v>5.5</v>
      </c>
      <c r="AT447" t="s">
        <v>451</v>
      </c>
      <c r="AU447" t="s">
        <v>218</v>
      </c>
    </row>
    <row r="448" spans="1:48">
      <c r="A448" s="1">
        <f>HYPERLINK("https://cms.ls-nyc.org/matter/dynamic-profile/view/1899222","19-1899222")</f>
        <v>0</v>
      </c>
      <c r="B448" t="s">
        <v>52</v>
      </c>
      <c r="C448" t="s">
        <v>363</v>
      </c>
      <c r="E448" t="s">
        <v>895</v>
      </c>
      <c r="F448" t="s">
        <v>2354</v>
      </c>
      <c r="G448" t="s">
        <v>3982</v>
      </c>
      <c r="H448" t="s">
        <v>5510</v>
      </c>
      <c r="I448" t="s">
        <v>6025</v>
      </c>
      <c r="J448">
        <v>11691</v>
      </c>
      <c r="K448" t="s">
        <v>6074</v>
      </c>
      <c r="L448" t="s">
        <v>6075</v>
      </c>
      <c r="M448" t="s">
        <v>6323</v>
      </c>
      <c r="N448" t="s">
        <v>7274</v>
      </c>
      <c r="O448" t="s">
        <v>7307</v>
      </c>
      <c r="Q448" t="s">
        <v>7322</v>
      </c>
      <c r="R448" t="s">
        <v>6076</v>
      </c>
      <c r="S448" t="s">
        <v>7324</v>
      </c>
      <c r="T448" t="s">
        <v>7336</v>
      </c>
      <c r="U448" t="s">
        <v>446</v>
      </c>
      <c r="V448">
        <v>0</v>
      </c>
      <c r="W448" t="s">
        <v>7361</v>
      </c>
      <c r="X448" t="s">
        <v>7373</v>
      </c>
      <c r="Z448" t="s">
        <v>7771</v>
      </c>
      <c r="AB448" t="s">
        <v>10588</v>
      </c>
      <c r="AC448">
        <v>3</v>
      </c>
      <c r="AD448" t="s">
        <v>12419</v>
      </c>
      <c r="AE448" t="s">
        <v>6110</v>
      </c>
      <c r="AF448">
        <v>4</v>
      </c>
      <c r="AG448">
        <v>1</v>
      </c>
      <c r="AH448">
        <v>0</v>
      </c>
      <c r="AI448">
        <v>24.02</v>
      </c>
      <c r="AL448" t="s">
        <v>12460</v>
      </c>
      <c r="AM448">
        <v>3000</v>
      </c>
      <c r="AP448" t="s">
        <v>7305</v>
      </c>
      <c r="AQ448" t="s">
        <v>12911</v>
      </c>
      <c r="AR448" t="s">
        <v>12951</v>
      </c>
      <c r="AS448">
        <v>6</v>
      </c>
      <c r="AT448" t="s">
        <v>381</v>
      </c>
      <c r="AU448" t="s">
        <v>13081</v>
      </c>
      <c r="AV448" t="s">
        <v>13145</v>
      </c>
    </row>
    <row r="449" spans="1:48">
      <c r="A449" s="1">
        <f>HYPERLINK("https://cms.ls-nyc.org/matter/dynamic-profile/view/1877760","18-1877760")</f>
        <v>0</v>
      </c>
      <c r="B449" t="s">
        <v>114</v>
      </c>
      <c r="C449" t="s">
        <v>290</v>
      </c>
      <c r="D449" t="s">
        <v>269</v>
      </c>
      <c r="E449" t="s">
        <v>896</v>
      </c>
      <c r="F449" t="s">
        <v>2355</v>
      </c>
      <c r="G449" t="s">
        <v>3983</v>
      </c>
      <c r="H449" t="s">
        <v>5373</v>
      </c>
      <c r="I449" t="s">
        <v>6047</v>
      </c>
      <c r="J449">
        <v>10460</v>
      </c>
      <c r="K449" t="s">
        <v>6074</v>
      </c>
      <c r="L449" t="s">
        <v>6074</v>
      </c>
      <c r="N449" t="s">
        <v>7276</v>
      </c>
      <c r="O449" t="s">
        <v>7308</v>
      </c>
      <c r="P449" t="s">
        <v>7316</v>
      </c>
      <c r="Q449" t="s">
        <v>7322</v>
      </c>
      <c r="R449" t="s">
        <v>6076</v>
      </c>
      <c r="S449" t="s">
        <v>7324</v>
      </c>
      <c r="U449" t="s">
        <v>355</v>
      </c>
      <c r="V449">
        <v>1534</v>
      </c>
      <c r="W449" t="s">
        <v>7363</v>
      </c>
      <c r="X449" t="s">
        <v>7376</v>
      </c>
      <c r="Y449" t="s">
        <v>7388</v>
      </c>
      <c r="Z449" t="s">
        <v>7772</v>
      </c>
      <c r="AA449" t="s">
        <v>9953</v>
      </c>
      <c r="AC449">
        <v>35</v>
      </c>
      <c r="AD449" t="s">
        <v>12422</v>
      </c>
      <c r="AE449" t="s">
        <v>12438</v>
      </c>
      <c r="AF449">
        <v>2</v>
      </c>
      <c r="AG449">
        <v>1</v>
      </c>
      <c r="AH449">
        <v>2</v>
      </c>
      <c r="AI449">
        <v>24.06</v>
      </c>
      <c r="AL449" t="s">
        <v>12461</v>
      </c>
      <c r="AM449">
        <v>5000</v>
      </c>
      <c r="AS449">
        <v>8.5</v>
      </c>
      <c r="AT449" t="s">
        <v>269</v>
      </c>
      <c r="AU449" t="s">
        <v>13095</v>
      </c>
    </row>
    <row r="450" spans="1:48">
      <c r="A450" s="1">
        <f>HYPERLINK("https://cms.ls-nyc.org/matter/dynamic-profile/view/1888455","19-1888455")</f>
        <v>0</v>
      </c>
      <c r="B450" t="s">
        <v>101</v>
      </c>
      <c r="C450" t="s">
        <v>410</v>
      </c>
      <c r="E450" t="s">
        <v>828</v>
      </c>
      <c r="F450" t="s">
        <v>2356</v>
      </c>
      <c r="G450" t="s">
        <v>3984</v>
      </c>
      <c r="H450" t="s">
        <v>5511</v>
      </c>
      <c r="I450" t="s">
        <v>6047</v>
      </c>
      <c r="J450">
        <v>10452</v>
      </c>
      <c r="K450" t="s">
        <v>6074</v>
      </c>
      <c r="L450" t="s">
        <v>6074</v>
      </c>
      <c r="N450" t="s">
        <v>6104</v>
      </c>
      <c r="O450" t="s">
        <v>7306</v>
      </c>
      <c r="Q450" t="s">
        <v>7322</v>
      </c>
      <c r="R450" t="s">
        <v>6076</v>
      </c>
      <c r="S450" t="s">
        <v>7324</v>
      </c>
      <c r="U450" t="s">
        <v>410</v>
      </c>
      <c r="V450">
        <v>219</v>
      </c>
      <c r="W450" t="s">
        <v>7363</v>
      </c>
      <c r="X450" t="s">
        <v>7376</v>
      </c>
      <c r="Z450" t="s">
        <v>7773</v>
      </c>
      <c r="AB450" t="s">
        <v>10589</v>
      </c>
      <c r="AC450">
        <v>77</v>
      </c>
      <c r="AD450" t="s">
        <v>12422</v>
      </c>
      <c r="AE450" t="s">
        <v>12434</v>
      </c>
      <c r="AF450">
        <v>11</v>
      </c>
      <c r="AG450">
        <v>2</v>
      </c>
      <c r="AH450">
        <v>1</v>
      </c>
      <c r="AI450">
        <v>24.2</v>
      </c>
      <c r="AL450" t="s">
        <v>12460</v>
      </c>
      <c r="AM450">
        <v>5028</v>
      </c>
      <c r="AS450">
        <v>1</v>
      </c>
      <c r="AT450" t="s">
        <v>315</v>
      </c>
      <c r="AU450" t="s">
        <v>13095</v>
      </c>
    </row>
    <row r="451" spans="1:48">
      <c r="A451" s="1">
        <f>HYPERLINK("https://cms.ls-nyc.org/matter/dynamic-profile/view/1875020","18-1875020")</f>
        <v>0</v>
      </c>
      <c r="B451" t="s">
        <v>60</v>
      </c>
      <c r="C451" t="s">
        <v>262</v>
      </c>
      <c r="D451" t="s">
        <v>245</v>
      </c>
      <c r="E451" t="s">
        <v>897</v>
      </c>
      <c r="F451" t="s">
        <v>2357</v>
      </c>
      <c r="G451" t="s">
        <v>3985</v>
      </c>
      <c r="H451">
        <v>2</v>
      </c>
      <c r="I451" t="s">
        <v>6025</v>
      </c>
      <c r="J451">
        <v>11691</v>
      </c>
      <c r="K451" t="s">
        <v>6074</v>
      </c>
      <c r="L451" t="s">
        <v>6074</v>
      </c>
      <c r="M451" t="s">
        <v>6324</v>
      </c>
      <c r="N451" t="s">
        <v>7276</v>
      </c>
      <c r="O451" t="s">
        <v>7308</v>
      </c>
      <c r="P451" t="s">
        <v>7316</v>
      </c>
      <c r="Q451" t="s">
        <v>7322</v>
      </c>
      <c r="R451" t="s">
        <v>6076</v>
      </c>
      <c r="S451" t="s">
        <v>7324</v>
      </c>
      <c r="T451" t="s">
        <v>7339</v>
      </c>
      <c r="U451" t="s">
        <v>262</v>
      </c>
      <c r="V451">
        <v>1428</v>
      </c>
      <c r="W451" t="s">
        <v>7361</v>
      </c>
      <c r="X451" t="s">
        <v>7366</v>
      </c>
      <c r="Y451" t="s">
        <v>7388</v>
      </c>
      <c r="Z451" t="s">
        <v>7774</v>
      </c>
      <c r="AA451" t="s">
        <v>9954</v>
      </c>
      <c r="AB451" t="s">
        <v>10590</v>
      </c>
      <c r="AC451">
        <v>2</v>
      </c>
      <c r="AD451" t="s">
        <v>12421</v>
      </c>
      <c r="AE451" t="s">
        <v>12434</v>
      </c>
      <c r="AF451">
        <v>6</v>
      </c>
      <c r="AG451">
        <v>1</v>
      </c>
      <c r="AH451">
        <v>2</v>
      </c>
      <c r="AI451">
        <v>24.27</v>
      </c>
      <c r="AL451" t="s">
        <v>12460</v>
      </c>
      <c r="AM451">
        <v>5044</v>
      </c>
      <c r="AO451" t="s">
        <v>12847</v>
      </c>
      <c r="AP451" t="s">
        <v>12872</v>
      </c>
      <c r="AQ451" t="s">
        <v>12909</v>
      </c>
      <c r="AR451" t="s">
        <v>12952</v>
      </c>
      <c r="AS451">
        <v>6.85</v>
      </c>
      <c r="AT451" t="s">
        <v>245</v>
      </c>
      <c r="AU451" t="s">
        <v>189</v>
      </c>
    </row>
    <row r="452" spans="1:48">
      <c r="A452" s="1">
        <f>HYPERLINK("https://cms.ls-nyc.org/matter/dynamic-profile/view/1885652","18-1885652")</f>
        <v>0</v>
      </c>
      <c r="B452" t="s">
        <v>102</v>
      </c>
      <c r="C452" t="s">
        <v>413</v>
      </c>
      <c r="E452" t="s">
        <v>898</v>
      </c>
      <c r="F452" t="s">
        <v>2358</v>
      </c>
      <c r="G452" t="s">
        <v>3779</v>
      </c>
      <c r="H452" t="s">
        <v>5512</v>
      </c>
      <c r="I452" t="s">
        <v>6047</v>
      </c>
      <c r="J452">
        <v>10460</v>
      </c>
      <c r="K452" t="s">
        <v>6074</v>
      </c>
      <c r="L452" t="s">
        <v>6074</v>
      </c>
      <c r="M452" t="s">
        <v>6182</v>
      </c>
      <c r="N452" t="s">
        <v>7273</v>
      </c>
      <c r="O452" t="s">
        <v>7308</v>
      </c>
      <c r="Q452" t="s">
        <v>7322</v>
      </c>
      <c r="R452" t="s">
        <v>6074</v>
      </c>
      <c r="S452" t="s">
        <v>7324</v>
      </c>
      <c r="U452" t="s">
        <v>457</v>
      </c>
      <c r="V452">
        <v>400</v>
      </c>
      <c r="W452" t="s">
        <v>7363</v>
      </c>
      <c r="X452" t="s">
        <v>7376</v>
      </c>
      <c r="Z452" t="s">
        <v>7622</v>
      </c>
      <c r="AB452" t="s">
        <v>10591</v>
      </c>
      <c r="AC452">
        <v>168</v>
      </c>
      <c r="AD452" t="s">
        <v>12422</v>
      </c>
      <c r="AE452" t="s">
        <v>12434</v>
      </c>
      <c r="AF452">
        <v>8</v>
      </c>
      <c r="AG452">
        <v>1</v>
      </c>
      <c r="AH452">
        <v>2</v>
      </c>
      <c r="AI452">
        <v>24.27</v>
      </c>
      <c r="AL452" t="s">
        <v>12460</v>
      </c>
      <c r="AM452">
        <v>5044</v>
      </c>
      <c r="AS452">
        <v>0</v>
      </c>
      <c r="AU452" t="s">
        <v>13113</v>
      </c>
    </row>
    <row r="453" spans="1:48">
      <c r="A453" s="1">
        <f>HYPERLINK("https://cms.ls-nyc.org/matter/dynamic-profile/view/1874993","18-1874993")</f>
        <v>0</v>
      </c>
      <c r="B453" t="s">
        <v>104</v>
      </c>
      <c r="C453" t="s">
        <v>262</v>
      </c>
      <c r="D453" t="s">
        <v>472</v>
      </c>
      <c r="E453" t="s">
        <v>628</v>
      </c>
      <c r="F453" t="s">
        <v>2226</v>
      </c>
      <c r="G453" t="s">
        <v>3986</v>
      </c>
      <c r="H453" t="s">
        <v>5364</v>
      </c>
      <c r="I453" t="s">
        <v>6047</v>
      </c>
      <c r="J453">
        <v>10452</v>
      </c>
      <c r="K453" t="s">
        <v>6074</v>
      </c>
      <c r="L453" t="s">
        <v>6074</v>
      </c>
      <c r="M453" t="s">
        <v>6325</v>
      </c>
      <c r="N453" t="s">
        <v>7273</v>
      </c>
      <c r="O453" t="s">
        <v>7308</v>
      </c>
      <c r="P453" t="s">
        <v>7316</v>
      </c>
      <c r="Q453" t="s">
        <v>7322</v>
      </c>
      <c r="R453" t="s">
        <v>6076</v>
      </c>
      <c r="S453" t="s">
        <v>7324</v>
      </c>
      <c r="U453" t="s">
        <v>502</v>
      </c>
      <c r="V453">
        <v>530</v>
      </c>
      <c r="W453" t="s">
        <v>7363</v>
      </c>
      <c r="X453" t="s">
        <v>7368</v>
      </c>
      <c r="Y453" t="s">
        <v>7394</v>
      </c>
      <c r="Z453" t="s">
        <v>7775</v>
      </c>
      <c r="AA453" t="s">
        <v>9955</v>
      </c>
      <c r="AB453" t="s">
        <v>10592</v>
      </c>
      <c r="AC453">
        <v>291</v>
      </c>
      <c r="AD453" t="s">
        <v>12420</v>
      </c>
      <c r="AE453" t="s">
        <v>12434</v>
      </c>
      <c r="AF453">
        <v>13</v>
      </c>
      <c r="AG453">
        <v>1</v>
      </c>
      <c r="AH453">
        <v>0</v>
      </c>
      <c r="AI453">
        <v>24.71</v>
      </c>
      <c r="AL453" t="s">
        <v>12460</v>
      </c>
      <c r="AM453">
        <v>3000</v>
      </c>
      <c r="AO453" t="s">
        <v>12847</v>
      </c>
      <c r="AP453" t="s">
        <v>12873</v>
      </c>
      <c r="AQ453" t="s">
        <v>12909</v>
      </c>
      <c r="AR453" t="s">
        <v>12953</v>
      </c>
      <c r="AS453">
        <v>14.1</v>
      </c>
      <c r="AT453" t="s">
        <v>299</v>
      </c>
      <c r="AU453" t="s">
        <v>13113</v>
      </c>
    </row>
    <row r="454" spans="1:48">
      <c r="A454" s="1">
        <f>HYPERLINK("https://cms.ls-nyc.org/matter/dynamic-profile/view/1884197","18-1884197")</f>
        <v>0</v>
      </c>
      <c r="B454" t="s">
        <v>128</v>
      </c>
      <c r="C454" t="s">
        <v>426</v>
      </c>
      <c r="E454" t="s">
        <v>899</v>
      </c>
      <c r="F454" t="s">
        <v>2056</v>
      </c>
      <c r="G454" t="s">
        <v>3987</v>
      </c>
      <c r="H454">
        <v>21</v>
      </c>
      <c r="I454" t="s">
        <v>6049</v>
      </c>
      <c r="J454">
        <v>10034</v>
      </c>
      <c r="K454" t="s">
        <v>6074</v>
      </c>
      <c r="L454" t="s">
        <v>6074</v>
      </c>
      <c r="N454" t="s">
        <v>7278</v>
      </c>
      <c r="O454" t="s">
        <v>7306</v>
      </c>
      <c r="Q454" t="s">
        <v>7322</v>
      </c>
      <c r="R454" t="s">
        <v>6076</v>
      </c>
      <c r="S454" t="s">
        <v>7324</v>
      </c>
      <c r="U454" t="s">
        <v>426</v>
      </c>
      <c r="V454">
        <v>1382</v>
      </c>
      <c r="W454" t="s">
        <v>7365</v>
      </c>
      <c r="X454" t="s">
        <v>7367</v>
      </c>
      <c r="Z454" t="s">
        <v>7776</v>
      </c>
      <c r="AB454" t="s">
        <v>10593</v>
      </c>
      <c r="AC454">
        <v>93</v>
      </c>
      <c r="AD454" t="s">
        <v>12422</v>
      </c>
      <c r="AE454" t="s">
        <v>6110</v>
      </c>
      <c r="AF454">
        <v>5</v>
      </c>
      <c r="AG454">
        <v>1</v>
      </c>
      <c r="AH454">
        <v>2</v>
      </c>
      <c r="AI454">
        <v>25.02</v>
      </c>
      <c r="AL454" t="s">
        <v>12460</v>
      </c>
      <c r="AM454">
        <v>5200</v>
      </c>
      <c r="AS454">
        <v>50.73</v>
      </c>
      <c r="AT454" t="s">
        <v>382</v>
      </c>
      <c r="AU454" t="s">
        <v>13106</v>
      </c>
    </row>
    <row r="455" spans="1:48">
      <c r="A455" s="1">
        <f>HYPERLINK("https://cms.ls-nyc.org/matter/dynamic-profile/view/1899124","19-1899124")</f>
        <v>0</v>
      </c>
      <c r="B455" t="s">
        <v>51</v>
      </c>
      <c r="C455" t="s">
        <v>254</v>
      </c>
      <c r="D455" t="s">
        <v>254</v>
      </c>
      <c r="E455" t="s">
        <v>900</v>
      </c>
      <c r="F455" t="s">
        <v>2359</v>
      </c>
      <c r="G455" t="s">
        <v>3988</v>
      </c>
      <c r="I455" t="s">
        <v>6051</v>
      </c>
      <c r="J455">
        <v>11520</v>
      </c>
      <c r="K455" t="s">
        <v>6074</v>
      </c>
      <c r="L455" t="s">
        <v>6075</v>
      </c>
      <c r="M455">
        <v>1860499</v>
      </c>
      <c r="N455" t="s">
        <v>6104</v>
      </c>
      <c r="O455" t="s">
        <v>7306</v>
      </c>
      <c r="P455" t="s">
        <v>7314</v>
      </c>
      <c r="Q455" t="s">
        <v>7322</v>
      </c>
      <c r="R455" t="s">
        <v>6076</v>
      </c>
      <c r="S455" t="s">
        <v>7324</v>
      </c>
      <c r="T455" t="s">
        <v>7336</v>
      </c>
      <c r="U455" t="s">
        <v>254</v>
      </c>
      <c r="V455">
        <v>2300</v>
      </c>
      <c r="W455" t="s">
        <v>7361</v>
      </c>
      <c r="X455" t="s">
        <v>7369</v>
      </c>
      <c r="Y455" t="s">
        <v>7386</v>
      </c>
      <c r="Z455" t="s">
        <v>7777</v>
      </c>
      <c r="AB455" t="s">
        <v>10594</v>
      </c>
      <c r="AC455">
        <v>1</v>
      </c>
      <c r="AD455" t="s">
        <v>12419</v>
      </c>
      <c r="AE455" t="s">
        <v>6110</v>
      </c>
      <c r="AF455">
        <v>18</v>
      </c>
      <c r="AG455">
        <v>1</v>
      </c>
      <c r="AH455">
        <v>3</v>
      </c>
      <c r="AI455">
        <v>25.24</v>
      </c>
      <c r="AL455" t="s">
        <v>12461</v>
      </c>
      <c r="AM455">
        <v>6500</v>
      </c>
      <c r="AS455">
        <v>1.5</v>
      </c>
      <c r="AT455" t="s">
        <v>254</v>
      </c>
      <c r="AU455" t="s">
        <v>51</v>
      </c>
      <c r="AV455" t="s">
        <v>13145</v>
      </c>
    </row>
    <row r="456" spans="1:48">
      <c r="A456" s="1">
        <f>HYPERLINK("https://cms.ls-nyc.org/matter/dynamic-profile/view/1887872","19-1887872")</f>
        <v>0</v>
      </c>
      <c r="B456" t="s">
        <v>78</v>
      </c>
      <c r="C456" t="s">
        <v>390</v>
      </c>
      <c r="D456" t="s">
        <v>251</v>
      </c>
      <c r="E456" t="s">
        <v>803</v>
      </c>
      <c r="F456" t="s">
        <v>2287</v>
      </c>
      <c r="G456" t="s">
        <v>3989</v>
      </c>
      <c r="H456" t="s">
        <v>5358</v>
      </c>
      <c r="I456" t="s">
        <v>6043</v>
      </c>
      <c r="J456">
        <v>11207</v>
      </c>
      <c r="K456" t="s">
        <v>6074</v>
      </c>
      <c r="L456" t="s">
        <v>6074</v>
      </c>
      <c r="M456" t="s">
        <v>6326</v>
      </c>
      <c r="N456" t="s">
        <v>7274</v>
      </c>
      <c r="O456" t="s">
        <v>7307</v>
      </c>
      <c r="P456" t="s">
        <v>7315</v>
      </c>
      <c r="Q456" t="s">
        <v>7322</v>
      </c>
      <c r="R456" t="s">
        <v>6076</v>
      </c>
      <c r="S456" t="s">
        <v>7324</v>
      </c>
      <c r="T456" t="s">
        <v>7336</v>
      </c>
      <c r="U456" t="s">
        <v>456</v>
      </c>
      <c r="V456">
        <v>2110</v>
      </c>
      <c r="W456" t="s">
        <v>7362</v>
      </c>
      <c r="Y456" t="s">
        <v>7390</v>
      </c>
      <c r="Z456" t="s">
        <v>7778</v>
      </c>
      <c r="AA456">
        <v>8168866</v>
      </c>
      <c r="AB456" t="s">
        <v>10595</v>
      </c>
      <c r="AC456">
        <v>4</v>
      </c>
      <c r="AD456" t="s">
        <v>12419</v>
      </c>
      <c r="AE456" t="s">
        <v>12434</v>
      </c>
      <c r="AF456">
        <v>2</v>
      </c>
      <c r="AG456">
        <v>1</v>
      </c>
      <c r="AH456">
        <v>4</v>
      </c>
      <c r="AI456">
        <v>25.29</v>
      </c>
      <c r="AL456" t="s">
        <v>12460</v>
      </c>
      <c r="AM456">
        <v>7440</v>
      </c>
      <c r="AS456">
        <v>3.1</v>
      </c>
      <c r="AT456" t="s">
        <v>456</v>
      </c>
      <c r="AU456" t="s">
        <v>13077</v>
      </c>
    </row>
    <row r="457" spans="1:48">
      <c r="A457" s="1">
        <f>HYPERLINK("https://cms.ls-nyc.org/matter/dynamic-profile/view/1875112","18-1875112")</f>
        <v>0</v>
      </c>
      <c r="B457" t="s">
        <v>126</v>
      </c>
      <c r="C457" t="s">
        <v>427</v>
      </c>
      <c r="E457" t="s">
        <v>901</v>
      </c>
      <c r="F457" t="s">
        <v>2360</v>
      </c>
      <c r="G457" t="s">
        <v>3956</v>
      </c>
      <c r="I457" t="s">
        <v>6049</v>
      </c>
      <c r="J457">
        <v>10031</v>
      </c>
      <c r="K457" t="s">
        <v>6074</v>
      </c>
      <c r="L457" t="s">
        <v>6074</v>
      </c>
      <c r="M457" t="s">
        <v>6327</v>
      </c>
      <c r="N457" t="s">
        <v>7273</v>
      </c>
      <c r="O457" t="s">
        <v>7306</v>
      </c>
      <c r="Q457" t="s">
        <v>7322</v>
      </c>
      <c r="R457" t="s">
        <v>6074</v>
      </c>
      <c r="S457" t="s">
        <v>7324</v>
      </c>
      <c r="T457" t="s">
        <v>7336</v>
      </c>
      <c r="U457" t="s">
        <v>427</v>
      </c>
      <c r="V457">
        <v>0</v>
      </c>
      <c r="W457" t="s">
        <v>7365</v>
      </c>
      <c r="X457" t="s">
        <v>7375</v>
      </c>
      <c r="Z457" t="s">
        <v>7779</v>
      </c>
      <c r="AA457" t="s">
        <v>9956</v>
      </c>
      <c r="AC457">
        <v>44</v>
      </c>
      <c r="AD457" t="s">
        <v>12420</v>
      </c>
      <c r="AE457" t="s">
        <v>12434</v>
      </c>
      <c r="AF457">
        <v>14</v>
      </c>
      <c r="AG457">
        <v>2</v>
      </c>
      <c r="AH457">
        <v>1</v>
      </c>
      <c r="AI457">
        <v>25.52</v>
      </c>
      <c r="AL457" t="s">
        <v>12461</v>
      </c>
      <c r="AM457">
        <v>5304</v>
      </c>
      <c r="AS457">
        <v>0</v>
      </c>
      <c r="AU457" t="s">
        <v>13107</v>
      </c>
    </row>
    <row r="458" spans="1:48">
      <c r="A458" s="1">
        <f>HYPERLINK("https://cms.ls-nyc.org/matter/dynamic-profile/view/1876435","18-1876435")</f>
        <v>0</v>
      </c>
      <c r="B458" t="s">
        <v>68</v>
      </c>
      <c r="C458" t="s">
        <v>336</v>
      </c>
      <c r="D458" t="s">
        <v>244</v>
      </c>
      <c r="E458" t="s">
        <v>788</v>
      </c>
      <c r="F458" t="s">
        <v>2361</v>
      </c>
      <c r="G458" t="s">
        <v>3990</v>
      </c>
      <c r="H458">
        <v>1</v>
      </c>
      <c r="I458" t="s">
        <v>6043</v>
      </c>
      <c r="J458">
        <v>11233</v>
      </c>
      <c r="K458" t="s">
        <v>6074</v>
      </c>
      <c r="L458" t="s">
        <v>6074</v>
      </c>
      <c r="M458" t="s">
        <v>6328</v>
      </c>
      <c r="N458" t="s">
        <v>7276</v>
      </c>
      <c r="O458" t="s">
        <v>7306</v>
      </c>
      <c r="P458" t="s">
        <v>7314</v>
      </c>
      <c r="Q458" t="s">
        <v>7322</v>
      </c>
      <c r="S458" t="s">
        <v>7324</v>
      </c>
      <c r="U458" t="s">
        <v>336</v>
      </c>
      <c r="V458">
        <v>0</v>
      </c>
      <c r="W458" t="s">
        <v>7362</v>
      </c>
      <c r="X458" t="s">
        <v>7305</v>
      </c>
      <c r="Y458" t="s">
        <v>7386</v>
      </c>
      <c r="Z458" t="s">
        <v>7780</v>
      </c>
      <c r="AB458" t="s">
        <v>10596</v>
      </c>
      <c r="AC458">
        <v>5</v>
      </c>
      <c r="AE458" t="s">
        <v>12440</v>
      </c>
      <c r="AF458">
        <v>3</v>
      </c>
      <c r="AG458">
        <v>1</v>
      </c>
      <c r="AH458">
        <v>0</v>
      </c>
      <c r="AI458">
        <v>25.8</v>
      </c>
      <c r="AL458" t="s">
        <v>12460</v>
      </c>
      <c r="AM458">
        <v>3132</v>
      </c>
      <c r="AS458">
        <v>0.9</v>
      </c>
      <c r="AT458" t="s">
        <v>336</v>
      </c>
      <c r="AU458" t="s">
        <v>13085</v>
      </c>
    </row>
    <row r="459" spans="1:48">
      <c r="A459" s="1">
        <f>HYPERLINK("https://cms.ls-nyc.org/matter/dynamic-profile/view/1882917","18-1882917")</f>
        <v>0</v>
      </c>
      <c r="B459" t="s">
        <v>60</v>
      </c>
      <c r="C459" t="s">
        <v>416</v>
      </c>
      <c r="D459" t="s">
        <v>277</v>
      </c>
      <c r="E459" t="s">
        <v>760</v>
      </c>
      <c r="F459" t="s">
        <v>2362</v>
      </c>
      <c r="G459" t="s">
        <v>3991</v>
      </c>
      <c r="H459" t="s">
        <v>5513</v>
      </c>
      <c r="I459" t="s">
        <v>6036</v>
      </c>
      <c r="J459">
        <v>11374</v>
      </c>
      <c r="K459" t="s">
        <v>6074</v>
      </c>
      <c r="L459" t="s">
        <v>6074</v>
      </c>
      <c r="M459" t="s">
        <v>6329</v>
      </c>
      <c r="N459" t="s">
        <v>7274</v>
      </c>
      <c r="O459" t="s">
        <v>7306</v>
      </c>
      <c r="P459" t="s">
        <v>7314</v>
      </c>
      <c r="Q459" t="s">
        <v>7323</v>
      </c>
      <c r="R459" t="s">
        <v>6076</v>
      </c>
      <c r="S459" t="s">
        <v>7324</v>
      </c>
      <c r="T459" t="s">
        <v>7336</v>
      </c>
      <c r="U459" t="s">
        <v>416</v>
      </c>
      <c r="V459">
        <v>2350</v>
      </c>
      <c r="W459" t="s">
        <v>7361</v>
      </c>
      <c r="X459" t="s">
        <v>7369</v>
      </c>
      <c r="Y459" t="s">
        <v>7386</v>
      </c>
      <c r="Z459" t="s">
        <v>7781</v>
      </c>
      <c r="AA459" t="s">
        <v>9856</v>
      </c>
      <c r="AB459" t="s">
        <v>10597</v>
      </c>
      <c r="AC459">
        <v>65</v>
      </c>
      <c r="AD459" t="s">
        <v>12422</v>
      </c>
      <c r="AE459" t="s">
        <v>6110</v>
      </c>
      <c r="AF459">
        <v>1</v>
      </c>
      <c r="AG459">
        <v>1</v>
      </c>
      <c r="AH459">
        <v>3</v>
      </c>
      <c r="AI459">
        <v>25.9</v>
      </c>
      <c r="AJ459" t="s">
        <v>12443</v>
      </c>
      <c r="AK459" t="s">
        <v>12455</v>
      </c>
      <c r="AL459" t="s">
        <v>12460</v>
      </c>
      <c r="AM459">
        <v>6500</v>
      </c>
      <c r="AS459">
        <v>1.73</v>
      </c>
      <c r="AT459" t="s">
        <v>287</v>
      </c>
      <c r="AU459" t="s">
        <v>60</v>
      </c>
    </row>
    <row r="460" spans="1:48">
      <c r="A460" s="1">
        <f>HYPERLINK("https://cms.ls-nyc.org/matter/dynamic-profile/view/1879768","18-1879768")</f>
        <v>0</v>
      </c>
      <c r="B460" t="s">
        <v>81</v>
      </c>
      <c r="C460" t="s">
        <v>325</v>
      </c>
      <c r="E460" t="s">
        <v>636</v>
      </c>
      <c r="F460" t="s">
        <v>2267</v>
      </c>
      <c r="G460" t="s">
        <v>3874</v>
      </c>
      <c r="H460" t="s">
        <v>5439</v>
      </c>
      <c r="I460" t="s">
        <v>6043</v>
      </c>
      <c r="J460">
        <v>11225</v>
      </c>
      <c r="K460" t="s">
        <v>6074</v>
      </c>
      <c r="L460" t="s">
        <v>6074</v>
      </c>
      <c r="N460" t="s">
        <v>7279</v>
      </c>
      <c r="O460" t="s">
        <v>7311</v>
      </c>
      <c r="Q460" t="s">
        <v>7322</v>
      </c>
      <c r="R460" t="s">
        <v>6074</v>
      </c>
      <c r="S460" t="s">
        <v>7324</v>
      </c>
      <c r="U460" t="s">
        <v>325</v>
      </c>
      <c r="V460">
        <v>1108.02</v>
      </c>
      <c r="W460" t="s">
        <v>7362</v>
      </c>
      <c r="X460" t="s">
        <v>7376</v>
      </c>
      <c r="Z460" t="s">
        <v>7651</v>
      </c>
      <c r="AA460" t="s">
        <v>9898</v>
      </c>
      <c r="AB460" t="s">
        <v>10480</v>
      </c>
      <c r="AC460">
        <v>14</v>
      </c>
      <c r="AD460" t="s">
        <v>12422</v>
      </c>
      <c r="AE460" t="s">
        <v>12434</v>
      </c>
      <c r="AF460">
        <v>13</v>
      </c>
      <c r="AG460">
        <v>1</v>
      </c>
      <c r="AH460">
        <v>0</v>
      </c>
      <c r="AI460">
        <v>26.02</v>
      </c>
      <c r="AL460" t="s">
        <v>12460</v>
      </c>
      <c r="AM460">
        <v>3159.36</v>
      </c>
      <c r="AS460">
        <v>11.2</v>
      </c>
      <c r="AT460" t="s">
        <v>492</v>
      </c>
      <c r="AU460" t="s">
        <v>69</v>
      </c>
    </row>
    <row r="461" spans="1:48">
      <c r="A461" s="1">
        <f>HYPERLINK("https://cms.ls-nyc.org/matter/dynamic-profile/view/1879765","18-1879765")</f>
        <v>0</v>
      </c>
      <c r="B461" t="s">
        <v>69</v>
      </c>
      <c r="C461" t="s">
        <v>325</v>
      </c>
      <c r="D461" t="s">
        <v>375</v>
      </c>
      <c r="E461" t="s">
        <v>636</v>
      </c>
      <c r="F461" t="s">
        <v>2267</v>
      </c>
      <c r="G461" t="s">
        <v>3874</v>
      </c>
      <c r="H461" t="s">
        <v>5439</v>
      </c>
      <c r="I461" t="s">
        <v>6043</v>
      </c>
      <c r="J461">
        <v>11225</v>
      </c>
      <c r="K461" t="s">
        <v>6074</v>
      </c>
      <c r="L461" t="s">
        <v>6074</v>
      </c>
      <c r="N461" t="s">
        <v>7275</v>
      </c>
      <c r="O461" t="s">
        <v>7309</v>
      </c>
      <c r="P461" t="s">
        <v>7315</v>
      </c>
      <c r="Q461" t="s">
        <v>7322</v>
      </c>
      <c r="S461" t="s">
        <v>7324</v>
      </c>
      <c r="U461" t="s">
        <v>325</v>
      </c>
      <c r="V461">
        <v>1108.02</v>
      </c>
      <c r="W461" t="s">
        <v>7362</v>
      </c>
      <c r="X461" t="s">
        <v>7376</v>
      </c>
      <c r="Y461" t="s">
        <v>7388</v>
      </c>
      <c r="Z461" t="s">
        <v>7651</v>
      </c>
      <c r="AA461" t="s">
        <v>9898</v>
      </c>
      <c r="AB461" t="s">
        <v>10480</v>
      </c>
      <c r="AC461">
        <v>14</v>
      </c>
      <c r="AD461" t="s">
        <v>12422</v>
      </c>
      <c r="AF461">
        <v>13</v>
      </c>
      <c r="AG461">
        <v>1</v>
      </c>
      <c r="AH461">
        <v>0</v>
      </c>
      <c r="AI461">
        <v>26.02</v>
      </c>
      <c r="AL461" t="s">
        <v>12460</v>
      </c>
      <c r="AM461">
        <v>3159.36</v>
      </c>
      <c r="AS461">
        <v>3.5</v>
      </c>
      <c r="AT461" t="s">
        <v>375</v>
      </c>
      <c r="AU461" t="s">
        <v>69</v>
      </c>
    </row>
    <row r="462" spans="1:48">
      <c r="A462" s="1">
        <f>HYPERLINK("https://cms.ls-nyc.org/matter/dynamic-profile/view/1886719","18-1886719")</f>
        <v>0</v>
      </c>
      <c r="B462" t="s">
        <v>102</v>
      </c>
      <c r="C462" t="s">
        <v>428</v>
      </c>
      <c r="E462" t="s">
        <v>902</v>
      </c>
      <c r="F462" t="s">
        <v>2363</v>
      </c>
      <c r="G462" t="s">
        <v>3779</v>
      </c>
      <c r="H462" t="s">
        <v>5514</v>
      </c>
      <c r="I462" t="s">
        <v>6047</v>
      </c>
      <c r="J462">
        <v>10460</v>
      </c>
      <c r="K462" t="s">
        <v>6074</v>
      </c>
      <c r="L462" t="s">
        <v>6074</v>
      </c>
      <c r="M462" t="s">
        <v>6182</v>
      </c>
      <c r="N462" t="s">
        <v>7273</v>
      </c>
      <c r="O462" t="s">
        <v>7308</v>
      </c>
      <c r="Q462" t="s">
        <v>7322</v>
      </c>
      <c r="R462" t="s">
        <v>6074</v>
      </c>
      <c r="S462" t="s">
        <v>7324</v>
      </c>
      <c r="U462" t="s">
        <v>457</v>
      </c>
      <c r="V462">
        <v>129</v>
      </c>
      <c r="W462" t="s">
        <v>7363</v>
      </c>
      <c r="X462" t="s">
        <v>7376</v>
      </c>
      <c r="Z462" t="s">
        <v>7782</v>
      </c>
      <c r="AC462">
        <v>168</v>
      </c>
      <c r="AE462" t="s">
        <v>12434</v>
      </c>
      <c r="AF462">
        <v>3</v>
      </c>
      <c r="AG462">
        <v>1</v>
      </c>
      <c r="AH462">
        <v>3</v>
      </c>
      <c r="AI462">
        <v>26.29</v>
      </c>
      <c r="AL462" t="s">
        <v>12461</v>
      </c>
      <c r="AM462">
        <v>6600</v>
      </c>
      <c r="AS462">
        <v>0</v>
      </c>
      <c r="AU462" t="s">
        <v>13113</v>
      </c>
    </row>
    <row r="463" spans="1:48">
      <c r="A463" s="1">
        <f>HYPERLINK("https://cms.ls-nyc.org/matter/dynamic-profile/view/1884762","18-1884762")</f>
        <v>0</v>
      </c>
      <c r="B463" t="s">
        <v>114</v>
      </c>
      <c r="C463" t="s">
        <v>297</v>
      </c>
      <c r="D463" t="s">
        <v>434</v>
      </c>
      <c r="E463" t="s">
        <v>903</v>
      </c>
      <c r="F463" t="s">
        <v>2059</v>
      </c>
      <c r="G463" t="s">
        <v>3992</v>
      </c>
      <c r="H463" t="s">
        <v>5515</v>
      </c>
      <c r="I463" t="s">
        <v>6047</v>
      </c>
      <c r="J463">
        <v>10452</v>
      </c>
      <c r="K463" t="s">
        <v>6074</v>
      </c>
      <c r="L463" t="s">
        <v>6074</v>
      </c>
      <c r="N463" t="s">
        <v>7273</v>
      </c>
      <c r="O463" t="s">
        <v>7306</v>
      </c>
      <c r="P463" t="s">
        <v>7314</v>
      </c>
      <c r="Q463" t="s">
        <v>7322</v>
      </c>
      <c r="R463" t="s">
        <v>6076</v>
      </c>
      <c r="S463" t="s">
        <v>7324</v>
      </c>
      <c r="U463" t="s">
        <v>434</v>
      </c>
      <c r="V463">
        <v>1037</v>
      </c>
      <c r="W463" t="s">
        <v>7363</v>
      </c>
      <c r="X463" t="s">
        <v>7376</v>
      </c>
      <c r="Y463" t="s">
        <v>7386</v>
      </c>
      <c r="Z463" t="s">
        <v>7783</v>
      </c>
      <c r="AB463" t="s">
        <v>10598</v>
      </c>
      <c r="AC463">
        <v>0</v>
      </c>
      <c r="AD463" t="s">
        <v>12422</v>
      </c>
      <c r="AE463" t="s">
        <v>12435</v>
      </c>
      <c r="AF463">
        <v>5</v>
      </c>
      <c r="AG463">
        <v>1</v>
      </c>
      <c r="AH463">
        <v>3</v>
      </c>
      <c r="AI463">
        <v>26.39</v>
      </c>
      <c r="AL463" t="s">
        <v>12460</v>
      </c>
      <c r="AM463">
        <v>6624</v>
      </c>
      <c r="AS463">
        <v>0.25</v>
      </c>
      <c r="AT463" t="s">
        <v>434</v>
      </c>
      <c r="AU463" t="s">
        <v>13095</v>
      </c>
    </row>
    <row r="464" spans="1:48">
      <c r="A464" s="1">
        <f>HYPERLINK("https://cms.ls-nyc.org/matter/dynamic-profile/view/1877740","18-1877740")</f>
        <v>0</v>
      </c>
      <c r="B464" t="s">
        <v>96</v>
      </c>
      <c r="C464" t="s">
        <v>291</v>
      </c>
      <c r="D464" t="s">
        <v>407</v>
      </c>
      <c r="E464" t="s">
        <v>705</v>
      </c>
      <c r="F464" t="s">
        <v>2364</v>
      </c>
      <c r="G464" t="s">
        <v>3993</v>
      </c>
      <c r="H464" t="s">
        <v>5462</v>
      </c>
      <c r="I464" t="s">
        <v>6047</v>
      </c>
      <c r="J464">
        <v>10453</v>
      </c>
      <c r="K464" t="s">
        <v>6074</v>
      </c>
      <c r="L464" t="s">
        <v>6074</v>
      </c>
      <c r="M464" t="s">
        <v>6330</v>
      </c>
      <c r="N464" t="s">
        <v>7276</v>
      </c>
      <c r="O464" t="s">
        <v>7306</v>
      </c>
      <c r="P464" t="s">
        <v>7314</v>
      </c>
      <c r="Q464" t="s">
        <v>7322</v>
      </c>
      <c r="R464" t="s">
        <v>6076</v>
      </c>
      <c r="S464" t="s">
        <v>7324</v>
      </c>
      <c r="U464" t="s">
        <v>291</v>
      </c>
      <c r="V464">
        <v>1109.22</v>
      </c>
      <c r="W464" t="s">
        <v>7363</v>
      </c>
      <c r="Y464" t="s">
        <v>7386</v>
      </c>
      <c r="Z464" t="s">
        <v>7784</v>
      </c>
      <c r="AB464" t="s">
        <v>10599</v>
      </c>
      <c r="AC464">
        <v>48</v>
      </c>
      <c r="AD464" t="s">
        <v>6322</v>
      </c>
      <c r="AE464" t="s">
        <v>12435</v>
      </c>
      <c r="AF464">
        <v>19</v>
      </c>
      <c r="AG464">
        <v>2</v>
      </c>
      <c r="AH464">
        <v>1</v>
      </c>
      <c r="AI464">
        <v>26.4</v>
      </c>
      <c r="AL464" t="s">
        <v>12460</v>
      </c>
      <c r="AM464">
        <v>5485.2</v>
      </c>
      <c r="AS464">
        <v>0.8</v>
      </c>
      <c r="AT464" t="s">
        <v>258</v>
      </c>
      <c r="AU464" t="s">
        <v>13091</v>
      </c>
    </row>
    <row r="465" spans="1:48">
      <c r="A465" s="1">
        <f>HYPERLINK("https://cms.ls-nyc.org/matter/dynamic-profile/view/1881805","18-1881805")</f>
        <v>0</v>
      </c>
      <c r="B465" t="s">
        <v>103</v>
      </c>
      <c r="C465" t="s">
        <v>360</v>
      </c>
      <c r="E465" t="s">
        <v>904</v>
      </c>
      <c r="F465" t="s">
        <v>2365</v>
      </c>
      <c r="G465" t="s">
        <v>3810</v>
      </c>
      <c r="H465" t="s">
        <v>5516</v>
      </c>
      <c r="I465" t="s">
        <v>6047</v>
      </c>
      <c r="J465">
        <v>10451</v>
      </c>
      <c r="K465" t="s">
        <v>6074</v>
      </c>
      <c r="L465" t="s">
        <v>6074</v>
      </c>
      <c r="M465" t="s">
        <v>6201</v>
      </c>
      <c r="N465" t="s">
        <v>7273</v>
      </c>
      <c r="O465" t="s">
        <v>7308</v>
      </c>
      <c r="Q465" t="s">
        <v>7322</v>
      </c>
      <c r="R465" t="s">
        <v>6074</v>
      </c>
      <c r="S465" t="s">
        <v>7324</v>
      </c>
      <c r="U465" t="s">
        <v>472</v>
      </c>
      <c r="V465">
        <v>1995.51</v>
      </c>
      <c r="W465" t="s">
        <v>7363</v>
      </c>
      <c r="X465" t="s">
        <v>7376</v>
      </c>
      <c r="Z465" t="s">
        <v>7503</v>
      </c>
      <c r="AA465" t="s">
        <v>9957</v>
      </c>
      <c r="AC465">
        <v>100</v>
      </c>
      <c r="AD465" t="s">
        <v>12422</v>
      </c>
      <c r="AE465" t="s">
        <v>12434</v>
      </c>
      <c r="AF465">
        <v>17</v>
      </c>
      <c r="AG465">
        <v>5</v>
      </c>
      <c r="AH465">
        <v>0</v>
      </c>
      <c r="AI465">
        <v>26.51</v>
      </c>
      <c r="AL465" t="s">
        <v>12461</v>
      </c>
      <c r="AM465">
        <v>7800</v>
      </c>
      <c r="AS465">
        <v>0</v>
      </c>
      <c r="AU465" t="s">
        <v>13095</v>
      </c>
    </row>
    <row r="466" spans="1:48">
      <c r="A466" s="1">
        <f>HYPERLINK("https://cms.ls-nyc.org/matter/dynamic-profile/view/1860498","18-1860498")</f>
        <v>0</v>
      </c>
      <c r="B466" t="s">
        <v>155</v>
      </c>
      <c r="C466" t="s">
        <v>349</v>
      </c>
      <c r="D466" t="s">
        <v>462</v>
      </c>
      <c r="E466" t="s">
        <v>905</v>
      </c>
      <c r="F466" t="s">
        <v>2174</v>
      </c>
      <c r="G466" t="s">
        <v>3994</v>
      </c>
      <c r="H466" t="s">
        <v>5372</v>
      </c>
      <c r="I466" t="s">
        <v>6049</v>
      </c>
      <c r="J466">
        <v>10027</v>
      </c>
      <c r="K466" t="s">
        <v>6074</v>
      </c>
      <c r="L466" t="s">
        <v>6074</v>
      </c>
      <c r="N466" t="s">
        <v>6104</v>
      </c>
      <c r="O466" t="s">
        <v>7306</v>
      </c>
      <c r="P466" t="s">
        <v>7314</v>
      </c>
      <c r="Q466" t="s">
        <v>7322</v>
      </c>
      <c r="S466" t="s">
        <v>7324</v>
      </c>
      <c r="U466" t="s">
        <v>231</v>
      </c>
      <c r="V466">
        <v>1124</v>
      </c>
      <c r="W466" t="s">
        <v>7365</v>
      </c>
      <c r="X466" t="s">
        <v>7368</v>
      </c>
      <c r="Y466" t="s">
        <v>7386</v>
      </c>
      <c r="Z466" t="s">
        <v>7785</v>
      </c>
      <c r="AB466" t="s">
        <v>10600</v>
      </c>
      <c r="AC466">
        <v>36</v>
      </c>
      <c r="AE466" t="s">
        <v>12439</v>
      </c>
      <c r="AF466">
        <v>0</v>
      </c>
      <c r="AG466">
        <v>4</v>
      </c>
      <c r="AH466">
        <v>0</v>
      </c>
      <c r="AI466">
        <v>26.77</v>
      </c>
      <c r="AL466" t="s">
        <v>12460</v>
      </c>
      <c r="AM466">
        <v>6720</v>
      </c>
      <c r="AS466">
        <v>0.25</v>
      </c>
      <c r="AT466" t="s">
        <v>253</v>
      </c>
      <c r="AU466" t="s">
        <v>13119</v>
      </c>
    </row>
    <row r="467" spans="1:48">
      <c r="A467" s="1">
        <f>HYPERLINK("https://cms.ls-nyc.org/matter/dynamic-profile/view/1892138","19-1892138")</f>
        <v>0</v>
      </c>
      <c r="B467" t="s">
        <v>156</v>
      </c>
      <c r="C467" t="s">
        <v>405</v>
      </c>
      <c r="E467" t="s">
        <v>572</v>
      </c>
      <c r="F467" t="s">
        <v>2366</v>
      </c>
      <c r="G467" t="s">
        <v>3995</v>
      </c>
      <c r="H467" t="s">
        <v>5347</v>
      </c>
      <c r="I467" t="s">
        <v>6043</v>
      </c>
      <c r="J467">
        <v>11208</v>
      </c>
      <c r="K467" t="s">
        <v>6074</v>
      </c>
      <c r="L467" t="s">
        <v>6074</v>
      </c>
      <c r="M467" t="s">
        <v>6331</v>
      </c>
      <c r="N467" t="s">
        <v>7276</v>
      </c>
      <c r="O467" t="s">
        <v>7306</v>
      </c>
      <c r="Q467" t="s">
        <v>7322</v>
      </c>
      <c r="S467" t="s">
        <v>7324</v>
      </c>
      <c r="U467" t="s">
        <v>337</v>
      </c>
      <c r="V467">
        <v>2200</v>
      </c>
      <c r="W467" t="s">
        <v>7362</v>
      </c>
      <c r="Z467" t="s">
        <v>7786</v>
      </c>
      <c r="AA467" t="s">
        <v>9958</v>
      </c>
      <c r="AB467" t="s">
        <v>10601</v>
      </c>
      <c r="AC467">
        <v>2</v>
      </c>
      <c r="AD467" t="s">
        <v>12419</v>
      </c>
      <c r="AF467">
        <v>1</v>
      </c>
      <c r="AG467">
        <v>1</v>
      </c>
      <c r="AH467">
        <v>4</v>
      </c>
      <c r="AI467">
        <v>26.89</v>
      </c>
      <c r="AL467" t="s">
        <v>12461</v>
      </c>
      <c r="AM467">
        <v>8112</v>
      </c>
      <c r="AS467">
        <v>5.7</v>
      </c>
      <c r="AT467" t="s">
        <v>313</v>
      </c>
      <c r="AU467" t="s">
        <v>13085</v>
      </c>
    </row>
    <row r="468" spans="1:48">
      <c r="A468" s="1">
        <f>HYPERLINK("https://cms.ls-nyc.org/matter/dynamic-profile/view/1885425","18-1885425")</f>
        <v>0</v>
      </c>
      <c r="B468" t="s">
        <v>60</v>
      </c>
      <c r="C468" t="s">
        <v>429</v>
      </c>
      <c r="D468" t="s">
        <v>259</v>
      </c>
      <c r="E468" t="s">
        <v>906</v>
      </c>
      <c r="F468" t="s">
        <v>2367</v>
      </c>
      <c r="G468" t="s">
        <v>3996</v>
      </c>
      <c r="H468">
        <v>402</v>
      </c>
      <c r="I468" t="s">
        <v>6024</v>
      </c>
      <c r="J468">
        <v>11692</v>
      </c>
      <c r="K468" t="s">
        <v>6074</v>
      </c>
      <c r="L468" t="s">
        <v>6074</v>
      </c>
      <c r="M468" t="s">
        <v>6332</v>
      </c>
      <c r="N468" t="s">
        <v>7276</v>
      </c>
      <c r="O468" t="s">
        <v>7308</v>
      </c>
      <c r="P468" t="s">
        <v>7316</v>
      </c>
      <c r="Q468" t="s">
        <v>7323</v>
      </c>
      <c r="R468" t="s">
        <v>6076</v>
      </c>
      <c r="S468" t="s">
        <v>7324</v>
      </c>
      <c r="T468" t="s">
        <v>7338</v>
      </c>
      <c r="U468" t="s">
        <v>429</v>
      </c>
      <c r="V468">
        <v>2181</v>
      </c>
      <c r="W468" t="s">
        <v>7361</v>
      </c>
      <c r="X468" t="s">
        <v>7369</v>
      </c>
      <c r="Y468" t="s">
        <v>7388</v>
      </c>
      <c r="Z468" t="s">
        <v>7787</v>
      </c>
      <c r="AB468" t="s">
        <v>10602</v>
      </c>
      <c r="AC468">
        <v>1091</v>
      </c>
      <c r="AD468" t="s">
        <v>12423</v>
      </c>
      <c r="AE468" t="s">
        <v>12434</v>
      </c>
      <c r="AF468">
        <v>5</v>
      </c>
      <c r="AG468">
        <v>2</v>
      </c>
      <c r="AH468">
        <v>1</v>
      </c>
      <c r="AI468">
        <v>27.03</v>
      </c>
      <c r="AJ468" t="s">
        <v>12443</v>
      </c>
      <c r="AK468" t="s">
        <v>12455</v>
      </c>
      <c r="AL468" t="s">
        <v>12460</v>
      </c>
      <c r="AM468">
        <v>5616</v>
      </c>
      <c r="AO468" t="s">
        <v>12845</v>
      </c>
      <c r="AP468" t="s">
        <v>12868</v>
      </c>
      <c r="AQ468" t="s">
        <v>12909</v>
      </c>
      <c r="AR468" t="s">
        <v>12954</v>
      </c>
      <c r="AS468">
        <v>10.95</v>
      </c>
      <c r="AT468" t="s">
        <v>259</v>
      </c>
      <c r="AU468" t="s">
        <v>60</v>
      </c>
    </row>
    <row r="469" spans="1:48">
      <c r="A469" s="1">
        <f>HYPERLINK("https://cms.ls-nyc.org/matter/dynamic-profile/view/1871552","18-1871552")</f>
        <v>0</v>
      </c>
      <c r="B469" t="s">
        <v>62</v>
      </c>
      <c r="C469" t="s">
        <v>374</v>
      </c>
      <c r="D469" t="s">
        <v>266</v>
      </c>
      <c r="E469" t="s">
        <v>598</v>
      </c>
      <c r="F469" t="s">
        <v>2368</v>
      </c>
      <c r="G469" t="s">
        <v>3997</v>
      </c>
      <c r="H469" t="s">
        <v>5354</v>
      </c>
      <c r="I469" t="s">
        <v>6025</v>
      </c>
      <c r="J469">
        <v>11691</v>
      </c>
      <c r="K469" t="s">
        <v>6074</v>
      </c>
      <c r="L469" t="s">
        <v>6074</v>
      </c>
      <c r="M469" t="s">
        <v>6333</v>
      </c>
      <c r="N469" t="s">
        <v>7276</v>
      </c>
      <c r="O469" t="s">
        <v>7306</v>
      </c>
      <c r="P469" t="s">
        <v>7314</v>
      </c>
      <c r="Q469" t="s">
        <v>7322</v>
      </c>
      <c r="R469" t="s">
        <v>6076</v>
      </c>
      <c r="S469" t="s">
        <v>7324</v>
      </c>
      <c r="T469" t="s">
        <v>7338</v>
      </c>
      <c r="U469" t="s">
        <v>374</v>
      </c>
      <c r="V469">
        <v>974</v>
      </c>
      <c r="W469" t="s">
        <v>7361</v>
      </c>
      <c r="X469" t="s">
        <v>7366</v>
      </c>
      <c r="Y469" t="s">
        <v>7386</v>
      </c>
      <c r="Z469" t="s">
        <v>7788</v>
      </c>
      <c r="AA469" t="s">
        <v>9959</v>
      </c>
      <c r="AB469" t="s">
        <v>10603</v>
      </c>
      <c r="AC469">
        <v>270</v>
      </c>
      <c r="AD469" t="s">
        <v>12429</v>
      </c>
      <c r="AE469" t="s">
        <v>12434</v>
      </c>
      <c r="AF469">
        <v>4</v>
      </c>
      <c r="AG469">
        <v>1</v>
      </c>
      <c r="AH469">
        <v>0</v>
      </c>
      <c r="AI469">
        <v>27.2</v>
      </c>
      <c r="AK469" t="s">
        <v>12457</v>
      </c>
      <c r="AL469" t="s">
        <v>12465</v>
      </c>
      <c r="AM469">
        <v>3302.4</v>
      </c>
      <c r="AS469">
        <v>2.3</v>
      </c>
      <c r="AT469" t="s">
        <v>289</v>
      </c>
      <c r="AU469" t="s">
        <v>189</v>
      </c>
    </row>
    <row r="470" spans="1:48">
      <c r="A470" s="1">
        <f>HYPERLINK("https://cms.ls-nyc.org/matter/dynamic-profile/view/1874553","18-1874553")</f>
        <v>0</v>
      </c>
      <c r="B470" t="s">
        <v>74</v>
      </c>
      <c r="C470" t="s">
        <v>237</v>
      </c>
      <c r="E470" t="s">
        <v>907</v>
      </c>
      <c r="F470" t="s">
        <v>2104</v>
      </c>
      <c r="G470" t="s">
        <v>3998</v>
      </c>
      <c r="H470" t="s">
        <v>5436</v>
      </c>
      <c r="I470" t="s">
        <v>6043</v>
      </c>
      <c r="J470">
        <v>11208</v>
      </c>
      <c r="K470" t="s">
        <v>6074</v>
      </c>
      <c r="L470" t="s">
        <v>6074</v>
      </c>
      <c r="M470" t="s">
        <v>6334</v>
      </c>
      <c r="N470" t="s">
        <v>7274</v>
      </c>
      <c r="O470" t="s">
        <v>7308</v>
      </c>
      <c r="Q470" t="s">
        <v>7322</v>
      </c>
      <c r="S470" t="s">
        <v>7324</v>
      </c>
      <c r="U470" t="s">
        <v>312</v>
      </c>
      <c r="V470">
        <v>1650</v>
      </c>
      <c r="W470" t="s">
        <v>7362</v>
      </c>
      <c r="X470" t="s">
        <v>7378</v>
      </c>
      <c r="Z470" t="s">
        <v>7789</v>
      </c>
      <c r="AA470" t="s">
        <v>9960</v>
      </c>
      <c r="AB470" t="s">
        <v>10604</v>
      </c>
      <c r="AC470">
        <v>4</v>
      </c>
      <c r="AE470" t="s">
        <v>12440</v>
      </c>
      <c r="AF470">
        <v>6</v>
      </c>
      <c r="AG470">
        <v>1</v>
      </c>
      <c r="AH470">
        <v>0</v>
      </c>
      <c r="AI470">
        <v>27.28</v>
      </c>
      <c r="AL470" t="s">
        <v>12460</v>
      </c>
      <c r="AM470">
        <v>3312</v>
      </c>
      <c r="AS470">
        <v>47.35</v>
      </c>
      <c r="AT470" t="s">
        <v>526</v>
      </c>
      <c r="AU470" t="s">
        <v>13081</v>
      </c>
    </row>
    <row r="471" spans="1:48">
      <c r="A471" s="1">
        <f>HYPERLINK("https://cms.ls-nyc.org/matter/dynamic-profile/view/1881373","18-1881373")</f>
        <v>0</v>
      </c>
      <c r="B471" t="s">
        <v>54</v>
      </c>
      <c r="C471" t="s">
        <v>414</v>
      </c>
      <c r="E471" t="s">
        <v>908</v>
      </c>
      <c r="F471" t="s">
        <v>2369</v>
      </c>
      <c r="G471" t="s">
        <v>3999</v>
      </c>
      <c r="H471" t="s">
        <v>5507</v>
      </c>
      <c r="I471" t="s">
        <v>6025</v>
      </c>
      <c r="J471">
        <v>11691</v>
      </c>
      <c r="K471" t="s">
        <v>6074</v>
      </c>
      <c r="L471" t="s">
        <v>6074</v>
      </c>
      <c r="M471" t="s">
        <v>6335</v>
      </c>
      <c r="N471" t="s">
        <v>7276</v>
      </c>
      <c r="O471" t="s">
        <v>7308</v>
      </c>
      <c r="Q471" t="s">
        <v>7322</v>
      </c>
      <c r="R471" t="s">
        <v>6076</v>
      </c>
      <c r="S471" t="s">
        <v>7324</v>
      </c>
      <c r="T471" t="s">
        <v>7336</v>
      </c>
      <c r="U471" t="s">
        <v>414</v>
      </c>
      <c r="V471">
        <v>1956</v>
      </c>
      <c r="W471" t="s">
        <v>7361</v>
      </c>
      <c r="X471" t="s">
        <v>7366</v>
      </c>
      <c r="Z471" t="s">
        <v>7790</v>
      </c>
      <c r="AA471" t="s">
        <v>9961</v>
      </c>
      <c r="AB471" t="s">
        <v>10605</v>
      </c>
      <c r="AC471">
        <v>108</v>
      </c>
      <c r="AD471" t="s">
        <v>12422</v>
      </c>
      <c r="AE471" t="s">
        <v>12435</v>
      </c>
      <c r="AF471">
        <v>1</v>
      </c>
      <c r="AG471">
        <v>1</v>
      </c>
      <c r="AH471">
        <v>4</v>
      </c>
      <c r="AI471">
        <v>27.31</v>
      </c>
      <c r="AL471" t="s">
        <v>12460</v>
      </c>
      <c r="AM471">
        <v>8034</v>
      </c>
      <c r="AO471" t="s">
        <v>12848</v>
      </c>
      <c r="AP471" t="s">
        <v>7305</v>
      </c>
      <c r="AQ471" t="s">
        <v>12909</v>
      </c>
      <c r="AR471" t="s">
        <v>12955</v>
      </c>
      <c r="AS471">
        <v>3.8</v>
      </c>
      <c r="AT471" t="s">
        <v>367</v>
      </c>
      <c r="AU471" t="s">
        <v>51</v>
      </c>
    </row>
    <row r="472" spans="1:48">
      <c r="A472" s="1">
        <f>HYPERLINK("https://cms.ls-nyc.org/matter/dynamic-profile/view/1896526","19-1896526")</f>
        <v>0</v>
      </c>
      <c r="B472" t="s">
        <v>98</v>
      </c>
      <c r="C472" t="s">
        <v>417</v>
      </c>
      <c r="E472" t="s">
        <v>909</v>
      </c>
      <c r="F472" t="s">
        <v>1563</v>
      </c>
      <c r="G472" t="s">
        <v>4000</v>
      </c>
      <c r="H472" t="s">
        <v>5357</v>
      </c>
      <c r="I472" t="s">
        <v>6047</v>
      </c>
      <c r="J472">
        <v>10460</v>
      </c>
      <c r="K472" t="s">
        <v>6074</v>
      </c>
      <c r="L472" t="s">
        <v>6074</v>
      </c>
      <c r="M472" t="s">
        <v>6336</v>
      </c>
      <c r="N472" t="s">
        <v>7276</v>
      </c>
      <c r="O472" t="s">
        <v>7308</v>
      </c>
      <c r="Q472" t="s">
        <v>7322</v>
      </c>
      <c r="R472" t="s">
        <v>6076</v>
      </c>
      <c r="S472" t="s">
        <v>7324</v>
      </c>
      <c r="T472" t="s">
        <v>7340</v>
      </c>
      <c r="U472" t="s">
        <v>276</v>
      </c>
      <c r="V472">
        <v>1980.45</v>
      </c>
      <c r="W472" t="s">
        <v>7363</v>
      </c>
      <c r="X472" t="s">
        <v>7368</v>
      </c>
      <c r="Z472" t="s">
        <v>7791</v>
      </c>
      <c r="AA472" t="s">
        <v>9962</v>
      </c>
      <c r="AB472" t="s">
        <v>10606</v>
      </c>
      <c r="AC472">
        <v>0</v>
      </c>
      <c r="AD472" t="s">
        <v>12422</v>
      </c>
      <c r="AE472" t="s">
        <v>12435</v>
      </c>
      <c r="AF472">
        <v>2</v>
      </c>
      <c r="AG472">
        <v>4</v>
      </c>
      <c r="AH472">
        <v>1</v>
      </c>
      <c r="AI472">
        <v>27.47</v>
      </c>
      <c r="AL472" t="s">
        <v>12460</v>
      </c>
      <c r="AM472">
        <v>8288.799999999999</v>
      </c>
      <c r="AS472">
        <v>7.1</v>
      </c>
      <c r="AT472" t="s">
        <v>496</v>
      </c>
      <c r="AU472" t="s">
        <v>13093</v>
      </c>
      <c r="AV472" t="s">
        <v>13146</v>
      </c>
    </row>
    <row r="473" spans="1:48">
      <c r="A473" s="1">
        <f>HYPERLINK("https://cms.ls-nyc.org/matter/dynamic-profile/view/1887294","19-1887294")</f>
        <v>0</v>
      </c>
      <c r="B473" t="s">
        <v>113</v>
      </c>
      <c r="C473" t="s">
        <v>267</v>
      </c>
      <c r="E473" t="s">
        <v>910</v>
      </c>
      <c r="F473" t="s">
        <v>2370</v>
      </c>
      <c r="G473" t="s">
        <v>3932</v>
      </c>
      <c r="H473" t="s">
        <v>5517</v>
      </c>
      <c r="I473" t="s">
        <v>6047</v>
      </c>
      <c r="J473">
        <v>10459</v>
      </c>
      <c r="K473" t="s">
        <v>6074</v>
      </c>
      <c r="L473" t="s">
        <v>6074</v>
      </c>
      <c r="N473" t="s">
        <v>7273</v>
      </c>
      <c r="O473" t="s">
        <v>7308</v>
      </c>
      <c r="Q473" t="s">
        <v>7322</v>
      </c>
      <c r="R473" t="s">
        <v>6074</v>
      </c>
      <c r="S473" t="s">
        <v>7324</v>
      </c>
      <c r="U473" t="s">
        <v>267</v>
      </c>
      <c r="V473">
        <v>461</v>
      </c>
      <c r="W473" t="s">
        <v>7363</v>
      </c>
      <c r="X473" t="s">
        <v>7376</v>
      </c>
      <c r="Z473" t="s">
        <v>7792</v>
      </c>
      <c r="AB473" t="s">
        <v>10607</v>
      </c>
      <c r="AC473">
        <v>48</v>
      </c>
      <c r="AD473" t="s">
        <v>12420</v>
      </c>
      <c r="AF473">
        <v>7</v>
      </c>
      <c r="AG473">
        <v>1</v>
      </c>
      <c r="AH473">
        <v>6</v>
      </c>
      <c r="AI473">
        <v>27.48</v>
      </c>
      <c r="AM473">
        <v>10460</v>
      </c>
      <c r="AS473">
        <v>0</v>
      </c>
      <c r="AU473" t="s">
        <v>13095</v>
      </c>
    </row>
    <row r="474" spans="1:48">
      <c r="A474" s="1">
        <f>HYPERLINK("https://cms.ls-nyc.org/matter/dynamic-profile/view/1870310","18-1870310")</f>
        <v>0</v>
      </c>
      <c r="B474" t="s">
        <v>126</v>
      </c>
      <c r="C474" t="s">
        <v>430</v>
      </c>
      <c r="D474" t="s">
        <v>462</v>
      </c>
      <c r="E474" t="s">
        <v>911</v>
      </c>
      <c r="F474" t="s">
        <v>2371</v>
      </c>
      <c r="G474" t="s">
        <v>4001</v>
      </c>
      <c r="H474" t="s">
        <v>5387</v>
      </c>
      <c r="I474" t="s">
        <v>6049</v>
      </c>
      <c r="J474">
        <v>10035</v>
      </c>
      <c r="K474" t="s">
        <v>6074</v>
      </c>
      <c r="L474" t="s">
        <v>6074</v>
      </c>
      <c r="M474" t="s">
        <v>6337</v>
      </c>
      <c r="N474" t="s">
        <v>7274</v>
      </c>
      <c r="O474" t="s">
        <v>7308</v>
      </c>
      <c r="P474" t="s">
        <v>7316</v>
      </c>
      <c r="Q474" t="s">
        <v>7322</v>
      </c>
      <c r="R474" t="s">
        <v>6076</v>
      </c>
      <c r="S474" t="s">
        <v>7324</v>
      </c>
      <c r="T474" t="s">
        <v>7336</v>
      </c>
      <c r="U474" t="s">
        <v>368</v>
      </c>
      <c r="V474">
        <v>333</v>
      </c>
      <c r="W474" t="s">
        <v>7365</v>
      </c>
      <c r="X474" t="s">
        <v>7380</v>
      </c>
      <c r="Y474" t="s">
        <v>7388</v>
      </c>
      <c r="Z474" t="s">
        <v>7793</v>
      </c>
      <c r="AB474" t="s">
        <v>10608</v>
      </c>
      <c r="AC474">
        <v>15</v>
      </c>
      <c r="AD474" t="s">
        <v>12422</v>
      </c>
      <c r="AE474" t="s">
        <v>6110</v>
      </c>
      <c r="AF474">
        <v>29</v>
      </c>
      <c r="AG474">
        <v>3</v>
      </c>
      <c r="AH474">
        <v>3</v>
      </c>
      <c r="AI474">
        <v>27.49</v>
      </c>
      <c r="AL474" t="s">
        <v>12460</v>
      </c>
      <c r="AM474">
        <v>9276</v>
      </c>
      <c r="AN474" t="s">
        <v>12537</v>
      </c>
      <c r="AP474" t="s">
        <v>12868</v>
      </c>
      <c r="AQ474" t="s">
        <v>12909</v>
      </c>
      <c r="AR474" t="s">
        <v>12956</v>
      </c>
      <c r="AS474">
        <v>11.6</v>
      </c>
      <c r="AT474" t="s">
        <v>357</v>
      </c>
      <c r="AU474" t="s">
        <v>13100</v>
      </c>
    </row>
    <row r="475" spans="1:48">
      <c r="A475" s="1">
        <f>HYPERLINK("https://cms.ls-nyc.org/matter/dynamic-profile/view/1887728","19-1887728")</f>
        <v>0</v>
      </c>
      <c r="B475" t="s">
        <v>134</v>
      </c>
      <c r="C475" t="s">
        <v>310</v>
      </c>
      <c r="E475" t="s">
        <v>849</v>
      </c>
      <c r="F475" t="s">
        <v>2318</v>
      </c>
      <c r="G475" t="s">
        <v>4002</v>
      </c>
      <c r="H475" t="s">
        <v>5372</v>
      </c>
      <c r="I475" t="s">
        <v>6049</v>
      </c>
      <c r="J475">
        <v>10029</v>
      </c>
      <c r="K475" t="s">
        <v>6074</v>
      </c>
      <c r="L475" t="s">
        <v>6074</v>
      </c>
      <c r="M475" t="s">
        <v>6338</v>
      </c>
      <c r="N475" t="s">
        <v>7276</v>
      </c>
      <c r="O475" t="s">
        <v>7310</v>
      </c>
      <c r="Q475" t="s">
        <v>7322</v>
      </c>
      <c r="R475" t="s">
        <v>6076</v>
      </c>
      <c r="S475" t="s">
        <v>7324</v>
      </c>
      <c r="T475" t="s">
        <v>7336</v>
      </c>
      <c r="U475" t="s">
        <v>358</v>
      </c>
      <c r="V475">
        <v>1311</v>
      </c>
      <c r="W475" t="s">
        <v>7365</v>
      </c>
      <c r="X475" t="s">
        <v>7372</v>
      </c>
      <c r="Z475" t="s">
        <v>7794</v>
      </c>
      <c r="AA475" t="s">
        <v>9963</v>
      </c>
      <c r="AB475" t="s">
        <v>10609</v>
      </c>
      <c r="AC475">
        <v>13</v>
      </c>
      <c r="AD475" t="s">
        <v>12422</v>
      </c>
      <c r="AE475" t="s">
        <v>12435</v>
      </c>
      <c r="AF475">
        <v>4</v>
      </c>
      <c r="AG475">
        <v>1</v>
      </c>
      <c r="AH475">
        <v>4</v>
      </c>
      <c r="AI475">
        <v>27.66</v>
      </c>
      <c r="AL475" t="s">
        <v>12461</v>
      </c>
      <c r="AM475">
        <v>8138</v>
      </c>
      <c r="AS475">
        <v>87</v>
      </c>
      <c r="AT475" t="s">
        <v>260</v>
      </c>
      <c r="AU475" t="s">
        <v>13096</v>
      </c>
    </row>
    <row r="476" spans="1:48">
      <c r="A476" s="1">
        <f>HYPERLINK("https://cms.ls-nyc.org/matter/dynamic-profile/view/1880854","18-1880854")</f>
        <v>0</v>
      </c>
      <c r="B476" t="s">
        <v>137</v>
      </c>
      <c r="C476" t="s">
        <v>333</v>
      </c>
      <c r="D476" t="s">
        <v>426</v>
      </c>
      <c r="E476" t="s">
        <v>912</v>
      </c>
      <c r="F476" t="s">
        <v>1458</v>
      </c>
      <c r="G476" t="s">
        <v>4003</v>
      </c>
      <c r="H476" t="s">
        <v>5476</v>
      </c>
      <c r="I476" t="s">
        <v>6049</v>
      </c>
      <c r="J476">
        <v>10029</v>
      </c>
      <c r="K476" t="s">
        <v>6074</v>
      </c>
      <c r="L476" t="s">
        <v>6074</v>
      </c>
      <c r="N476" t="s">
        <v>6104</v>
      </c>
      <c r="O476" t="s">
        <v>7306</v>
      </c>
      <c r="P476" t="s">
        <v>7314</v>
      </c>
      <c r="Q476" t="s">
        <v>7322</v>
      </c>
      <c r="R476" t="s">
        <v>6076</v>
      </c>
      <c r="S476" t="s">
        <v>7324</v>
      </c>
      <c r="T476" t="s">
        <v>7336</v>
      </c>
      <c r="U476" t="s">
        <v>333</v>
      </c>
      <c r="V476">
        <v>1650</v>
      </c>
      <c r="W476" t="s">
        <v>7365</v>
      </c>
      <c r="X476" t="s">
        <v>7367</v>
      </c>
      <c r="Y476" t="s">
        <v>7386</v>
      </c>
      <c r="Z476" t="s">
        <v>7795</v>
      </c>
      <c r="AB476" t="s">
        <v>10610</v>
      </c>
      <c r="AC476">
        <v>48</v>
      </c>
      <c r="AD476" t="s">
        <v>12422</v>
      </c>
      <c r="AF476">
        <v>-1</v>
      </c>
      <c r="AG476">
        <v>1</v>
      </c>
      <c r="AH476">
        <v>0</v>
      </c>
      <c r="AI476">
        <v>27.84</v>
      </c>
      <c r="AL476" t="s">
        <v>12460</v>
      </c>
      <c r="AM476">
        <v>3380</v>
      </c>
      <c r="AS476">
        <v>0.75</v>
      </c>
      <c r="AT476" t="s">
        <v>414</v>
      </c>
      <c r="AU476" t="s">
        <v>13107</v>
      </c>
    </row>
    <row r="477" spans="1:48">
      <c r="A477" s="1">
        <f>HYPERLINK("https://cms.ls-nyc.org/matter/dynamic-profile/view/1899158","19-1899158")</f>
        <v>0</v>
      </c>
      <c r="B477" t="s">
        <v>109</v>
      </c>
      <c r="C477" t="s">
        <v>254</v>
      </c>
      <c r="E477" t="s">
        <v>657</v>
      </c>
      <c r="F477" t="s">
        <v>2372</v>
      </c>
      <c r="G477" t="s">
        <v>3809</v>
      </c>
      <c r="H477" t="s">
        <v>5363</v>
      </c>
      <c r="I477" t="s">
        <v>6047</v>
      </c>
      <c r="J477">
        <v>10452</v>
      </c>
      <c r="K477" t="s">
        <v>6074</v>
      </c>
      <c r="L477" t="s">
        <v>6075</v>
      </c>
      <c r="N477" t="s">
        <v>7279</v>
      </c>
      <c r="O477" t="s">
        <v>7307</v>
      </c>
      <c r="Q477" t="s">
        <v>7322</v>
      </c>
      <c r="R477" t="s">
        <v>6074</v>
      </c>
      <c r="S477" t="s">
        <v>7324</v>
      </c>
      <c r="U477" t="s">
        <v>257</v>
      </c>
      <c r="V477">
        <v>1400</v>
      </c>
      <c r="W477" t="s">
        <v>7363</v>
      </c>
      <c r="X477" t="s">
        <v>7376</v>
      </c>
      <c r="Z477" t="s">
        <v>7796</v>
      </c>
      <c r="AC477">
        <v>41</v>
      </c>
      <c r="AD477" t="s">
        <v>12422</v>
      </c>
      <c r="AE477" t="s">
        <v>6110</v>
      </c>
      <c r="AF477">
        <v>1</v>
      </c>
      <c r="AG477">
        <v>1</v>
      </c>
      <c r="AH477">
        <v>2</v>
      </c>
      <c r="AI477">
        <v>28.13</v>
      </c>
      <c r="AL477" t="s">
        <v>3291</v>
      </c>
      <c r="AM477">
        <v>6000</v>
      </c>
      <c r="AS477">
        <v>0</v>
      </c>
      <c r="AU477" t="s">
        <v>13092</v>
      </c>
      <c r="AV477" t="s">
        <v>13145</v>
      </c>
    </row>
    <row r="478" spans="1:48">
      <c r="A478" s="1">
        <f>HYPERLINK("https://cms.ls-nyc.org/matter/dynamic-profile/view/1879466","18-1879466")</f>
        <v>0</v>
      </c>
      <c r="B478" t="s">
        <v>52</v>
      </c>
      <c r="C478" t="s">
        <v>239</v>
      </c>
      <c r="D478" t="s">
        <v>325</v>
      </c>
      <c r="E478" t="s">
        <v>913</v>
      </c>
      <c r="F478" t="s">
        <v>2373</v>
      </c>
      <c r="G478" t="s">
        <v>4004</v>
      </c>
      <c r="H478">
        <v>2</v>
      </c>
      <c r="I478" t="s">
        <v>6052</v>
      </c>
      <c r="J478">
        <v>11414</v>
      </c>
      <c r="K478" t="s">
        <v>6074</v>
      </c>
      <c r="L478" t="s">
        <v>6074</v>
      </c>
      <c r="M478" t="s">
        <v>6339</v>
      </c>
      <c r="N478" t="s">
        <v>7274</v>
      </c>
      <c r="O478" t="s">
        <v>7306</v>
      </c>
      <c r="P478" t="s">
        <v>7314</v>
      </c>
      <c r="Q478" t="s">
        <v>7322</v>
      </c>
      <c r="R478" t="s">
        <v>6076</v>
      </c>
      <c r="S478" t="s">
        <v>7324</v>
      </c>
      <c r="T478" t="s">
        <v>7336</v>
      </c>
      <c r="U478" t="s">
        <v>239</v>
      </c>
      <c r="V478">
        <v>1500</v>
      </c>
      <c r="W478" t="s">
        <v>7361</v>
      </c>
      <c r="X478" t="s">
        <v>7366</v>
      </c>
      <c r="Y478" t="s">
        <v>7386</v>
      </c>
      <c r="Z478" t="s">
        <v>7797</v>
      </c>
      <c r="AA478" t="s">
        <v>9964</v>
      </c>
      <c r="AB478" t="s">
        <v>10611</v>
      </c>
      <c r="AC478">
        <v>2</v>
      </c>
      <c r="AD478" t="s">
        <v>12419</v>
      </c>
      <c r="AE478" t="s">
        <v>6110</v>
      </c>
      <c r="AF478">
        <v>3</v>
      </c>
      <c r="AG478">
        <v>1</v>
      </c>
      <c r="AH478">
        <v>1</v>
      </c>
      <c r="AI478">
        <v>28.21</v>
      </c>
      <c r="AL478" t="s">
        <v>12460</v>
      </c>
      <c r="AM478">
        <v>4644</v>
      </c>
      <c r="AS478">
        <v>0.5</v>
      </c>
      <c r="AT478" t="s">
        <v>325</v>
      </c>
      <c r="AU478" t="s">
        <v>48</v>
      </c>
    </row>
    <row r="479" spans="1:48">
      <c r="A479" s="1">
        <f>HYPERLINK("https://cms.ls-nyc.org/matter/dynamic-profile/view/1881932","18-1881932")</f>
        <v>0</v>
      </c>
      <c r="B479" t="s">
        <v>157</v>
      </c>
      <c r="C479" t="s">
        <v>258</v>
      </c>
      <c r="D479" t="s">
        <v>462</v>
      </c>
      <c r="E479" t="s">
        <v>914</v>
      </c>
      <c r="F479" t="s">
        <v>2374</v>
      </c>
      <c r="G479" t="s">
        <v>4005</v>
      </c>
      <c r="H479" t="s">
        <v>5372</v>
      </c>
      <c r="I479" t="s">
        <v>6043</v>
      </c>
      <c r="J479">
        <v>11233</v>
      </c>
      <c r="K479" t="s">
        <v>6074</v>
      </c>
      <c r="L479" t="s">
        <v>6074</v>
      </c>
      <c r="M479" t="s">
        <v>6340</v>
      </c>
      <c r="N479" t="s">
        <v>7274</v>
      </c>
      <c r="O479" t="s">
        <v>7307</v>
      </c>
      <c r="P479" t="s">
        <v>7315</v>
      </c>
      <c r="Q479" t="s">
        <v>7322</v>
      </c>
      <c r="S479" t="s">
        <v>7324</v>
      </c>
      <c r="U479" t="s">
        <v>462</v>
      </c>
      <c r="V479">
        <v>1515</v>
      </c>
      <c r="W479" t="s">
        <v>7362</v>
      </c>
      <c r="X479" t="s">
        <v>7366</v>
      </c>
      <c r="Y479" t="s">
        <v>7390</v>
      </c>
      <c r="Z479" t="s">
        <v>7798</v>
      </c>
      <c r="AA479" t="s">
        <v>9965</v>
      </c>
      <c r="AB479" t="s">
        <v>10612</v>
      </c>
      <c r="AC479">
        <v>2</v>
      </c>
      <c r="AE479" t="s">
        <v>12438</v>
      </c>
      <c r="AF479">
        <v>2</v>
      </c>
      <c r="AG479">
        <v>1</v>
      </c>
      <c r="AH479">
        <v>1</v>
      </c>
      <c r="AI479">
        <v>28.29</v>
      </c>
      <c r="AL479" t="s">
        <v>12460</v>
      </c>
      <c r="AM479">
        <v>4656</v>
      </c>
      <c r="AS479">
        <v>2.6</v>
      </c>
      <c r="AT479" t="s">
        <v>462</v>
      </c>
      <c r="AU479" t="s">
        <v>13082</v>
      </c>
    </row>
    <row r="480" spans="1:48">
      <c r="A480" s="1">
        <f>HYPERLINK("https://cms.ls-nyc.org/matter/dynamic-profile/view/1882311","18-1882311")</f>
        <v>0</v>
      </c>
      <c r="B480" t="s">
        <v>92</v>
      </c>
      <c r="C480" t="s">
        <v>431</v>
      </c>
      <c r="D480" t="s">
        <v>468</v>
      </c>
      <c r="E480" t="s">
        <v>767</v>
      </c>
      <c r="F480" t="s">
        <v>2285</v>
      </c>
      <c r="G480" t="s">
        <v>4006</v>
      </c>
      <c r="H480" t="s">
        <v>5439</v>
      </c>
      <c r="I480" t="s">
        <v>6043</v>
      </c>
      <c r="J480">
        <v>11213</v>
      </c>
      <c r="K480" t="s">
        <v>6074</v>
      </c>
      <c r="L480" t="s">
        <v>6074</v>
      </c>
      <c r="N480" t="s">
        <v>7275</v>
      </c>
      <c r="O480" t="s">
        <v>7309</v>
      </c>
      <c r="P480" t="s">
        <v>7319</v>
      </c>
      <c r="Q480" t="s">
        <v>7322</v>
      </c>
      <c r="R480" t="s">
        <v>6074</v>
      </c>
      <c r="S480" t="s">
        <v>7324</v>
      </c>
      <c r="U480" t="s">
        <v>7347</v>
      </c>
      <c r="V480">
        <v>728.3099999999999</v>
      </c>
      <c r="W480" t="s">
        <v>7362</v>
      </c>
      <c r="X480" t="s">
        <v>7375</v>
      </c>
      <c r="Y480" t="s">
        <v>7387</v>
      </c>
      <c r="Z480" t="s">
        <v>7799</v>
      </c>
      <c r="AA480" t="s">
        <v>9966</v>
      </c>
      <c r="AB480" t="s">
        <v>10613</v>
      </c>
      <c r="AC480">
        <v>23</v>
      </c>
      <c r="AD480" t="s">
        <v>12422</v>
      </c>
      <c r="AF480">
        <v>41</v>
      </c>
      <c r="AG480">
        <v>3</v>
      </c>
      <c r="AH480">
        <v>3</v>
      </c>
      <c r="AI480">
        <v>28.45</v>
      </c>
      <c r="AL480" t="s">
        <v>12461</v>
      </c>
      <c r="AM480">
        <v>9600</v>
      </c>
      <c r="AP480" t="s">
        <v>12873</v>
      </c>
      <c r="AR480" t="s">
        <v>12957</v>
      </c>
      <c r="AS480">
        <v>1</v>
      </c>
      <c r="AT480" t="s">
        <v>431</v>
      </c>
      <c r="AU480" t="s">
        <v>92</v>
      </c>
    </row>
    <row r="481" spans="1:48">
      <c r="A481" s="1">
        <f>HYPERLINK("https://cms.ls-nyc.org/matter/dynamic-profile/view/1877877","18-1877877")</f>
        <v>0</v>
      </c>
      <c r="B481" t="s">
        <v>77</v>
      </c>
      <c r="C481" t="s">
        <v>432</v>
      </c>
      <c r="D481" t="s">
        <v>266</v>
      </c>
      <c r="E481" t="s">
        <v>915</v>
      </c>
      <c r="F481" t="s">
        <v>2375</v>
      </c>
      <c r="G481" t="s">
        <v>4007</v>
      </c>
      <c r="H481" t="s">
        <v>5382</v>
      </c>
      <c r="I481" t="s">
        <v>6043</v>
      </c>
      <c r="J481">
        <v>11233</v>
      </c>
      <c r="K481" t="s">
        <v>6074</v>
      </c>
      <c r="L481" t="s">
        <v>6074</v>
      </c>
      <c r="M481" t="s">
        <v>6341</v>
      </c>
      <c r="N481" t="s">
        <v>7276</v>
      </c>
      <c r="O481" t="s">
        <v>7306</v>
      </c>
      <c r="P481" t="s">
        <v>7314</v>
      </c>
      <c r="Q481" t="s">
        <v>7322</v>
      </c>
      <c r="S481" t="s">
        <v>7324</v>
      </c>
      <c r="U481" t="s">
        <v>432</v>
      </c>
      <c r="V481">
        <v>607</v>
      </c>
      <c r="W481" t="s">
        <v>7362</v>
      </c>
      <c r="X481" t="s">
        <v>7368</v>
      </c>
      <c r="Y481" t="s">
        <v>7386</v>
      </c>
      <c r="Z481" t="s">
        <v>7800</v>
      </c>
      <c r="AA481" t="s">
        <v>9967</v>
      </c>
      <c r="AB481" t="s">
        <v>10614</v>
      </c>
      <c r="AC481">
        <v>0</v>
      </c>
      <c r="AD481" t="s">
        <v>12422</v>
      </c>
      <c r="AE481" t="s">
        <v>6110</v>
      </c>
      <c r="AF481">
        <v>40</v>
      </c>
      <c r="AG481">
        <v>1</v>
      </c>
      <c r="AH481">
        <v>0</v>
      </c>
      <c r="AI481">
        <v>28.67</v>
      </c>
      <c r="AL481" t="s">
        <v>12460</v>
      </c>
      <c r="AM481">
        <v>3480</v>
      </c>
      <c r="AS481">
        <v>9.5</v>
      </c>
      <c r="AT481" t="s">
        <v>414</v>
      </c>
      <c r="AU481" t="s">
        <v>218</v>
      </c>
    </row>
    <row r="482" spans="1:48">
      <c r="A482" s="1">
        <f>HYPERLINK("https://cms.ls-nyc.org/matter/dynamic-profile/view/1885583","18-1885583")</f>
        <v>0</v>
      </c>
      <c r="B482" t="s">
        <v>76</v>
      </c>
      <c r="C482" t="s">
        <v>266</v>
      </c>
      <c r="E482" t="s">
        <v>915</v>
      </c>
      <c r="F482" t="s">
        <v>2375</v>
      </c>
      <c r="G482" t="s">
        <v>4007</v>
      </c>
      <c r="H482" t="s">
        <v>5382</v>
      </c>
      <c r="I482" t="s">
        <v>6043</v>
      </c>
      <c r="J482">
        <v>11233</v>
      </c>
      <c r="K482" t="s">
        <v>6074</v>
      </c>
      <c r="L482" t="s">
        <v>6074</v>
      </c>
      <c r="M482" t="s">
        <v>6341</v>
      </c>
      <c r="N482" t="s">
        <v>7276</v>
      </c>
      <c r="O482" t="s">
        <v>7308</v>
      </c>
      <c r="Q482" t="s">
        <v>7322</v>
      </c>
      <c r="R482" t="s">
        <v>6076</v>
      </c>
      <c r="S482" t="s">
        <v>7324</v>
      </c>
      <c r="U482" t="s">
        <v>7348</v>
      </c>
      <c r="V482">
        <v>619</v>
      </c>
      <c r="W482" t="s">
        <v>7362</v>
      </c>
      <c r="X482" t="s">
        <v>7368</v>
      </c>
      <c r="Z482" t="s">
        <v>7800</v>
      </c>
      <c r="AA482" t="s">
        <v>9967</v>
      </c>
      <c r="AB482" t="s">
        <v>10614</v>
      </c>
      <c r="AC482">
        <v>34</v>
      </c>
      <c r="AD482" t="s">
        <v>12422</v>
      </c>
      <c r="AE482" t="s">
        <v>6110</v>
      </c>
      <c r="AF482">
        <v>6</v>
      </c>
      <c r="AG482">
        <v>1</v>
      </c>
      <c r="AH482">
        <v>0</v>
      </c>
      <c r="AI482">
        <v>28.67</v>
      </c>
      <c r="AL482" t="s">
        <v>12460</v>
      </c>
      <c r="AM482">
        <v>3480</v>
      </c>
      <c r="AS482">
        <v>18</v>
      </c>
      <c r="AT482" t="s">
        <v>316</v>
      </c>
      <c r="AU482" t="s">
        <v>180</v>
      </c>
    </row>
    <row r="483" spans="1:48">
      <c r="A483" s="1">
        <f>HYPERLINK("https://cms.ls-nyc.org/matter/dynamic-profile/view/1875825","18-1875825")</f>
        <v>0</v>
      </c>
      <c r="B483" t="s">
        <v>77</v>
      </c>
      <c r="C483" t="s">
        <v>281</v>
      </c>
      <c r="D483" t="s">
        <v>429</v>
      </c>
      <c r="E483" t="s">
        <v>916</v>
      </c>
      <c r="F483" t="s">
        <v>2174</v>
      </c>
      <c r="G483" t="s">
        <v>4008</v>
      </c>
      <c r="H483" t="s">
        <v>5518</v>
      </c>
      <c r="I483" t="s">
        <v>6043</v>
      </c>
      <c r="J483">
        <v>11207</v>
      </c>
      <c r="K483" t="s">
        <v>6074</v>
      </c>
      <c r="L483" t="s">
        <v>6074</v>
      </c>
      <c r="M483" t="s">
        <v>6342</v>
      </c>
      <c r="N483" t="s">
        <v>7276</v>
      </c>
      <c r="O483" t="s">
        <v>7306</v>
      </c>
      <c r="P483" t="s">
        <v>7314</v>
      </c>
      <c r="Q483" t="s">
        <v>7322</v>
      </c>
      <c r="R483" t="s">
        <v>6076</v>
      </c>
      <c r="S483" t="s">
        <v>7324</v>
      </c>
      <c r="U483" t="s">
        <v>281</v>
      </c>
      <c r="V483">
        <v>1514</v>
      </c>
      <c r="W483" t="s">
        <v>7362</v>
      </c>
      <c r="Y483" t="s">
        <v>7386</v>
      </c>
      <c r="Z483" t="s">
        <v>7801</v>
      </c>
      <c r="AB483" t="s">
        <v>10615</v>
      </c>
      <c r="AC483">
        <v>23</v>
      </c>
      <c r="AD483" t="s">
        <v>12422</v>
      </c>
      <c r="AF483">
        <v>4</v>
      </c>
      <c r="AG483">
        <v>2</v>
      </c>
      <c r="AH483">
        <v>2</v>
      </c>
      <c r="AI483">
        <v>28.69</v>
      </c>
      <c r="AL483" t="s">
        <v>12460</v>
      </c>
      <c r="AM483">
        <v>7200</v>
      </c>
      <c r="AS483">
        <v>1.25</v>
      </c>
      <c r="AT483" t="s">
        <v>404</v>
      </c>
      <c r="AU483" t="s">
        <v>218</v>
      </c>
    </row>
    <row r="484" spans="1:48">
      <c r="A484" s="1">
        <f>HYPERLINK("https://cms.ls-nyc.org/matter/dynamic-profile/view/1875756","18-1875756")</f>
        <v>0</v>
      </c>
      <c r="B484" t="s">
        <v>78</v>
      </c>
      <c r="C484" t="s">
        <v>353</v>
      </c>
      <c r="D484" t="s">
        <v>408</v>
      </c>
      <c r="E484" t="s">
        <v>917</v>
      </c>
      <c r="F484" t="s">
        <v>2204</v>
      </c>
      <c r="G484" t="s">
        <v>4009</v>
      </c>
      <c r="H484">
        <v>5</v>
      </c>
      <c r="I484" t="s">
        <v>6043</v>
      </c>
      <c r="J484">
        <v>11207</v>
      </c>
      <c r="K484" t="s">
        <v>6074</v>
      </c>
      <c r="L484" t="s">
        <v>6074</v>
      </c>
      <c r="N484" t="s">
        <v>7273</v>
      </c>
      <c r="O484" t="s">
        <v>7307</v>
      </c>
      <c r="P484" t="s">
        <v>7315</v>
      </c>
      <c r="Q484" t="s">
        <v>7322</v>
      </c>
      <c r="R484" t="s">
        <v>6076</v>
      </c>
      <c r="S484" t="s">
        <v>7324</v>
      </c>
      <c r="T484" t="s">
        <v>7336</v>
      </c>
      <c r="U484" t="s">
        <v>353</v>
      </c>
      <c r="V484">
        <v>1000</v>
      </c>
      <c r="W484" t="s">
        <v>7362</v>
      </c>
      <c r="X484" t="s">
        <v>7376</v>
      </c>
      <c r="Y484" t="s">
        <v>7395</v>
      </c>
      <c r="Z484" t="s">
        <v>7802</v>
      </c>
      <c r="AA484" t="s">
        <v>9968</v>
      </c>
      <c r="AB484" t="s">
        <v>10616</v>
      </c>
      <c r="AC484">
        <v>6</v>
      </c>
      <c r="AD484" t="s">
        <v>12422</v>
      </c>
      <c r="AE484" t="s">
        <v>12435</v>
      </c>
      <c r="AF484">
        <v>11</v>
      </c>
      <c r="AG484">
        <v>1</v>
      </c>
      <c r="AH484">
        <v>3</v>
      </c>
      <c r="AI484">
        <v>28.72</v>
      </c>
      <c r="AL484" t="s">
        <v>12461</v>
      </c>
      <c r="AM484">
        <v>7209</v>
      </c>
      <c r="AS484">
        <v>1.7</v>
      </c>
      <c r="AT484" t="s">
        <v>245</v>
      </c>
      <c r="AU484" t="s">
        <v>78</v>
      </c>
    </row>
    <row r="485" spans="1:48">
      <c r="A485" s="1">
        <f>HYPERLINK("https://cms.ls-nyc.org/matter/dynamic-profile/view/1892407","19-1892407")</f>
        <v>0</v>
      </c>
      <c r="B485" t="s">
        <v>84</v>
      </c>
      <c r="C485" t="s">
        <v>337</v>
      </c>
      <c r="E485" t="s">
        <v>918</v>
      </c>
      <c r="F485" t="s">
        <v>2376</v>
      </c>
      <c r="G485" t="s">
        <v>4010</v>
      </c>
      <c r="H485" t="s">
        <v>5519</v>
      </c>
      <c r="I485" t="s">
        <v>6043</v>
      </c>
      <c r="J485">
        <v>11203</v>
      </c>
      <c r="K485" t="s">
        <v>6074</v>
      </c>
      <c r="L485" t="s">
        <v>6074</v>
      </c>
      <c r="M485" t="s">
        <v>6343</v>
      </c>
      <c r="N485" t="s">
        <v>7273</v>
      </c>
      <c r="O485" t="s">
        <v>7308</v>
      </c>
      <c r="Q485" t="s">
        <v>7322</v>
      </c>
      <c r="S485" t="s">
        <v>7324</v>
      </c>
      <c r="U485" t="s">
        <v>337</v>
      </c>
      <c r="V485">
        <v>0</v>
      </c>
      <c r="W485" t="s">
        <v>7362</v>
      </c>
      <c r="Z485" t="s">
        <v>7803</v>
      </c>
      <c r="AB485" t="s">
        <v>10617</v>
      </c>
      <c r="AC485">
        <v>0</v>
      </c>
      <c r="AF485">
        <v>0</v>
      </c>
      <c r="AG485">
        <v>1</v>
      </c>
      <c r="AH485">
        <v>0</v>
      </c>
      <c r="AI485">
        <v>28.82</v>
      </c>
      <c r="AL485" t="s">
        <v>12460</v>
      </c>
      <c r="AM485">
        <v>3600</v>
      </c>
      <c r="AS485">
        <v>17.6</v>
      </c>
      <c r="AT485" t="s">
        <v>241</v>
      </c>
      <c r="AU485" t="s">
        <v>88</v>
      </c>
    </row>
    <row r="486" spans="1:48">
      <c r="A486" s="1">
        <f>HYPERLINK("https://cms.ls-nyc.org/matter/dynamic-profile/view/1881209","18-1881209")</f>
        <v>0</v>
      </c>
      <c r="B486" t="s">
        <v>115</v>
      </c>
      <c r="C486" t="s">
        <v>240</v>
      </c>
      <c r="E486" t="s">
        <v>787</v>
      </c>
      <c r="F486" t="s">
        <v>2261</v>
      </c>
      <c r="G486" t="s">
        <v>3869</v>
      </c>
      <c r="H486">
        <v>315</v>
      </c>
      <c r="I486" t="s">
        <v>6047</v>
      </c>
      <c r="J486">
        <v>10459</v>
      </c>
      <c r="K486" t="s">
        <v>6074</v>
      </c>
      <c r="L486" t="s">
        <v>6074</v>
      </c>
      <c r="N486" t="s">
        <v>7293</v>
      </c>
      <c r="O486" t="s">
        <v>7312</v>
      </c>
      <c r="Q486" t="s">
        <v>7322</v>
      </c>
      <c r="R486" t="s">
        <v>6076</v>
      </c>
      <c r="S486" t="s">
        <v>7331</v>
      </c>
      <c r="U486" t="s">
        <v>240</v>
      </c>
      <c r="V486">
        <v>1640.18</v>
      </c>
      <c r="W486" t="s">
        <v>7363</v>
      </c>
      <c r="X486" t="s">
        <v>7368</v>
      </c>
      <c r="Z486" t="s">
        <v>7645</v>
      </c>
      <c r="AB486" t="s">
        <v>10475</v>
      </c>
      <c r="AC486">
        <v>123</v>
      </c>
      <c r="AD486" t="s">
        <v>12422</v>
      </c>
      <c r="AE486" t="s">
        <v>6110</v>
      </c>
      <c r="AF486">
        <v>11</v>
      </c>
      <c r="AG486">
        <v>2</v>
      </c>
      <c r="AH486">
        <v>0</v>
      </c>
      <c r="AI486">
        <v>29.16</v>
      </c>
      <c r="AL486" t="s">
        <v>12460</v>
      </c>
      <c r="AM486">
        <v>4800</v>
      </c>
      <c r="AS486">
        <v>102.8</v>
      </c>
      <c r="AT486" t="s">
        <v>260</v>
      </c>
      <c r="AU486" t="s">
        <v>13092</v>
      </c>
    </row>
    <row r="487" spans="1:48">
      <c r="A487" s="1">
        <f>HYPERLINK("https://cms.ls-nyc.org/matter/dynamic-profile/view/1881190","18-1881190")</f>
        <v>0</v>
      </c>
      <c r="B487" t="s">
        <v>115</v>
      </c>
      <c r="C487" t="s">
        <v>240</v>
      </c>
      <c r="E487" t="s">
        <v>787</v>
      </c>
      <c r="F487" t="s">
        <v>2261</v>
      </c>
      <c r="G487" t="s">
        <v>3869</v>
      </c>
      <c r="H487">
        <v>315</v>
      </c>
      <c r="I487" t="s">
        <v>6047</v>
      </c>
      <c r="J487">
        <v>10459</v>
      </c>
      <c r="K487" t="s">
        <v>6074</v>
      </c>
      <c r="L487" t="s">
        <v>6074</v>
      </c>
      <c r="M487" t="s">
        <v>6344</v>
      </c>
      <c r="N487" t="s">
        <v>7276</v>
      </c>
      <c r="O487" t="s">
        <v>7308</v>
      </c>
      <c r="Q487" t="s">
        <v>7322</v>
      </c>
      <c r="R487" t="s">
        <v>6076</v>
      </c>
      <c r="S487" t="s">
        <v>7324</v>
      </c>
      <c r="T487" t="s">
        <v>7336</v>
      </c>
      <c r="U487" t="s">
        <v>240</v>
      </c>
      <c r="V487">
        <v>1640.18</v>
      </c>
      <c r="W487" t="s">
        <v>7363</v>
      </c>
      <c r="X487" t="s">
        <v>7368</v>
      </c>
      <c r="Z487" t="s">
        <v>7645</v>
      </c>
      <c r="AB487" t="s">
        <v>10475</v>
      </c>
      <c r="AC487">
        <v>123</v>
      </c>
      <c r="AD487" t="s">
        <v>12422</v>
      </c>
      <c r="AE487" t="s">
        <v>6110</v>
      </c>
      <c r="AF487">
        <v>11</v>
      </c>
      <c r="AG487">
        <v>2</v>
      </c>
      <c r="AH487">
        <v>0</v>
      </c>
      <c r="AI487">
        <v>29.16</v>
      </c>
      <c r="AL487" t="s">
        <v>12460</v>
      </c>
      <c r="AM487">
        <v>4800</v>
      </c>
      <c r="AS487">
        <v>58.3</v>
      </c>
      <c r="AT487" t="s">
        <v>445</v>
      </c>
      <c r="AU487" t="s">
        <v>13092</v>
      </c>
    </row>
    <row r="488" spans="1:48">
      <c r="A488" s="1">
        <f>HYPERLINK("https://cms.ls-nyc.org/matter/dynamic-profile/view/1882286","18-1882286")</f>
        <v>0</v>
      </c>
      <c r="B488" t="s">
        <v>103</v>
      </c>
      <c r="C488" t="s">
        <v>409</v>
      </c>
      <c r="E488" t="s">
        <v>919</v>
      </c>
      <c r="F488" t="s">
        <v>2059</v>
      </c>
      <c r="G488" t="s">
        <v>3810</v>
      </c>
      <c r="H488" t="s">
        <v>5520</v>
      </c>
      <c r="I488" t="s">
        <v>6047</v>
      </c>
      <c r="J488">
        <v>10451</v>
      </c>
      <c r="K488" t="s">
        <v>6074</v>
      </c>
      <c r="L488" t="s">
        <v>6074</v>
      </c>
      <c r="M488" t="s">
        <v>6201</v>
      </c>
      <c r="N488" t="s">
        <v>7273</v>
      </c>
      <c r="O488" t="s">
        <v>7308</v>
      </c>
      <c r="Q488" t="s">
        <v>7322</v>
      </c>
      <c r="R488" t="s">
        <v>6074</v>
      </c>
      <c r="S488" t="s">
        <v>7324</v>
      </c>
      <c r="U488" t="s">
        <v>472</v>
      </c>
      <c r="V488">
        <v>1053.15</v>
      </c>
      <c r="W488" t="s">
        <v>7363</v>
      </c>
      <c r="X488" t="s">
        <v>7376</v>
      </c>
      <c r="Z488" t="s">
        <v>7804</v>
      </c>
      <c r="AB488" t="s">
        <v>10618</v>
      </c>
      <c r="AC488">
        <v>100</v>
      </c>
      <c r="AD488" t="s">
        <v>12422</v>
      </c>
      <c r="AE488" t="s">
        <v>6110</v>
      </c>
      <c r="AF488">
        <v>21</v>
      </c>
      <c r="AG488">
        <v>2</v>
      </c>
      <c r="AH488">
        <v>0</v>
      </c>
      <c r="AI488">
        <v>29.16</v>
      </c>
      <c r="AL488" t="s">
        <v>12461</v>
      </c>
      <c r="AM488">
        <v>4800</v>
      </c>
      <c r="AS488">
        <v>0</v>
      </c>
      <c r="AU488" t="s">
        <v>13095</v>
      </c>
    </row>
    <row r="489" spans="1:48">
      <c r="A489" s="1">
        <f>HYPERLINK("https://cms.ls-nyc.org/matter/dynamic-profile/view/1883017","18-1883017")</f>
        <v>0</v>
      </c>
      <c r="B489" t="s">
        <v>52</v>
      </c>
      <c r="C489" t="s">
        <v>416</v>
      </c>
      <c r="D489" t="s">
        <v>412</v>
      </c>
      <c r="E489" t="s">
        <v>920</v>
      </c>
      <c r="F489" t="s">
        <v>2377</v>
      </c>
      <c r="G489" t="s">
        <v>4011</v>
      </c>
      <c r="H489">
        <v>11</v>
      </c>
      <c r="I489" t="s">
        <v>6044</v>
      </c>
      <c r="J489">
        <v>11105</v>
      </c>
      <c r="K489" t="s">
        <v>6074</v>
      </c>
      <c r="L489" t="s">
        <v>6074</v>
      </c>
      <c r="M489" t="s">
        <v>6345</v>
      </c>
      <c r="N489" t="s">
        <v>7276</v>
      </c>
      <c r="O489" t="s">
        <v>7306</v>
      </c>
      <c r="P489" t="s">
        <v>7314</v>
      </c>
      <c r="Q489" t="s">
        <v>7322</v>
      </c>
      <c r="R489" t="s">
        <v>6076</v>
      </c>
      <c r="S489" t="s">
        <v>7324</v>
      </c>
      <c r="T489" t="s">
        <v>7336</v>
      </c>
      <c r="U489" t="s">
        <v>416</v>
      </c>
      <c r="V489">
        <v>1176</v>
      </c>
      <c r="W489" t="s">
        <v>7361</v>
      </c>
      <c r="X489" t="s">
        <v>7366</v>
      </c>
      <c r="Y489" t="s">
        <v>7386</v>
      </c>
      <c r="Z489" t="s">
        <v>7805</v>
      </c>
      <c r="AB489" t="s">
        <v>10619</v>
      </c>
      <c r="AC489">
        <v>12</v>
      </c>
      <c r="AD489" t="s">
        <v>12422</v>
      </c>
      <c r="AE489" t="s">
        <v>6110</v>
      </c>
      <c r="AF489">
        <v>35</v>
      </c>
      <c r="AG489">
        <v>1</v>
      </c>
      <c r="AH489">
        <v>0</v>
      </c>
      <c r="AI489">
        <v>29.65</v>
      </c>
      <c r="AL489" t="s">
        <v>12460</v>
      </c>
      <c r="AM489">
        <v>3600</v>
      </c>
      <c r="AS489">
        <v>4.2</v>
      </c>
      <c r="AT489" t="s">
        <v>460</v>
      </c>
      <c r="AU489" t="s">
        <v>48</v>
      </c>
    </row>
    <row r="490" spans="1:48">
      <c r="A490" s="1">
        <f>HYPERLINK("https://cms.ls-nyc.org/matter/dynamic-profile/view/1898695","19-1898695")</f>
        <v>0</v>
      </c>
      <c r="B490" t="s">
        <v>69</v>
      </c>
      <c r="C490" t="s">
        <v>309</v>
      </c>
      <c r="E490" t="s">
        <v>921</v>
      </c>
      <c r="F490" t="s">
        <v>2378</v>
      </c>
      <c r="G490" t="s">
        <v>3730</v>
      </c>
      <c r="H490" t="s">
        <v>5416</v>
      </c>
      <c r="I490" t="s">
        <v>6043</v>
      </c>
      <c r="J490">
        <v>11225</v>
      </c>
      <c r="K490" t="s">
        <v>6075</v>
      </c>
      <c r="L490" t="s">
        <v>6075</v>
      </c>
      <c r="O490" t="s">
        <v>7307</v>
      </c>
      <c r="Q490" t="s">
        <v>7322</v>
      </c>
      <c r="S490" t="s">
        <v>7324</v>
      </c>
      <c r="U490" t="s">
        <v>309</v>
      </c>
      <c r="V490">
        <v>0</v>
      </c>
      <c r="W490" t="s">
        <v>7362</v>
      </c>
      <c r="Z490" t="s">
        <v>7806</v>
      </c>
      <c r="AC490">
        <v>0</v>
      </c>
      <c r="AF490">
        <v>0</v>
      </c>
      <c r="AG490">
        <v>3</v>
      </c>
      <c r="AH490">
        <v>6</v>
      </c>
      <c r="AI490">
        <v>30.43</v>
      </c>
      <c r="AL490" t="s">
        <v>12460</v>
      </c>
      <c r="AM490">
        <v>14560</v>
      </c>
      <c r="AS490">
        <v>1.1</v>
      </c>
      <c r="AT490" t="s">
        <v>260</v>
      </c>
      <c r="AU490" t="s">
        <v>69</v>
      </c>
    </row>
    <row r="491" spans="1:48">
      <c r="A491" s="1">
        <f>HYPERLINK("https://cms.ls-nyc.org/matter/dynamic-profile/view/1887724","19-1887724")</f>
        <v>0</v>
      </c>
      <c r="B491" t="s">
        <v>134</v>
      </c>
      <c r="C491" t="s">
        <v>310</v>
      </c>
      <c r="D491" t="s">
        <v>395</v>
      </c>
      <c r="E491" t="s">
        <v>922</v>
      </c>
      <c r="F491" t="s">
        <v>2379</v>
      </c>
      <c r="G491" t="s">
        <v>4012</v>
      </c>
      <c r="H491" t="s">
        <v>5355</v>
      </c>
      <c r="I491" t="s">
        <v>6049</v>
      </c>
      <c r="J491">
        <v>10029</v>
      </c>
      <c r="K491" t="s">
        <v>6074</v>
      </c>
      <c r="L491" t="s">
        <v>6074</v>
      </c>
      <c r="N491" t="s">
        <v>6104</v>
      </c>
      <c r="O491" t="s">
        <v>7306</v>
      </c>
      <c r="P491" t="s">
        <v>7314</v>
      </c>
      <c r="Q491" t="s">
        <v>7322</v>
      </c>
      <c r="R491" t="s">
        <v>6076</v>
      </c>
      <c r="S491" t="s">
        <v>7324</v>
      </c>
      <c r="T491" t="s">
        <v>7336</v>
      </c>
      <c r="U491" t="s">
        <v>358</v>
      </c>
      <c r="V491">
        <v>838</v>
      </c>
      <c r="W491" t="s">
        <v>7365</v>
      </c>
      <c r="X491" t="s">
        <v>7305</v>
      </c>
      <c r="Y491" t="s">
        <v>7386</v>
      </c>
      <c r="Z491" t="s">
        <v>7807</v>
      </c>
      <c r="AB491" t="s">
        <v>10620</v>
      </c>
      <c r="AC491">
        <v>56</v>
      </c>
      <c r="AD491" t="s">
        <v>12422</v>
      </c>
      <c r="AE491" t="s">
        <v>6110</v>
      </c>
      <c r="AF491">
        <v>3</v>
      </c>
      <c r="AG491">
        <v>1</v>
      </c>
      <c r="AH491">
        <v>0</v>
      </c>
      <c r="AI491">
        <v>30.44</v>
      </c>
      <c r="AL491" t="s">
        <v>12460</v>
      </c>
      <c r="AM491">
        <v>3696</v>
      </c>
      <c r="AS491">
        <v>2.6</v>
      </c>
      <c r="AT491" t="s">
        <v>358</v>
      </c>
      <c r="AU491" t="s">
        <v>13079</v>
      </c>
    </row>
    <row r="492" spans="1:48">
      <c r="A492" s="1">
        <f>HYPERLINK("https://cms.ls-nyc.org/matter/dynamic-profile/view/1872005","18-1872005")</f>
        <v>0</v>
      </c>
      <c r="B492" t="s">
        <v>96</v>
      </c>
      <c r="C492" t="s">
        <v>388</v>
      </c>
      <c r="D492" t="s">
        <v>326</v>
      </c>
      <c r="E492" t="s">
        <v>923</v>
      </c>
      <c r="F492" t="s">
        <v>2380</v>
      </c>
      <c r="G492" t="s">
        <v>4013</v>
      </c>
      <c r="H492" t="s">
        <v>5521</v>
      </c>
      <c r="I492" t="s">
        <v>6047</v>
      </c>
      <c r="J492">
        <v>10452</v>
      </c>
      <c r="K492" t="s">
        <v>6074</v>
      </c>
      <c r="L492" t="s">
        <v>6074</v>
      </c>
      <c r="N492" t="s">
        <v>7281</v>
      </c>
      <c r="O492" t="s">
        <v>7307</v>
      </c>
      <c r="P492" t="s">
        <v>7315</v>
      </c>
      <c r="Q492" t="s">
        <v>7322</v>
      </c>
      <c r="R492" t="s">
        <v>6076</v>
      </c>
      <c r="S492" t="s">
        <v>7324</v>
      </c>
      <c r="U492" t="s">
        <v>462</v>
      </c>
      <c r="V492">
        <v>0</v>
      </c>
      <c r="W492" t="s">
        <v>7363</v>
      </c>
      <c r="X492" t="s">
        <v>7376</v>
      </c>
      <c r="Y492" t="s">
        <v>7387</v>
      </c>
      <c r="Z492" t="s">
        <v>7808</v>
      </c>
      <c r="AB492" t="s">
        <v>10621</v>
      </c>
      <c r="AC492">
        <v>112</v>
      </c>
      <c r="AD492" t="s">
        <v>12430</v>
      </c>
      <c r="AE492" t="s">
        <v>6110</v>
      </c>
      <c r="AF492">
        <v>1</v>
      </c>
      <c r="AG492">
        <v>3</v>
      </c>
      <c r="AH492">
        <v>0</v>
      </c>
      <c r="AI492">
        <v>30.55</v>
      </c>
      <c r="AL492" t="s">
        <v>12460</v>
      </c>
      <c r="AM492">
        <v>6348</v>
      </c>
      <c r="AS492">
        <v>0.4</v>
      </c>
      <c r="AT492" t="s">
        <v>462</v>
      </c>
      <c r="AU492" t="s">
        <v>13092</v>
      </c>
    </row>
    <row r="493" spans="1:48">
      <c r="A493" s="1">
        <f>HYPERLINK("https://cms.ls-nyc.org/matter/dynamic-profile/view/1871030","18-1871030")</f>
        <v>0</v>
      </c>
      <c r="B493" t="s">
        <v>55</v>
      </c>
      <c r="C493" t="s">
        <v>328</v>
      </c>
      <c r="D493" t="s">
        <v>378</v>
      </c>
      <c r="E493" t="s">
        <v>924</v>
      </c>
      <c r="F493" t="s">
        <v>2381</v>
      </c>
      <c r="G493" t="s">
        <v>4014</v>
      </c>
      <c r="H493" t="s">
        <v>5387</v>
      </c>
      <c r="I493" t="s">
        <v>6025</v>
      </c>
      <c r="J493">
        <v>11691</v>
      </c>
      <c r="K493" t="s">
        <v>6074</v>
      </c>
      <c r="L493" t="s">
        <v>6074</v>
      </c>
      <c r="M493" t="s">
        <v>6346</v>
      </c>
      <c r="N493" t="s">
        <v>7274</v>
      </c>
      <c r="O493" t="s">
        <v>7306</v>
      </c>
      <c r="P493" t="s">
        <v>7314</v>
      </c>
      <c r="Q493" t="s">
        <v>7322</v>
      </c>
      <c r="R493" t="s">
        <v>6076</v>
      </c>
      <c r="S493" t="s">
        <v>7324</v>
      </c>
      <c r="T493" t="s">
        <v>7336</v>
      </c>
      <c r="U493" t="s">
        <v>7344</v>
      </c>
      <c r="V493">
        <v>1956</v>
      </c>
      <c r="W493" t="s">
        <v>7361</v>
      </c>
      <c r="X493" t="s">
        <v>7366</v>
      </c>
      <c r="Y493" t="s">
        <v>7386</v>
      </c>
      <c r="Z493" t="s">
        <v>7809</v>
      </c>
      <c r="AA493" t="s">
        <v>9969</v>
      </c>
      <c r="AB493" t="s">
        <v>10622</v>
      </c>
      <c r="AC493">
        <v>4</v>
      </c>
      <c r="AD493" t="s">
        <v>12419</v>
      </c>
      <c r="AE493" t="s">
        <v>6110</v>
      </c>
      <c r="AF493">
        <v>2</v>
      </c>
      <c r="AG493">
        <v>3</v>
      </c>
      <c r="AH493">
        <v>2</v>
      </c>
      <c r="AI493">
        <v>30.59</v>
      </c>
      <c r="AL493" t="s">
        <v>12460</v>
      </c>
      <c r="AM493">
        <v>9000</v>
      </c>
      <c r="AS493">
        <v>2.05</v>
      </c>
      <c r="AT493" t="s">
        <v>231</v>
      </c>
      <c r="AU493" t="s">
        <v>189</v>
      </c>
    </row>
    <row r="494" spans="1:48">
      <c r="A494" s="1">
        <f>HYPERLINK("https://cms.ls-nyc.org/matter/dynamic-profile/view/1875223","18-1875223")</f>
        <v>0</v>
      </c>
      <c r="B494" t="s">
        <v>52</v>
      </c>
      <c r="C494" t="s">
        <v>427</v>
      </c>
      <c r="D494" t="s">
        <v>290</v>
      </c>
      <c r="E494" t="s">
        <v>925</v>
      </c>
      <c r="F494" t="s">
        <v>2382</v>
      </c>
      <c r="G494" t="s">
        <v>4015</v>
      </c>
      <c r="I494" t="s">
        <v>6053</v>
      </c>
      <c r="J494">
        <v>11364</v>
      </c>
      <c r="K494" t="s">
        <v>6074</v>
      </c>
      <c r="L494" t="s">
        <v>6074</v>
      </c>
      <c r="M494" t="s">
        <v>6347</v>
      </c>
      <c r="N494" t="s">
        <v>7276</v>
      </c>
      <c r="O494" t="s">
        <v>7306</v>
      </c>
      <c r="P494" t="s">
        <v>7314</v>
      </c>
      <c r="Q494" t="s">
        <v>7323</v>
      </c>
      <c r="R494" t="s">
        <v>6076</v>
      </c>
      <c r="S494" t="s">
        <v>7324</v>
      </c>
      <c r="T494" t="s">
        <v>7336</v>
      </c>
      <c r="U494" t="s">
        <v>427</v>
      </c>
      <c r="V494">
        <v>3400</v>
      </c>
      <c r="W494" t="s">
        <v>7361</v>
      </c>
      <c r="X494" t="s">
        <v>7369</v>
      </c>
      <c r="Y494" t="s">
        <v>7386</v>
      </c>
      <c r="Z494" t="s">
        <v>7810</v>
      </c>
      <c r="AA494" t="s">
        <v>6110</v>
      </c>
      <c r="AB494" t="s">
        <v>10623</v>
      </c>
      <c r="AC494">
        <v>1</v>
      </c>
      <c r="AD494" t="s">
        <v>12419</v>
      </c>
      <c r="AE494" t="s">
        <v>6110</v>
      </c>
      <c r="AF494">
        <v>1</v>
      </c>
      <c r="AG494">
        <v>1</v>
      </c>
      <c r="AH494">
        <v>4</v>
      </c>
      <c r="AI494">
        <v>30.59</v>
      </c>
      <c r="AJ494" t="s">
        <v>12443</v>
      </c>
      <c r="AK494" t="s">
        <v>12455</v>
      </c>
      <c r="AL494" t="s">
        <v>12460</v>
      </c>
      <c r="AM494">
        <v>9000</v>
      </c>
      <c r="AS494">
        <v>1.3</v>
      </c>
      <c r="AT494" t="s">
        <v>290</v>
      </c>
      <c r="AU494" t="s">
        <v>52</v>
      </c>
    </row>
    <row r="495" spans="1:48">
      <c r="A495" s="1">
        <f>HYPERLINK("https://cms.ls-nyc.org/matter/dynamic-profile/view/1881652","18-1881652")</f>
        <v>0</v>
      </c>
      <c r="B495" t="s">
        <v>131</v>
      </c>
      <c r="C495" t="s">
        <v>298</v>
      </c>
      <c r="D495" t="s">
        <v>298</v>
      </c>
      <c r="E495" t="s">
        <v>926</v>
      </c>
      <c r="F495" t="s">
        <v>2383</v>
      </c>
      <c r="G495" t="s">
        <v>4016</v>
      </c>
      <c r="H495">
        <v>704</v>
      </c>
      <c r="I495" t="s">
        <v>6049</v>
      </c>
      <c r="J495">
        <v>10029</v>
      </c>
      <c r="K495" t="s">
        <v>6074</v>
      </c>
      <c r="L495" t="s">
        <v>6076</v>
      </c>
      <c r="N495" t="s">
        <v>7278</v>
      </c>
      <c r="O495" t="s">
        <v>7307</v>
      </c>
      <c r="P495" t="s">
        <v>7315</v>
      </c>
      <c r="Q495" t="s">
        <v>7322</v>
      </c>
      <c r="R495" t="s">
        <v>6076</v>
      </c>
      <c r="S495" t="s">
        <v>7324</v>
      </c>
      <c r="U495" t="s">
        <v>298</v>
      </c>
      <c r="V495">
        <v>14</v>
      </c>
      <c r="W495" t="s">
        <v>7365</v>
      </c>
      <c r="X495" t="s">
        <v>7368</v>
      </c>
      <c r="Y495" t="s">
        <v>7387</v>
      </c>
      <c r="Z495" t="s">
        <v>7811</v>
      </c>
      <c r="AB495" t="s">
        <v>10624</v>
      </c>
      <c r="AC495">
        <v>426</v>
      </c>
      <c r="AD495" t="s">
        <v>12423</v>
      </c>
      <c r="AE495" t="s">
        <v>12435</v>
      </c>
      <c r="AF495">
        <v>0</v>
      </c>
      <c r="AG495">
        <v>3</v>
      </c>
      <c r="AH495">
        <v>2</v>
      </c>
      <c r="AI495">
        <v>30.71</v>
      </c>
      <c r="AL495" t="s">
        <v>12460</v>
      </c>
      <c r="AM495">
        <v>9036</v>
      </c>
      <c r="AN495" t="s">
        <v>12538</v>
      </c>
      <c r="AS495">
        <v>0</v>
      </c>
      <c r="AU495" t="s">
        <v>13110</v>
      </c>
      <c r="AV495" t="s">
        <v>6110</v>
      </c>
    </row>
    <row r="496" spans="1:48">
      <c r="A496" s="1">
        <f>HYPERLINK("https://cms.ls-nyc.org/matter/dynamic-profile/view/1873954","18-1873954")</f>
        <v>0</v>
      </c>
      <c r="B496" t="s">
        <v>52</v>
      </c>
      <c r="C496" t="s">
        <v>231</v>
      </c>
      <c r="D496" t="s">
        <v>297</v>
      </c>
      <c r="E496" t="s">
        <v>927</v>
      </c>
      <c r="F496" t="s">
        <v>1563</v>
      </c>
      <c r="G496" t="s">
        <v>4017</v>
      </c>
      <c r="H496" t="s">
        <v>5346</v>
      </c>
      <c r="I496" t="s">
        <v>6025</v>
      </c>
      <c r="J496">
        <v>11691</v>
      </c>
      <c r="K496" t="s">
        <v>6074</v>
      </c>
      <c r="L496" t="s">
        <v>6074</v>
      </c>
      <c r="M496" t="s">
        <v>6348</v>
      </c>
      <c r="N496" t="s">
        <v>7276</v>
      </c>
      <c r="O496" t="s">
        <v>7308</v>
      </c>
      <c r="P496" t="s">
        <v>7316</v>
      </c>
      <c r="Q496" t="s">
        <v>7322</v>
      </c>
      <c r="R496" t="s">
        <v>6076</v>
      </c>
      <c r="S496" t="s">
        <v>7324</v>
      </c>
      <c r="T496" t="s">
        <v>7338</v>
      </c>
      <c r="U496" t="s">
        <v>231</v>
      </c>
      <c r="V496">
        <v>2221</v>
      </c>
      <c r="W496" t="s">
        <v>7361</v>
      </c>
      <c r="X496" t="s">
        <v>7366</v>
      </c>
      <c r="Y496" t="s">
        <v>7388</v>
      </c>
      <c r="Z496" t="s">
        <v>7812</v>
      </c>
      <c r="AA496" t="s">
        <v>9970</v>
      </c>
      <c r="AB496" t="s">
        <v>10625</v>
      </c>
      <c r="AC496">
        <v>1</v>
      </c>
      <c r="AD496" t="s">
        <v>12419</v>
      </c>
      <c r="AE496" t="s">
        <v>12436</v>
      </c>
      <c r="AF496">
        <v>3</v>
      </c>
      <c r="AG496">
        <v>2</v>
      </c>
      <c r="AH496">
        <v>2</v>
      </c>
      <c r="AI496">
        <v>31.08</v>
      </c>
      <c r="AL496" t="s">
        <v>12460</v>
      </c>
      <c r="AM496">
        <v>7800</v>
      </c>
      <c r="AO496" t="s">
        <v>12850</v>
      </c>
      <c r="AP496" t="s">
        <v>12858</v>
      </c>
      <c r="AQ496" t="s">
        <v>12909</v>
      </c>
      <c r="AR496" t="s">
        <v>12958</v>
      </c>
      <c r="AS496">
        <v>35.8</v>
      </c>
      <c r="AT496" t="s">
        <v>412</v>
      </c>
      <c r="AU496" t="s">
        <v>48</v>
      </c>
    </row>
    <row r="497" spans="1:48">
      <c r="A497" s="1">
        <f>HYPERLINK("https://cms.ls-nyc.org/matter/dynamic-profile/view/1889301","19-1889301")</f>
        <v>0</v>
      </c>
      <c r="B497" t="s">
        <v>134</v>
      </c>
      <c r="C497" t="s">
        <v>261</v>
      </c>
      <c r="E497" t="s">
        <v>928</v>
      </c>
      <c r="F497" t="s">
        <v>2384</v>
      </c>
      <c r="G497" t="s">
        <v>4018</v>
      </c>
      <c r="H497" t="s">
        <v>5372</v>
      </c>
      <c r="I497" t="s">
        <v>6049</v>
      </c>
      <c r="J497">
        <v>10035</v>
      </c>
      <c r="K497" t="s">
        <v>6074</v>
      </c>
      <c r="L497" t="s">
        <v>6074</v>
      </c>
      <c r="M497" t="s">
        <v>6349</v>
      </c>
      <c r="N497" t="s">
        <v>7276</v>
      </c>
      <c r="O497" t="s">
        <v>7308</v>
      </c>
      <c r="Q497" t="s">
        <v>7322</v>
      </c>
      <c r="R497" t="s">
        <v>6076</v>
      </c>
      <c r="S497" t="s">
        <v>7324</v>
      </c>
      <c r="T497" t="s">
        <v>7336</v>
      </c>
      <c r="U497" t="s">
        <v>371</v>
      </c>
      <c r="V497">
        <v>817.16</v>
      </c>
      <c r="W497" t="s">
        <v>7365</v>
      </c>
      <c r="X497" t="s">
        <v>7368</v>
      </c>
      <c r="Z497" t="s">
        <v>7813</v>
      </c>
      <c r="AA497" t="s">
        <v>9971</v>
      </c>
      <c r="AB497" t="s">
        <v>10626</v>
      </c>
      <c r="AC497">
        <v>4</v>
      </c>
      <c r="AD497" t="s">
        <v>12425</v>
      </c>
      <c r="AE497" t="s">
        <v>12434</v>
      </c>
      <c r="AF497">
        <v>19</v>
      </c>
      <c r="AG497">
        <v>3</v>
      </c>
      <c r="AH497">
        <v>0</v>
      </c>
      <c r="AI497">
        <v>31.39</v>
      </c>
      <c r="AL497" t="s">
        <v>12461</v>
      </c>
      <c r="AM497">
        <v>6696</v>
      </c>
      <c r="AS497">
        <v>19</v>
      </c>
      <c r="AT497" t="s">
        <v>294</v>
      </c>
      <c r="AU497" t="s">
        <v>13109</v>
      </c>
    </row>
    <row r="498" spans="1:48">
      <c r="A498" s="1">
        <f>HYPERLINK("https://cms.ls-nyc.org/matter/dynamic-profile/view/1873894","18-1873894")</f>
        <v>0</v>
      </c>
      <c r="B498" t="s">
        <v>111</v>
      </c>
      <c r="C498" t="s">
        <v>231</v>
      </c>
      <c r="D498" t="s">
        <v>468</v>
      </c>
      <c r="E498" t="s">
        <v>929</v>
      </c>
      <c r="F498" t="s">
        <v>2385</v>
      </c>
      <c r="G498" t="s">
        <v>4019</v>
      </c>
      <c r="H498" t="s">
        <v>5490</v>
      </c>
      <c r="I498" t="s">
        <v>6047</v>
      </c>
      <c r="J498">
        <v>10453</v>
      </c>
      <c r="K498" t="s">
        <v>6074</v>
      </c>
      <c r="L498" t="s">
        <v>6074</v>
      </c>
      <c r="M498" t="s">
        <v>6350</v>
      </c>
      <c r="N498" t="s">
        <v>7276</v>
      </c>
      <c r="O498" t="s">
        <v>7308</v>
      </c>
      <c r="P498" t="s">
        <v>7316</v>
      </c>
      <c r="Q498" t="s">
        <v>7322</v>
      </c>
      <c r="R498" t="s">
        <v>6076</v>
      </c>
      <c r="S498" t="s">
        <v>7324</v>
      </c>
      <c r="T498" t="s">
        <v>7336</v>
      </c>
      <c r="U498" t="s">
        <v>231</v>
      </c>
      <c r="V498">
        <v>1530</v>
      </c>
      <c r="W498" t="s">
        <v>7363</v>
      </c>
      <c r="X498" t="s">
        <v>7379</v>
      </c>
      <c r="Y498" t="s">
        <v>7388</v>
      </c>
      <c r="Z498" t="s">
        <v>7814</v>
      </c>
      <c r="AA498" t="s">
        <v>9972</v>
      </c>
      <c r="AB498" t="s">
        <v>10627</v>
      </c>
      <c r="AC498">
        <v>21</v>
      </c>
      <c r="AD498" t="s">
        <v>6322</v>
      </c>
      <c r="AE498" t="s">
        <v>12438</v>
      </c>
      <c r="AF498">
        <v>3</v>
      </c>
      <c r="AG498">
        <v>1</v>
      </c>
      <c r="AH498">
        <v>3</v>
      </c>
      <c r="AI498">
        <v>31.44</v>
      </c>
      <c r="AL498" t="s">
        <v>12461</v>
      </c>
      <c r="AM498">
        <v>7892</v>
      </c>
      <c r="AO498" t="s">
        <v>12846</v>
      </c>
      <c r="AP498" t="s">
        <v>12874</v>
      </c>
      <c r="AQ498" t="s">
        <v>12909</v>
      </c>
      <c r="AR498" t="s">
        <v>12959</v>
      </c>
      <c r="AS498">
        <v>11.9</v>
      </c>
      <c r="AT498" t="s">
        <v>468</v>
      </c>
      <c r="AU498" t="s">
        <v>13113</v>
      </c>
    </row>
    <row r="499" spans="1:48">
      <c r="A499" s="1">
        <f>HYPERLINK("https://cms.ls-nyc.org/matter/dynamic-profile/view/1897307","19-1897307")</f>
        <v>0</v>
      </c>
      <c r="B499" t="s">
        <v>158</v>
      </c>
      <c r="C499" t="s">
        <v>347</v>
      </c>
      <c r="D499" t="s">
        <v>324</v>
      </c>
      <c r="E499" t="s">
        <v>930</v>
      </c>
      <c r="F499" t="s">
        <v>2265</v>
      </c>
      <c r="G499" t="s">
        <v>4020</v>
      </c>
      <c r="H499" t="s">
        <v>5522</v>
      </c>
      <c r="I499" t="s">
        <v>6047</v>
      </c>
      <c r="J499">
        <v>10452</v>
      </c>
      <c r="K499" t="s">
        <v>6074</v>
      </c>
      <c r="L499" t="s">
        <v>6074</v>
      </c>
      <c r="M499" t="s">
        <v>6351</v>
      </c>
      <c r="N499" t="s">
        <v>7276</v>
      </c>
      <c r="O499" t="s">
        <v>7307</v>
      </c>
      <c r="P499" t="s">
        <v>7315</v>
      </c>
      <c r="Q499" t="s">
        <v>7322</v>
      </c>
      <c r="R499" t="s">
        <v>6076</v>
      </c>
      <c r="S499" t="s">
        <v>7324</v>
      </c>
      <c r="T499" t="s">
        <v>7336</v>
      </c>
      <c r="U499" t="s">
        <v>347</v>
      </c>
      <c r="V499">
        <v>1716.62</v>
      </c>
      <c r="W499" t="s">
        <v>7363</v>
      </c>
      <c r="X499" t="s">
        <v>7367</v>
      </c>
      <c r="Y499" t="s">
        <v>7387</v>
      </c>
      <c r="Z499" t="s">
        <v>7815</v>
      </c>
      <c r="AB499" t="s">
        <v>10628</v>
      </c>
      <c r="AC499">
        <v>89</v>
      </c>
      <c r="AD499" t="s">
        <v>12422</v>
      </c>
      <c r="AE499" t="s">
        <v>12440</v>
      </c>
      <c r="AF499">
        <v>6</v>
      </c>
      <c r="AG499">
        <v>2</v>
      </c>
      <c r="AH499">
        <v>0</v>
      </c>
      <c r="AI499">
        <v>31.52</v>
      </c>
      <c r="AL499" t="s">
        <v>12460</v>
      </c>
      <c r="AM499">
        <v>5330</v>
      </c>
      <c r="AS499">
        <v>1.4</v>
      </c>
      <c r="AT499" t="s">
        <v>445</v>
      </c>
      <c r="AU499" t="s">
        <v>158</v>
      </c>
      <c r="AV499" t="s">
        <v>13145</v>
      </c>
    </row>
    <row r="500" spans="1:48">
      <c r="A500" s="1">
        <f>HYPERLINK("https://cms.ls-nyc.org/matter/dynamic-profile/view/1891015","19-1891015")</f>
        <v>0</v>
      </c>
      <c r="B500" t="s">
        <v>96</v>
      </c>
      <c r="C500" t="s">
        <v>393</v>
      </c>
      <c r="E500" t="s">
        <v>931</v>
      </c>
      <c r="F500" t="s">
        <v>2059</v>
      </c>
      <c r="G500" t="s">
        <v>3792</v>
      </c>
      <c r="H500" t="s">
        <v>5523</v>
      </c>
      <c r="I500" t="s">
        <v>6047</v>
      </c>
      <c r="J500">
        <v>10453</v>
      </c>
      <c r="K500" t="s">
        <v>6074</v>
      </c>
      <c r="L500" t="s">
        <v>6076</v>
      </c>
      <c r="N500" t="s">
        <v>7279</v>
      </c>
      <c r="O500" t="s">
        <v>7311</v>
      </c>
      <c r="Q500" t="s">
        <v>7322</v>
      </c>
      <c r="R500" t="s">
        <v>6074</v>
      </c>
      <c r="S500" t="s">
        <v>7324</v>
      </c>
      <c r="U500" t="s">
        <v>457</v>
      </c>
      <c r="V500">
        <v>979</v>
      </c>
      <c r="W500" t="s">
        <v>7363</v>
      </c>
      <c r="X500" t="s">
        <v>7376</v>
      </c>
      <c r="Z500" t="s">
        <v>7816</v>
      </c>
      <c r="AA500" t="s">
        <v>9973</v>
      </c>
      <c r="AB500" t="s">
        <v>10629</v>
      </c>
      <c r="AC500">
        <v>167</v>
      </c>
      <c r="AD500" t="s">
        <v>12422</v>
      </c>
      <c r="AE500" t="s">
        <v>6110</v>
      </c>
      <c r="AF500">
        <v>12</v>
      </c>
      <c r="AG500">
        <v>3</v>
      </c>
      <c r="AH500">
        <v>3</v>
      </c>
      <c r="AI500">
        <v>31.92</v>
      </c>
      <c r="AL500" t="s">
        <v>12461</v>
      </c>
      <c r="AM500">
        <v>11040</v>
      </c>
      <c r="AS500">
        <v>0</v>
      </c>
      <c r="AU500" t="s">
        <v>13092</v>
      </c>
    </row>
    <row r="501" spans="1:48">
      <c r="A501" s="1">
        <f>HYPERLINK("https://cms.ls-nyc.org/matter/dynamic-profile/view/1891007","19-1891007")</f>
        <v>0</v>
      </c>
      <c r="B501" t="s">
        <v>96</v>
      </c>
      <c r="C501" t="s">
        <v>393</v>
      </c>
      <c r="E501" t="s">
        <v>931</v>
      </c>
      <c r="F501" t="s">
        <v>2059</v>
      </c>
      <c r="G501" t="s">
        <v>3792</v>
      </c>
      <c r="H501" t="s">
        <v>5523</v>
      </c>
      <c r="I501" t="s">
        <v>6047</v>
      </c>
      <c r="J501">
        <v>10453</v>
      </c>
      <c r="K501" t="s">
        <v>6074</v>
      </c>
      <c r="L501" t="s">
        <v>6076</v>
      </c>
      <c r="M501" t="s">
        <v>6259</v>
      </c>
      <c r="N501" t="s">
        <v>7273</v>
      </c>
      <c r="O501" t="s">
        <v>7308</v>
      </c>
      <c r="Q501" t="s">
        <v>7322</v>
      </c>
      <c r="R501" t="s">
        <v>6074</v>
      </c>
      <c r="S501" t="s">
        <v>7324</v>
      </c>
      <c r="U501" t="s">
        <v>457</v>
      </c>
      <c r="V501">
        <v>979</v>
      </c>
      <c r="W501" t="s">
        <v>7363</v>
      </c>
      <c r="X501" t="s">
        <v>7376</v>
      </c>
      <c r="Z501" t="s">
        <v>7816</v>
      </c>
      <c r="AA501" t="s">
        <v>9974</v>
      </c>
      <c r="AB501" t="s">
        <v>10629</v>
      </c>
      <c r="AC501">
        <v>167</v>
      </c>
      <c r="AD501" t="s">
        <v>12422</v>
      </c>
      <c r="AE501" t="s">
        <v>6110</v>
      </c>
      <c r="AF501">
        <v>12</v>
      </c>
      <c r="AG501">
        <v>3</v>
      </c>
      <c r="AH501">
        <v>3</v>
      </c>
      <c r="AI501">
        <v>31.92</v>
      </c>
      <c r="AL501" t="s">
        <v>12461</v>
      </c>
      <c r="AM501">
        <v>11040</v>
      </c>
      <c r="AS501">
        <v>0</v>
      </c>
      <c r="AU501" t="s">
        <v>13092</v>
      </c>
    </row>
    <row r="502" spans="1:48">
      <c r="A502" s="1">
        <f>HYPERLINK("https://cms.ls-nyc.org/matter/dynamic-profile/view/1892807","19-1892807")</f>
        <v>0</v>
      </c>
      <c r="B502" t="s">
        <v>159</v>
      </c>
      <c r="C502" t="s">
        <v>356</v>
      </c>
      <c r="D502" t="s">
        <v>505</v>
      </c>
      <c r="E502" t="s">
        <v>705</v>
      </c>
      <c r="F502" t="s">
        <v>2104</v>
      </c>
      <c r="G502" t="s">
        <v>4021</v>
      </c>
      <c r="H502" t="s">
        <v>5524</v>
      </c>
      <c r="I502" t="s">
        <v>6049</v>
      </c>
      <c r="J502">
        <v>10037</v>
      </c>
      <c r="K502" t="s">
        <v>6074</v>
      </c>
      <c r="L502" t="s">
        <v>6074</v>
      </c>
      <c r="N502" t="s">
        <v>7290</v>
      </c>
      <c r="O502" t="s">
        <v>7309</v>
      </c>
      <c r="P502" t="s">
        <v>7321</v>
      </c>
      <c r="Q502" t="s">
        <v>7322</v>
      </c>
      <c r="R502" t="s">
        <v>6076</v>
      </c>
      <c r="S502" t="s">
        <v>7333</v>
      </c>
      <c r="T502" t="s">
        <v>7336</v>
      </c>
      <c r="U502" t="s">
        <v>395</v>
      </c>
      <c r="V502">
        <v>2041</v>
      </c>
      <c r="W502" t="s">
        <v>7365</v>
      </c>
      <c r="X502" t="s">
        <v>7370</v>
      </c>
      <c r="Y502" t="s">
        <v>7397</v>
      </c>
      <c r="Z502" t="s">
        <v>7817</v>
      </c>
      <c r="AB502" t="s">
        <v>10630</v>
      </c>
      <c r="AC502">
        <v>108</v>
      </c>
      <c r="AD502" t="s">
        <v>12422</v>
      </c>
      <c r="AE502" t="s">
        <v>12434</v>
      </c>
      <c r="AF502">
        <v>27</v>
      </c>
      <c r="AG502">
        <v>2</v>
      </c>
      <c r="AH502">
        <v>1</v>
      </c>
      <c r="AI502">
        <v>32.07</v>
      </c>
      <c r="AL502" t="s">
        <v>12460</v>
      </c>
      <c r="AM502">
        <v>6840</v>
      </c>
      <c r="AS502">
        <v>7.75</v>
      </c>
      <c r="AT502" t="s">
        <v>505</v>
      </c>
      <c r="AU502" t="s">
        <v>13107</v>
      </c>
    </row>
    <row r="503" spans="1:48">
      <c r="A503" s="1">
        <f>HYPERLINK("https://cms.ls-nyc.org/matter/dynamic-profile/view/1879107","18-1879107")</f>
        <v>0</v>
      </c>
      <c r="B503" t="s">
        <v>160</v>
      </c>
      <c r="C503" t="s">
        <v>433</v>
      </c>
      <c r="E503" t="s">
        <v>932</v>
      </c>
      <c r="F503" t="s">
        <v>2386</v>
      </c>
      <c r="G503" t="s">
        <v>4022</v>
      </c>
      <c r="H503" t="s">
        <v>5491</v>
      </c>
      <c r="I503" t="s">
        <v>6043</v>
      </c>
      <c r="J503">
        <v>11230</v>
      </c>
      <c r="K503" t="s">
        <v>6074</v>
      </c>
      <c r="L503" t="s">
        <v>6074</v>
      </c>
      <c r="N503" t="s">
        <v>6104</v>
      </c>
      <c r="O503" t="s">
        <v>7309</v>
      </c>
      <c r="Q503" t="s">
        <v>7322</v>
      </c>
      <c r="R503" t="s">
        <v>6074</v>
      </c>
      <c r="S503" t="s">
        <v>7324</v>
      </c>
      <c r="U503" t="s">
        <v>333</v>
      </c>
      <c r="V503">
        <v>0</v>
      </c>
      <c r="W503" t="s">
        <v>7362</v>
      </c>
      <c r="Z503" t="s">
        <v>7461</v>
      </c>
      <c r="AC503">
        <v>0</v>
      </c>
      <c r="AF503">
        <v>0</v>
      </c>
      <c r="AG503">
        <v>2</v>
      </c>
      <c r="AH503">
        <v>0</v>
      </c>
      <c r="AI503">
        <v>32.59</v>
      </c>
      <c r="AL503" t="s">
        <v>12460</v>
      </c>
      <c r="AM503">
        <v>5364</v>
      </c>
      <c r="AS503">
        <v>0.9</v>
      </c>
      <c r="AT503" t="s">
        <v>412</v>
      </c>
      <c r="AU503" t="s">
        <v>160</v>
      </c>
    </row>
    <row r="504" spans="1:48">
      <c r="A504" s="1">
        <f>HYPERLINK("https://cms.ls-nyc.org/matter/dynamic-profile/view/1883812","18-1883812")</f>
        <v>0</v>
      </c>
      <c r="B504" t="s">
        <v>120</v>
      </c>
      <c r="C504" t="s">
        <v>434</v>
      </c>
      <c r="D504" t="s">
        <v>275</v>
      </c>
      <c r="E504" t="s">
        <v>933</v>
      </c>
      <c r="F504" t="s">
        <v>2175</v>
      </c>
      <c r="G504" t="s">
        <v>4023</v>
      </c>
      <c r="H504" t="s">
        <v>5357</v>
      </c>
      <c r="I504" t="s">
        <v>6048</v>
      </c>
      <c r="J504">
        <v>10304</v>
      </c>
      <c r="K504" t="s">
        <v>6074</v>
      </c>
      <c r="L504" t="s">
        <v>6074</v>
      </c>
      <c r="M504" t="s">
        <v>6352</v>
      </c>
      <c r="N504" t="s">
        <v>7276</v>
      </c>
      <c r="O504" t="s">
        <v>7308</v>
      </c>
      <c r="P504" t="s">
        <v>7316</v>
      </c>
      <c r="Q504" t="s">
        <v>7322</v>
      </c>
      <c r="R504" t="s">
        <v>6076</v>
      </c>
      <c r="S504" t="s">
        <v>7324</v>
      </c>
      <c r="T504" t="s">
        <v>7336</v>
      </c>
      <c r="U504" t="s">
        <v>434</v>
      </c>
      <c r="V504">
        <v>1300</v>
      </c>
      <c r="W504" t="s">
        <v>7364</v>
      </c>
      <c r="X504" t="s">
        <v>7368</v>
      </c>
      <c r="Y504" t="s">
        <v>7398</v>
      </c>
      <c r="Z504" t="s">
        <v>7818</v>
      </c>
      <c r="AA504" t="s">
        <v>9975</v>
      </c>
      <c r="AB504" t="s">
        <v>10631</v>
      </c>
      <c r="AC504">
        <v>8</v>
      </c>
      <c r="AD504" t="s">
        <v>12422</v>
      </c>
      <c r="AE504" t="s">
        <v>6110</v>
      </c>
      <c r="AF504">
        <v>7</v>
      </c>
      <c r="AG504">
        <v>4</v>
      </c>
      <c r="AH504">
        <v>2</v>
      </c>
      <c r="AI504">
        <v>32.65</v>
      </c>
      <c r="AL504" t="s">
        <v>12460</v>
      </c>
      <c r="AM504">
        <v>11016</v>
      </c>
      <c r="AS504">
        <v>9.65</v>
      </c>
      <c r="AT504" t="s">
        <v>334</v>
      </c>
      <c r="AU504" t="s">
        <v>188</v>
      </c>
    </row>
    <row r="505" spans="1:48">
      <c r="A505" s="1">
        <f>HYPERLINK("https://cms.ls-nyc.org/matter/dynamic-profile/view/1885067","18-1885067")</f>
        <v>0</v>
      </c>
      <c r="B505" t="s">
        <v>86</v>
      </c>
      <c r="C505" t="s">
        <v>435</v>
      </c>
      <c r="D505" t="s">
        <v>472</v>
      </c>
      <c r="E505" t="s">
        <v>676</v>
      </c>
      <c r="F505" t="s">
        <v>2387</v>
      </c>
      <c r="G505" t="s">
        <v>4024</v>
      </c>
      <c r="H505" t="s">
        <v>5525</v>
      </c>
      <c r="I505" t="s">
        <v>6043</v>
      </c>
      <c r="J505">
        <v>11239</v>
      </c>
      <c r="K505" t="s">
        <v>6074</v>
      </c>
      <c r="L505" t="s">
        <v>6074</v>
      </c>
      <c r="M505" t="s">
        <v>6104</v>
      </c>
      <c r="N505" t="s">
        <v>7290</v>
      </c>
      <c r="O505" t="s">
        <v>7309</v>
      </c>
      <c r="P505" t="s">
        <v>7314</v>
      </c>
      <c r="Q505" t="s">
        <v>7322</v>
      </c>
      <c r="R505" t="s">
        <v>6076</v>
      </c>
      <c r="S505" t="s">
        <v>7324</v>
      </c>
      <c r="T505" t="s">
        <v>7336</v>
      </c>
      <c r="U505" t="s">
        <v>250</v>
      </c>
      <c r="V505">
        <v>0</v>
      </c>
      <c r="W505" t="s">
        <v>7362</v>
      </c>
      <c r="X505" t="s">
        <v>7381</v>
      </c>
      <c r="Y505" t="s">
        <v>7386</v>
      </c>
      <c r="Z505" t="s">
        <v>7819</v>
      </c>
      <c r="AA505" t="s">
        <v>9976</v>
      </c>
      <c r="AB505" t="s">
        <v>10632</v>
      </c>
      <c r="AC505">
        <v>1463</v>
      </c>
      <c r="AD505" t="s">
        <v>12420</v>
      </c>
      <c r="AF505">
        <v>0</v>
      </c>
      <c r="AG505">
        <v>3</v>
      </c>
      <c r="AH505">
        <v>0</v>
      </c>
      <c r="AI505">
        <v>32.92</v>
      </c>
      <c r="AL505" t="s">
        <v>12460</v>
      </c>
      <c r="AM505">
        <v>6840</v>
      </c>
      <c r="AS505">
        <v>1.65</v>
      </c>
      <c r="AT505" t="s">
        <v>422</v>
      </c>
      <c r="AU505" t="s">
        <v>13090</v>
      </c>
    </row>
    <row r="506" spans="1:48">
      <c r="A506" s="1">
        <f>HYPERLINK("https://cms.ls-nyc.org/matter/dynamic-profile/view/1871944","18-1871944")</f>
        <v>0</v>
      </c>
      <c r="B506" t="s">
        <v>132</v>
      </c>
      <c r="C506" t="s">
        <v>296</v>
      </c>
      <c r="D506" t="s">
        <v>504</v>
      </c>
      <c r="E506" t="s">
        <v>765</v>
      </c>
      <c r="F506" t="s">
        <v>2388</v>
      </c>
      <c r="G506" t="s">
        <v>4025</v>
      </c>
      <c r="H506" t="s">
        <v>5507</v>
      </c>
      <c r="I506" t="s">
        <v>6049</v>
      </c>
      <c r="J506">
        <v>10034</v>
      </c>
      <c r="K506" t="s">
        <v>6074</v>
      </c>
      <c r="L506" t="s">
        <v>6074</v>
      </c>
      <c r="O506" t="s">
        <v>7306</v>
      </c>
      <c r="P506" t="s">
        <v>7314</v>
      </c>
      <c r="Q506" t="s">
        <v>7322</v>
      </c>
      <c r="R506" t="s">
        <v>6076</v>
      </c>
      <c r="S506" t="s">
        <v>7324</v>
      </c>
      <c r="U506" t="s">
        <v>296</v>
      </c>
      <c r="V506">
        <v>1928.54</v>
      </c>
      <c r="W506" t="s">
        <v>7365</v>
      </c>
      <c r="X506" t="s">
        <v>7367</v>
      </c>
      <c r="Y506" t="s">
        <v>7386</v>
      </c>
      <c r="Z506" t="s">
        <v>7820</v>
      </c>
      <c r="AB506" t="s">
        <v>10633</v>
      </c>
      <c r="AC506">
        <v>48</v>
      </c>
      <c r="AD506" t="s">
        <v>12422</v>
      </c>
      <c r="AE506" t="s">
        <v>6110</v>
      </c>
      <c r="AF506">
        <v>7</v>
      </c>
      <c r="AG506">
        <v>1</v>
      </c>
      <c r="AH506">
        <v>0</v>
      </c>
      <c r="AI506">
        <v>33.11</v>
      </c>
      <c r="AL506" t="s">
        <v>12460</v>
      </c>
      <c r="AM506">
        <v>4020</v>
      </c>
      <c r="AS506">
        <v>0.15</v>
      </c>
      <c r="AT506" t="s">
        <v>504</v>
      </c>
      <c r="AU506" t="s">
        <v>13106</v>
      </c>
    </row>
    <row r="507" spans="1:48">
      <c r="A507" s="1">
        <f>HYPERLINK("https://cms.ls-nyc.org/matter/dynamic-profile/view/1890813","19-1890813")</f>
        <v>0</v>
      </c>
      <c r="B507" t="s">
        <v>83</v>
      </c>
      <c r="C507" t="s">
        <v>420</v>
      </c>
      <c r="E507" t="s">
        <v>934</v>
      </c>
      <c r="F507" t="s">
        <v>2389</v>
      </c>
      <c r="G507" t="s">
        <v>4026</v>
      </c>
      <c r="H507" t="s">
        <v>5517</v>
      </c>
      <c r="I507" t="s">
        <v>6043</v>
      </c>
      <c r="J507">
        <v>11225</v>
      </c>
      <c r="K507" t="s">
        <v>6076</v>
      </c>
      <c r="L507" t="s">
        <v>6074</v>
      </c>
      <c r="Q507" t="s">
        <v>7322</v>
      </c>
      <c r="R507" t="s">
        <v>6076</v>
      </c>
      <c r="S507" t="s">
        <v>7324</v>
      </c>
      <c r="U507" t="s">
        <v>448</v>
      </c>
      <c r="V507">
        <v>0</v>
      </c>
      <c r="W507" t="s">
        <v>7362</v>
      </c>
      <c r="Z507" t="s">
        <v>7467</v>
      </c>
      <c r="AC507">
        <v>72</v>
      </c>
      <c r="AF507">
        <v>32</v>
      </c>
      <c r="AG507">
        <v>4</v>
      </c>
      <c r="AH507">
        <v>1</v>
      </c>
      <c r="AI507">
        <v>33.37</v>
      </c>
      <c r="AL507" t="s">
        <v>12460</v>
      </c>
      <c r="AM507">
        <v>10068</v>
      </c>
      <c r="AN507" t="s">
        <v>12539</v>
      </c>
      <c r="AS507">
        <v>9.800000000000001</v>
      </c>
      <c r="AT507" t="s">
        <v>309</v>
      </c>
      <c r="AU507" t="s">
        <v>88</v>
      </c>
    </row>
    <row r="508" spans="1:48">
      <c r="A508" s="1">
        <f>HYPERLINK("https://cms.ls-nyc.org/matter/dynamic-profile/view/1896204","19-1896204")</f>
        <v>0</v>
      </c>
      <c r="B508" t="s">
        <v>96</v>
      </c>
      <c r="C508" t="s">
        <v>314</v>
      </c>
      <c r="E508" t="s">
        <v>935</v>
      </c>
      <c r="F508" t="s">
        <v>2390</v>
      </c>
      <c r="G508" t="s">
        <v>3792</v>
      </c>
      <c r="H508" t="s">
        <v>5526</v>
      </c>
      <c r="I508" t="s">
        <v>6047</v>
      </c>
      <c r="J508">
        <v>10453</v>
      </c>
      <c r="K508" t="s">
        <v>6074</v>
      </c>
      <c r="L508" t="s">
        <v>6074</v>
      </c>
      <c r="N508" t="s">
        <v>7279</v>
      </c>
      <c r="O508" t="s">
        <v>7311</v>
      </c>
      <c r="Q508" t="s">
        <v>7322</v>
      </c>
      <c r="R508" t="s">
        <v>6074</v>
      </c>
      <c r="S508" t="s">
        <v>7324</v>
      </c>
      <c r="U508" t="s">
        <v>457</v>
      </c>
      <c r="V508">
        <v>856.0599999999999</v>
      </c>
      <c r="W508" t="s">
        <v>7363</v>
      </c>
      <c r="X508" t="s">
        <v>7368</v>
      </c>
      <c r="Z508" t="s">
        <v>7821</v>
      </c>
      <c r="AB508" t="s">
        <v>10634</v>
      </c>
      <c r="AC508">
        <v>170</v>
      </c>
      <c r="AD508" t="s">
        <v>12422</v>
      </c>
      <c r="AE508" t="s">
        <v>6110</v>
      </c>
      <c r="AF508">
        <v>18</v>
      </c>
      <c r="AG508">
        <v>2</v>
      </c>
      <c r="AH508">
        <v>2</v>
      </c>
      <c r="AI508">
        <v>33.55</v>
      </c>
      <c r="AL508" t="s">
        <v>12461</v>
      </c>
      <c r="AM508">
        <v>8640</v>
      </c>
      <c r="AS508">
        <v>0</v>
      </c>
      <c r="AU508" t="s">
        <v>13093</v>
      </c>
    </row>
    <row r="509" spans="1:48">
      <c r="A509" s="1">
        <f>HYPERLINK("https://cms.ls-nyc.org/matter/dynamic-profile/view/1896198","19-1896198")</f>
        <v>0</v>
      </c>
      <c r="B509" t="s">
        <v>96</v>
      </c>
      <c r="C509" t="s">
        <v>314</v>
      </c>
      <c r="E509" t="s">
        <v>935</v>
      </c>
      <c r="F509" t="s">
        <v>2390</v>
      </c>
      <c r="G509" t="s">
        <v>3792</v>
      </c>
      <c r="H509" t="s">
        <v>5526</v>
      </c>
      <c r="I509" t="s">
        <v>6047</v>
      </c>
      <c r="J509">
        <v>10453</v>
      </c>
      <c r="K509" t="s">
        <v>6074</v>
      </c>
      <c r="L509" t="s">
        <v>6074</v>
      </c>
      <c r="M509" t="s">
        <v>6259</v>
      </c>
      <c r="N509" t="s">
        <v>7273</v>
      </c>
      <c r="O509" t="s">
        <v>7308</v>
      </c>
      <c r="Q509" t="s">
        <v>7322</v>
      </c>
      <c r="R509" t="s">
        <v>6074</v>
      </c>
      <c r="S509" t="s">
        <v>7324</v>
      </c>
      <c r="U509" t="s">
        <v>457</v>
      </c>
      <c r="V509">
        <v>856.0599999999999</v>
      </c>
      <c r="W509" t="s">
        <v>7363</v>
      </c>
      <c r="X509" t="s">
        <v>7375</v>
      </c>
      <c r="Z509" t="s">
        <v>7821</v>
      </c>
      <c r="AB509" t="s">
        <v>10634</v>
      </c>
      <c r="AC509">
        <v>170</v>
      </c>
      <c r="AD509" t="s">
        <v>12422</v>
      </c>
      <c r="AE509" t="s">
        <v>6110</v>
      </c>
      <c r="AF509">
        <v>18</v>
      </c>
      <c r="AG509">
        <v>2</v>
      </c>
      <c r="AH509">
        <v>2</v>
      </c>
      <c r="AI509">
        <v>33.55</v>
      </c>
      <c r="AL509" t="s">
        <v>12461</v>
      </c>
      <c r="AM509">
        <v>8640</v>
      </c>
      <c r="AS509">
        <v>0</v>
      </c>
      <c r="AU509" t="s">
        <v>13093</v>
      </c>
    </row>
    <row r="510" spans="1:48">
      <c r="A510" s="1">
        <f>HYPERLINK("https://cms.ls-nyc.org/matter/dynamic-profile/view/1878642","18-1878642")</f>
        <v>0</v>
      </c>
      <c r="B510" t="s">
        <v>52</v>
      </c>
      <c r="C510" t="s">
        <v>299</v>
      </c>
      <c r="D510" t="s">
        <v>361</v>
      </c>
      <c r="E510" t="s">
        <v>936</v>
      </c>
      <c r="F510" t="s">
        <v>2303</v>
      </c>
      <c r="G510" t="s">
        <v>4027</v>
      </c>
      <c r="H510" t="s">
        <v>5411</v>
      </c>
      <c r="I510" t="s">
        <v>6025</v>
      </c>
      <c r="J510">
        <v>11691</v>
      </c>
      <c r="K510" t="s">
        <v>6074</v>
      </c>
      <c r="L510" t="s">
        <v>6074</v>
      </c>
      <c r="M510" t="s">
        <v>6353</v>
      </c>
      <c r="N510" t="s">
        <v>7276</v>
      </c>
      <c r="O510" t="s">
        <v>7308</v>
      </c>
      <c r="P510" t="s">
        <v>7316</v>
      </c>
      <c r="Q510" t="s">
        <v>7322</v>
      </c>
      <c r="R510" t="s">
        <v>6076</v>
      </c>
      <c r="S510" t="s">
        <v>7324</v>
      </c>
      <c r="T510" t="s">
        <v>7336</v>
      </c>
      <c r="U510" t="s">
        <v>299</v>
      </c>
      <c r="V510">
        <v>1144</v>
      </c>
      <c r="W510" t="s">
        <v>7361</v>
      </c>
      <c r="X510" t="s">
        <v>7366</v>
      </c>
      <c r="Y510" t="s">
        <v>7388</v>
      </c>
      <c r="Z510" t="s">
        <v>7822</v>
      </c>
      <c r="AA510" t="s">
        <v>9977</v>
      </c>
      <c r="AB510" t="s">
        <v>10635</v>
      </c>
      <c r="AC510">
        <v>20</v>
      </c>
      <c r="AD510" t="s">
        <v>12422</v>
      </c>
      <c r="AE510" t="s">
        <v>12435</v>
      </c>
      <c r="AF510">
        <v>4</v>
      </c>
      <c r="AG510">
        <v>1</v>
      </c>
      <c r="AH510">
        <v>0</v>
      </c>
      <c r="AI510">
        <v>33.84</v>
      </c>
      <c r="AL510" t="s">
        <v>12460</v>
      </c>
      <c r="AM510">
        <v>4108</v>
      </c>
      <c r="AO510" t="s">
        <v>12845</v>
      </c>
      <c r="AP510" t="s">
        <v>12875</v>
      </c>
      <c r="AQ510" t="s">
        <v>12909</v>
      </c>
      <c r="AR510" t="s">
        <v>12930</v>
      </c>
      <c r="AS510">
        <v>41.4</v>
      </c>
      <c r="AT510" t="s">
        <v>356</v>
      </c>
      <c r="AU510" t="s">
        <v>189</v>
      </c>
    </row>
    <row r="511" spans="1:48">
      <c r="A511" s="1">
        <f>HYPERLINK("https://cms.ls-nyc.org/matter/dynamic-profile/view/1868626","18-1868626")</f>
        <v>0</v>
      </c>
      <c r="B511" t="s">
        <v>115</v>
      </c>
      <c r="C511" t="s">
        <v>352</v>
      </c>
      <c r="D511" t="s">
        <v>472</v>
      </c>
      <c r="E511" t="s">
        <v>937</v>
      </c>
      <c r="F511" t="s">
        <v>2258</v>
      </c>
      <c r="G511" t="s">
        <v>4028</v>
      </c>
      <c r="H511" t="s">
        <v>5357</v>
      </c>
      <c r="I511" t="s">
        <v>6047</v>
      </c>
      <c r="J511">
        <v>10453</v>
      </c>
      <c r="K511" t="s">
        <v>6074</v>
      </c>
      <c r="L511" t="s">
        <v>6074</v>
      </c>
      <c r="N511" t="s">
        <v>7276</v>
      </c>
      <c r="O511" t="s">
        <v>7306</v>
      </c>
      <c r="P511" t="s">
        <v>7314</v>
      </c>
      <c r="Q511" t="s">
        <v>7322</v>
      </c>
      <c r="R511" t="s">
        <v>6076</v>
      </c>
      <c r="S511" t="s">
        <v>7324</v>
      </c>
      <c r="U511" t="s">
        <v>258</v>
      </c>
      <c r="V511">
        <v>906</v>
      </c>
      <c r="W511" t="s">
        <v>7363</v>
      </c>
      <c r="X511" t="s">
        <v>7368</v>
      </c>
      <c r="Y511" t="s">
        <v>7386</v>
      </c>
      <c r="Z511" t="s">
        <v>7823</v>
      </c>
      <c r="AB511" t="s">
        <v>10636</v>
      </c>
      <c r="AC511">
        <v>30</v>
      </c>
      <c r="AD511" t="s">
        <v>12422</v>
      </c>
      <c r="AE511" t="s">
        <v>6110</v>
      </c>
      <c r="AF511">
        <v>8</v>
      </c>
      <c r="AG511">
        <v>1</v>
      </c>
      <c r="AH511">
        <v>0</v>
      </c>
      <c r="AI511">
        <v>33.89</v>
      </c>
      <c r="AL511" t="s">
        <v>12460</v>
      </c>
      <c r="AM511">
        <v>4114</v>
      </c>
      <c r="AN511" t="s">
        <v>12540</v>
      </c>
      <c r="AS511">
        <v>2.15</v>
      </c>
      <c r="AT511" t="s">
        <v>357</v>
      </c>
      <c r="AU511" t="s">
        <v>13092</v>
      </c>
    </row>
    <row r="512" spans="1:48">
      <c r="A512" s="1">
        <f>HYPERLINK("https://cms.ls-nyc.org/matter/dynamic-profile/view/1874587","18-1874587")</f>
        <v>0</v>
      </c>
      <c r="B512" t="s">
        <v>161</v>
      </c>
      <c r="C512" t="s">
        <v>237</v>
      </c>
      <c r="D512" t="s">
        <v>337</v>
      </c>
      <c r="E512" t="s">
        <v>938</v>
      </c>
      <c r="F512" t="s">
        <v>2391</v>
      </c>
      <c r="G512" t="s">
        <v>4029</v>
      </c>
      <c r="H512" t="s">
        <v>5527</v>
      </c>
      <c r="I512" t="s">
        <v>6049</v>
      </c>
      <c r="J512">
        <v>10029</v>
      </c>
      <c r="K512" t="s">
        <v>6074</v>
      </c>
      <c r="L512" t="s">
        <v>6074</v>
      </c>
      <c r="M512" t="s">
        <v>6354</v>
      </c>
      <c r="N512" t="s">
        <v>7276</v>
      </c>
      <c r="O512" t="s">
        <v>7308</v>
      </c>
      <c r="P512" t="s">
        <v>7319</v>
      </c>
      <c r="Q512" t="s">
        <v>7322</v>
      </c>
      <c r="R512" t="s">
        <v>6074</v>
      </c>
      <c r="S512" t="s">
        <v>7324</v>
      </c>
      <c r="T512" t="s">
        <v>7336</v>
      </c>
      <c r="U512" t="s">
        <v>384</v>
      </c>
      <c r="V512">
        <v>2200</v>
      </c>
      <c r="W512" t="s">
        <v>7365</v>
      </c>
      <c r="X512" t="s">
        <v>7368</v>
      </c>
      <c r="Y512" t="s">
        <v>7386</v>
      </c>
      <c r="Z512" t="s">
        <v>7824</v>
      </c>
      <c r="AB512" t="s">
        <v>10637</v>
      </c>
      <c r="AC512">
        <v>323</v>
      </c>
      <c r="AD512" t="s">
        <v>12422</v>
      </c>
      <c r="AE512" t="s">
        <v>12434</v>
      </c>
      <c r="AF512">
        <v>18</v>
      </c>
      <c r="AG512">
        <v>2</v>
      </c>
      <c r="AH512">
        <v>2</v>
      </c>
      <c r="AI512">
        <v>33.9</v>
      </c>
      <c r="AL512" t="s">
        <v>12460</v>
      </c>
      <c r="AM512">
        <v>8508</v>
      </c>
      <c r="AS512">
        <v>37.4</v>
      </c>
      <c r="AT512" t="s">
        <v>320</v>
      </c>
      <c r="AU512" t="s">
        <v>13107</v>
      </c>
    </row>
    <row r="513" spans="1:48">
      <c r="A513" s="1">
        <f>HYPERLINK("https://cms.ls-nyc.org/matter/dynamic-profile/view/1889854","19-1889854")</f>
        <v>0</v>
      </c>
      <c r="B513" t="s">
        <v>96</v>
      </c>
      <c r="C513" t="s">
        <v>286</v>
      </c>
      <c r="E513" t="s">
        <v>939</v>
      </c>
      <c r="F513" t="s">
        <v>2392</v>
      </c>
      <c r="G513" t="s">
        <v>3805</v>
      </c>
      <c r="H513" t="s">
        <v>5461</v>
      </c>
      <c r="I513" t="s">
        <v>6047</v>
      </c>
      <c r="J513">
        <v>10452</v>
      </c>
      <c r="K513" t="s">
        <v>6074</v>
      </c>
      <c r="L513" t="s">
        <v>6074</v>
      </c>
      <c r="N513" t="s">
        <v>7276</v>
      </c>
      <c r="O513" t="s">
        <v>7306</v>
      </c>
      <c r="Q513" t="s">
        <v>7322</v>
      </c>
      <c r="R513" t="s">
        <v>6076</v>
      </c>
      <c r="S513" t="s">
        <v>7324</v>
      </c>
      <c r="U513" t="s">
        <v>393</v>
      </c>
      <c r="V513">
        <v>715.1900000000001</v>
      </c>
      <c r="W513" t="s">
        <v>7363</v>
      </c>
      <c r="X513" t="s">
        <v>7376</v>
      </c>
      <c r="Z513" t="s">
        <v>7825</v>
      </c>
      <c r="AB513" t="s">
        <v>10638</v>
      </c>
      <c r="AC513">
        <v>147</v>
      </c>
      <c r="AD513" t="s">
        <v>12420</v>
      </c>
      <c r="AE513" t="s">
        <v>12434</v>
      </c>
      <c r="AF513">
        <v>25</v>
      </c>
      <c r="AG513">
        <v>1</v>
      </c>
      <c r="AH513">
        <v>0</v>
      </c>
      <c r="AI513">
        <v>34.11</v>
      </c>
      <c r="AL513" t="s">
        <v>12460</v>
      </c>
      <c r="AM513">
        <v>4260</v>
      </c>
      <c r="AS513">
        <v>0.1</v>
      </c>
      <c r="AT513" t="s">
        <v>393</v>
      </c>
      <c r="AU513" t="s">
        <v>13092</v>
      </c>
    </row>
    <row r="514" spans="1:48">
      <c r="A514" s="1">
        <f>HYPERLINK("https://cms.ls-nyc.org/matter/dynamic-profile/view/1893642","19-1893642")</f>
        <v>0</v>
      </c>
      <c r="B514" t="s">
        <v>134</v>
      </c>
      <c r="C514" t="s">
        <v>436</v>
      </c>
      <c r="D514" t="s">
        <v>315</v>
      </c>
      <c r="E514" t="s">
        <v>940</v>
      </c>
      <c r="F514" t="s">
        <v>2393</v>
      </c>
      <c r="G514" t="s">
        <v>4030</v>
      </c>
      <c r="H514">
        <v>50</v>
      </c>
      <c r="I514" t="s">
        <v>6049</v>
      </c>
      <c r="J514">
        <v>10029</v>
      </c>
      <c r="K514" t="s">
        <v>6074</v>
      </c>
      <c r="L514" t="s">
        <v>6074</v>
      </c>
      <c r="N514" t="s">
        <v>6104</v>
      </c>
      <c r="O514" t="s">
        <v>7307</v>
      </c>
      <c r="P514" t="s">
        <v>7315</v>
      </c>
      <c r="Q514" t="s">
        <v>7323</v>
      </c>
      <c r="R514" t="s">
        <v>6076</v>
      </c>
      <c r="S514" t="s">
        <v>7324</v>
      </c>
      <c r="T514" t="s">
        <v>7336</v>
      </c>
      <c r="U514" t="s">
        <v>367</v>
      </c>
      <c r="V514">
        <v>1867</v>
      </c>
      <c r="W514" t="s">
        <v>7365</v>
      </c>
      <c r="X514" t="s">
        <v>7369</v>
      </c>
      <c r="Y514" t="s">
        <v>7386</v>
      </c>
      <c r="Z514" t="s">
        <v>7826</v>
      </c>
      <c r="AB514" t="s">
        <v>10639</v>
      </c>
      <c r="AC514">
        <v>80</v>
      </c>
      <c r="AD514" t="s">
        <v>12422</v>
      </c>
      <c r="AE514" t="s">
        <v>6110</v>
      </c>
      <c r="AF514">
        <v>5</v>
      </c>
      <c r="AG514">
        <v>2</v>
      </c>
      <c r="AH514">
        <v>1</v>
      </c>
      <c r="AI514">
        <v>34.37</v>
      </c>
      <c r="AJ514" t="s">
        <v>12443</v>
      </c>
      <c r="AK514" t="s">
        <v>12455</v>
      </c>
      <c r="AL514" t="s">
        <v>12460</v>
      </c>
      <c r="AM514">
        <v>7332</v>
      </c>
      <c r="AS514">
        <v>20.9</v>
      </c>
      <c r="AT514" t="s">
        <v>264</v>
      </c>
      <c r="AU514" t="s">
        <v>13107</v>
      </c>
    </row>
    <row r="515" spans="1:48">
      <c r="A515" s="1">
        <f>HYPERLINK("https://cms.ls-nyc.org/matter/dynamic-profile/view/1894706","19-1894706")</f>
        <v>0</v>
      </c>
      <c r="B515" t="s">
        <v>162</v>
      </c>
      <c r="C515" t="s">
        <v>235</v>
      </c>
      <c r="E515" t="s">
        <v>941</v>
      </c>
      <c r="F515" t="s">
        <v>2394</v>
      </c>
      <c r="G515" t="s">
        <v>4031</v>
      </c>
      <c r="H515">
        <v>9</v>
      </c>
      <c r="I515" t="s">
        <v>6043</v>
      </c>
      <c r="J515">
        <v>11203</v>
      </c>
      <c r="K515" t="s">
        <v>6076</v>
      </c>
      <c r="L515" t="s">
        <v>6076</v>
      </c>
      <c r="O515" t="s">
        <v>7309</v>
      </c>
      <c r="Q515" t="s">
        <v>7322</v>
      </c>
      <c r="S515" t="s">
        <v>7324</v>
      </c>
      <c r="U515" t="s">
        <v>235</v>
      </c>
      <c r="V515">
        <v>0</v>
      </c>
      <c r="W515" t="s">
        <v>7362</v>
      </c>
      <c r="Z515" t="s">
        <v>7827</v>
      </c>
      <c r="AB515" t="s">
        <v>10640</v>
      </c>
      <c r="AC515">
        <v>0</v>
      </c>
      <c r="AF515">
        <v>0</v>
      </c>
      <c r="AG515">
        <v>2</v>
      </c>
      <c r="AH515">
        <v>2</v>
      </c>
      <c r="AI515">
        <v>34.43</v>
      </c>
      <c r="AL515" t="s">
        <v>12460</v>
      </c>
      <c r="AM515">
        <v>8866</v>
      </c>
      <c r="AS515">
        <v>7.7</v>
      </c>
      <c r="AT515" t="s">
        <v>496</v>
      </c>
      <c r="AU515" t="s">
        <v>69</v>
      </c>
    </row>
    <row r="516" spans="1:48">
      <c r="A516" s="1">
        <f>HYPERLINK("https://cms.ls-nyc.org/matter/dynamic-profile/view/1877721","18-1877721")</f>
        <v>0</v>
      </c>
      <c r="B516" t="s">
        <v>48</v>
      </c>
      <c r="C516" t="s">
        <v>291</v>
      </c>
      <c r="E516" t="s">
        <v>942</v>
      </c>
      <c r="F516" t="s">
        <v>2134</v>
      </c>
      <c r="G516" t="s">
        <v>4032</v>
      </c>
      <c r="H516" t="s">
        <v>5446</v>
      </c>
      <c r="I516" t="s">
        <v>6043</v>
      </c>
      <c r="J516">
        <v>11233</v>
      </c>
      <c r="K516" t="s">
        <v>6074</v>
      </c>
      <c r="L516" t="s">
        <v>6074</v>
      </c>
      <c r="M516" t="s">
        <v>6355</v>
      </c>
      <c r="N516" t="s">
        <v>7290</v>
      </c>
      <c r="O516" t="s">
        <v>7309</v>
      </c>
      <c r="Q516" t="s">
        <v>7322</v>
      </c>
      <c r="R516" t="s">
        <v>6076</v>
      </c>
      <c r="S516" t="s">
        <v>7327</v>
      </c>
      <c r="U516" t="s">
        <v>505</v>
      </c>
      <c r="V516">
        <v>0</v>
      </c>
      <c r="W516" t="s">
        <v>7362</v>
      </c>
      <c r="X516" t="s">
        <v>7366</v>
      </c>
      <c r="Z516" t="s">
        <v>7828</v>
      </c>
      <c r="AB516" t="s">
        <v>10641</v>
      </c>
      <c r="AC516">
        <v>0</v>
      </c>
      <c r="AF516">
        <v>0</v>
      </c>
      <c r="AG516">
        <v>2</v>
      </c>
      <c r="AH516">
        <v>1</v>
      </c>
      <c r="AI516">
        <v>34.65</v>
      </c>
      <c r="AM516">
        <v>7200</v>
      </c>
      <c r="AS516">
        <v>53.45</v>
      </c>
      <c r="AT516" t="s">
        <v>363</v>
      </c>
      <c r="AU516" t="s">
        <v>13083</v>
      </c>
      <c r="AV516" t="s">
        <v>13145</v>
      </c>
    </row>
    <row r="517" spans="1:48">
      <c r="A517" s="1">
        <f>HYPERLINK("https://cms.ls-nyc.org/matter/dynamic-profile/view/1880921","18-1880921")</f>
        <v>0</v>
      </c>
      <c r="B517" t="s">
        <v>106</v>
      </c>
      <c r="C517" t="s">
        <v>333</v>
      </c>
      <c r="D517" t="s">
        <v>326</v>
      </c>
      <c r="E517" t="s">
        <v>943</v>
      </c>
      <c r="F517" t="s">
        <v>2395</v>
      </c>
      <c r="G517" t="s">
        <v>4033</v>
      </c>
      <c r="H517" t="s">
        <v>5489</v>
      </c>
      <c r="I517" t="s">
        <v>6047</v>
      </c>
      <c r="J517">
        <v>10460</v>
      </c>
      <c r="K517" t="s">
        <v>6074</v>
      </c>
      <c r="L517" t="s">
        <v>6074</v>
      </c>
      <c r="N517" t="s">
        <v>6104</v>
      </c>
      <c r="O517" t="s">
        <v>7307</v>
      </c>
      <c r="P517" t="s">
        <v>7315</v>
      </c>
      <c r="Q517" t="s">
        <v>7322</v>
      </c>
      <c r="R517" t="s">
        <v>6076</v>
      </c>
      <c r="S517" t="s">
        <v>7334</v>
      </c>
      <c r="U517" t="s">
        <v>7343</v>
      </c>
      <c r="V517">
        <v>0</v>
      </c>
      <c r="W517" t="s">
        <v>7363</v>
      </c>
      <c r="Y517" t="s">
        <v>7389</v>
      </c>
      <c r="Z517" t="s">
        <v>7829</v>
      </c>
      <c r="AB517" t="s">
        <v>10642</v>
      </c>
      <c r="AC517">
        <v>0</v>
      </c>
      <c r="AD517" t="s">
        <v>12422</v>
      </c>
      <c r="AE517" t="s">
        <v>12435</v>
      </c>
      <c r="AF517">
        <v>0</v>
      </c>
      <c r="AG517">
        <v>2</v>
      </c>
      <c r="AH517">
        <v>1</v>
      </c>
      <c r="AI517">
        <v>34.65</v>
      </c>
      <c r="AL517" t="s">
        <v>12461</v>
      </c>
      <c r="AM517">
        <v>7200</v>
      </c>
      <c r="AS517">
        <v>6.6</v>
      </c>
      <c r="AT517" t="s">
        <v>326</v>
      </c>
      <c r="AU517" t="s">
        <v>99</v>
      </c>
    </row>
    <row r="518" spans="1:48">
      <c r="A518" s="1">
        <f>HYPERLINK("https://cms.ls-nyc.org/matter/dynamic-profile/view/1878798","18-1878798")</f>
        <v>0</v>
      </c>
      <c r="B518" t="s">
        <v>62</v>
      </c>
      <c r="C518" t="s">
        <v>282</v>
      </c>
      <c r="D518" t="s">
        <v>344</v>
      </c>
      <c r="E518" t="s">
        <v>944</v>
      </c>
      <c r="F518" t="s">
        <v>2396</v>
      </c>
      <c r="G518" t="s">
        <v>3659</v>
      </c>
      <c r="H518" t="s">
        <v>5522</v>
      </c>
      <c r="I518" t="s">
        <v>6025</v>
      </c>
      <c r="J518">
        <v>11691</v>
      </c>
      <c r="K518" t="s">
        <v>6074</v>
      </c>
      <c r="L518" t="s">
        <v>6074</v>
      </c>
      <c r="M518" t="s">
        <v>6356</v>
      </c>
      <c r="N518" t="s">
        <v>7276</v>
      </c>
      <c r="O518" t="s">
        <v>7306</v>
      </c>
      <c r="P518" t="s">
        <v>7314</v>
      </c>
      <c r="Q518" t="s">
        <v>7322</v>
      </c>
      <c r="R518" t="s">
        <v>6076</v>
      </c>
      <c r="S518" t="s">
        <v>7324</v>
      </c>
      <c r="T518" t="s">
        <v>7336</v>
      </c>
      <c r="U518" t="s">
        <v>282</v>
      </c>
      <c r="V518">
        <v>1268</v>
      </c>
      <c r="W518" t="s">
        <v>7361</v>
      </c>
      <c r="X518" t="s">
        <v>7366</v>
      </c>
      <c r="Y518" t="s">
        <v>7386</v>
      </c>
      <c r="Z518" t="s">
        <v>7830</v>
      </c>
      <c r="AA518" t="s">
        <v>9978</v>
      </c>
      <c r="AB518" t="s">
        <v>10643</v>
      </c>
      <c r="AC518">
        <v>24</v>
      </c>
      <c r="AD518" t="s">
        <v>6322</v>
      </c>
      <c r="AE518" t="s">
        <v>12438</v>
      </c>
      <c r="AF518">
        <v>3</v>
      </c>
      <c r="AG518">
        <v>1</v>
      </c>
      <c r="AH518">
        <v>3</v>
      </c>
      <c r="AI518">
        <v>34.9</v>
      </c>
      <c r="AL518" t="s">
        <v>12460</v>
      </c>
      <c r="AM518">
        <v>8760</v>
      </c>
      <c r="AS518">
        <v>1.5</v>
      </c>
      <c r="AT518" t="s">
        <v>403</v>
      </c>
      <c r="AU518" t="s">
        <v>189</v>
      </c>
    </row>
    <row r="519" spans="1:48">
      <c r="A519" s="1">
        <f>HYPERLINK("https://cms.ls-nyc.org/matter/dynamic-profile/view/1874052","18-1874052")</f>
        <v>0</v>
      </c>
      <c r="B519" t="s">
        <v>117</v>
      </c>
      <c r="C519" t="s">
        <v>437</v>
      </c>
      <c r="D519" t="s">
        <v>320</v>
      </c>
      <c r="E519" t="s">
        <v>945</v>
      </c>
      <c r="F519" t="s">
        <v>2287</v>
      </c>
      <c r="G519" t="s">
        <v>4034</v>
      </c>
      <c r="H519" t="s">
        <v>5450</v>
      </c>
      <c r="I519" t="s">
        <v>6048</v>
      </c>
      <c r="J519">
        <v>10304</v>
      </c>
      <c r="K519" t="s">
        <v>6074</v>
      </c>
      <c r="L519" t="s">
        <v>6074</v>
      </c>
      <c r="M519" t="s">
        <v>6357</v>
      </c>
      <c r="N519" t="s">
        <v>7276</v>
      </c>
      <c r="O519" t="s">
        <v>7308</v>
      </c>
      <c r="P519" t="s">
        <v>7316</v>
      </c>
      <c r="Q519" t="s">
        <v>7322</v>
      </c>
      <c r="R519" t="s">
        <v>6076</v>
      </c>
      <c r="S519" t="s">
        <v>7324</v>
      </c>
      <c r="T519" t="s">
        <v>7339</v>
      </c>
      <c r="U519" t="s">
        <v>437</v>
      </c>
      <c r="V519">
        <v>1550</v>
      </c>
      <c r="W519" t="s">
        <v>7364</v>
      </c>
      <c r="X519" t="s">
        <v>7305</v>
      </c>
      <c r="Y519" t="s">
        <v>7391</v>
      </c>
      <c r="Z519" t="s">
        <v>7831</v>
      </c>
      <c r="AA519" t="s">
        <v>9979</v>
      </c>
      <c r="AB519" t="s">
        <v>10644</v>
      </c>
      <c r="AC519">
        <v>85</v>
      </c>
      <c r="AD519" t="s">
        <v>12422</v>
      </c>
      <c r="AE519" t="s">
        <v>12435</v>
      </c>
      <c r="AF519">
        <v>4</v>
      </c>
      <c r="AG519">
        <v>1</v>
      </c>
      <c r="AH519">
        <v>4</v>
      </c>
      <c r="AI519">
        <v>35.47</v>
      </c>
      <c r="AL519" t="s">
        <v>12460</v>
      </c>
      <c r="AM519">
        <v>10434</v>
      </c>
      <c r="AO519" t="s">
        <v>12846</v>
      </c>
      <c r="AP519" t="s">
        <v>7305</v>
      </c>
      <c r="AQ519" t="s">
        <v>12910</v>
      </c>
      <c r="AR519" t="s">
        <v>12960</v>
      </c>
      <c r="AS519">
        <v>13.5</v>
      </c>
      <c r="AT519" t="s">
        <v>320</v>
      </c>
      <c r="AU519" t="s">
        <v>210</v>
      </c>
    </row>
    <row r="520" spans="1:48">
      <c r="A520" s="1">
        <f>HYPERLINK("https://cms.ls-nyc.org/matter/dynamic-profile/view/1894184","19-1894184")</f>
        <v>0</v>
      </c>
      <c r="B520" t="s">
        <v>60</v>
      </c>
      <c r="C520" t="s">
        <v>334</v>
      </c>
      <c r="D520" t="s">
        <v>361</v>
      </c>
      <c r="E520" t="s">
        <v>946</v>
      </c>
      <c r="F520" t="s">
        <v>2397</v>
      </c>
      <c r="G520" t="s">
        <v>4035</v>
      </c>
      <c r="H520" t="s">
        <v>5478</v>
      </c>
      <c r="I520" t="s">
        <v>6054</v>
      </c>
      <c r="J520">
        <v>11420</v>
      </c>
      <c r="K520" t="s">
        <v>6074</v>
      </c>
      <c r="L520" t="s">
        <v>6074</v>
      </c>
      <c r="M520" t="s">
        <v>6329</v>
      </c>
      <c r="N520" t="s">
        <v>6104</v>
      </c>
      <c r="O520" t="s">
        <v>7306</v>
      </c>
      <c r="P520" t="s">
        <v>7314</v>
      </c>
      <c r="Q520" t="s">
        <v>7323</v>
      </c>
      <c r="R520" t="s">
        <v>6076</v>
      </c>
      <c r="S520" t="s">
        <v>7324</v>
      </c>
      <c r="T520" t="s">
        <v>7336</v>
      </c>
      <c r="U520" t="s">
        <v>334</v>
      </c>
      <c r="V520">
        <v>0</v>
      </c>
      <c r="W520" t="s">
        <v>7361</v>
      </c>
      <c r="X520" t="s">
        <v>7369</v>
      </c>
      <c r="Y520" t="s">
        <v>7386</v>
      </c>
      <c r="Z520" t="s">
        <v>7832</v>
      </c>
      <c r="AA520" t="s">
        <v>9863</v>
      </c>
      <c r="AB520" t="s">
        <v>10645</v>
      </c>
      <c r="AC520">
        <v>2</v>
      </c>
      <c r="AD520" t="s">
        <v>12419</v>
      </c>
      <c r="AE520" t="s">
        <v>6110</v>
      </c>
      <c r="AF520">
        <v>1</v>
      </c>
      <c r="AG520">
        <v>2</v>
      </c>
      <c r="AH520">
        <v>0</v>
      </c>
      <c r="AI520">
        <v>35.48</v>
      </c>
      <c r="AJ520" t="s">
        <v>12443</v>
      </c>
      <c r="AK520" t="s">
        <v>12455</v>
      </c>
      <c r="AL520" t="s">
        <v>12461</v>
      </c>
      <c r="AM520">
        <v>6000</v>
      </c>
      <c r="AS520">
        <v>1.6</v>
      </c>
      <c r="AT520" t="s">
        <v>334</v>
      </c>
      <c r="AU520" t="s">
        <v>60</v>
      </c>
    </row>
    <row r="521" spans="1:48">
      <c r="A521" s="1">
        <f>HYPERLINK("https://cms.ls-nyc.org/matter/dynamic-profile/view/1880036","18-1880036")</f>
        <v>0</v>
      </c>
      <c r="B521" t="s">
        <v>54</v>
      </c>
      <c r="C521" t="s">
        <v>245</v>
      </c>
      <c r="D521" t="s">
        <v>354</v>
      </c>
      <c r="E521" t="s">
        <v>947</v>
      </c>
      <c r="F521" t="s">
        <v>1954</v>
      </c>
      <c r="G521" t="s">
        <v>4036</v>
      </c>
      <c r="H521" t="s">
        <v>5358</v>
      </c>
      <c r="I521" t="s">
        <v>6055</v>
      </c>
      <c r="J521">
        <v>11412</v>
      </c>
      <c r="K521" t="s">
        <v>6074</v>
      </c>
      <c r="L521" t="s">
        <v>6074</v>
      </c>
      <c r="M521" t="s">
        <v>6358</v>
      </c>
      <c r="N521" t="s">
        <v>7274</v>
      </c>
      <c r="O521" t="s">
        <v>7306</v>
      </c>
      <c r="P521" t="s">
        <v>7314</v>
      </c>
      <c r="Q521" t="s">
        <v>7322</v>
      </c>
      <c r="R521" t="s">
        <v>6076</v>
      </c>
      <c r="S521" t="s">
        <v>7324</v>
      </c>
      <c r="T521" t="s">
        <v>7336</v>
      </c>
      <c r="U521" t="s">
        <v>245</v>
      </c>
      <c r="V521">
        <v>1515</v>
      </c>
      <c r="W521" t="s">
        <v>7361</v>
      </c>
      <c r="X521" t="s">
        <v>7366</v>
      </c>
      <c r="Y521" t="s">
        <v>7386</v>
      </c>
      <c r="Z521" t="s">
        <v>7833</v>
      </c>
      <c r="AA521" t="s">
        <v>9980</v>
      </c>
      <c r="AB521" t="s">
        <v>10646</v>
      </c>
      <c r="AC521">
        <v>2</v>
      </c>
      <c r="AD521" t="s">
        <v>12419</v>
      </c>
      <c r="AE521" t="s">
        <v>12438</v>
      </c>
      <c r="AF521">
        <v>3</v>
      </c>
      <c r="AG521">
        <v>1</v>
      </c>
      <c r="AH521">
        <v>2</v>
      </c>
      <c r="AI521">
        <v>35.51</v>
      </c>
      <c r="AL521" t="s">
        <v>12460</v>
      </c>
      <c r="AM521">
        <v>7380</v>
      </c>
      <c r="AS521">
        <v>0.9</v>
      </c>
      <c r="AT521" t="s">
        <v>276</v>
      </c>
      <c r="AU521" t="s">
        <v>48</v>
      </c>
    </row>
    <row r="522" spans="1:48">
      <c r="A522" s="1">
        <f>HYPERLINK("https://cms.ls-nyc.org/matter/dynamic-profile/view/1875581","18-1875581")</f>
        <v>0</v>
      </c>
      <c r="B522" t="s">
        <v>78</v>
      </c>
      <c r="C522" t="s">
        <v>233</v>
      </c>
      <c r="D522" t="s">
        <v>249</v>
      </c>
      <c r="E522" t="s">
        <v>948</v>
      </c>
      <c r="F522" t="s">
        <v>2398</v>
      </c>
      <c r="G522" t="s">
        <v>4037</v>
      </c>
      <c r="H522">
        <v>1</v>
      </c>
      <c r="I522" t="s">
        <v>6043</v>
      </c>
      <c r="J522">
        <v>11208</v>
      </c>
      <c r="K522" t="s">
        <v>6074</v>
      </c>
      <c r="L522" t="s">
        <v>6074</v>
      </c>
      <c r="N522" t="s">
        <v>7273</v>
      </c>
      <c r="O522" t="s">
        <v>7307</v>
      </c>
      <c r="P522" t="s">
        <v>7315</v>
      </c>
      <c r="Q522" t="s">
        <v>7322</v>
      </c>
      <c r="R522" t="s">
        <v>6076</v>
      </c>
      <c r="S522" t="s">
        <v>7324</v>
      </c>
      <c r="U522" t="s">
        <v>233</v>
      </c>
      <c r="V522">
        <v>1956</v>
      </c>
      <c r="W522" t="s">
        <v>7362</v>
      </c>
      <c r="X522" t="s">
        <v>7376</v>
      </c>
      <c r="Y522" t="s">
        <v>7395</v>
      </c>
      <c r="Z522" t="s">
        <v>7488</v>
      </c>
      <c r="AB522" t="s">
        <v>10647</v>
      </c>
      <c r="AC522">
        <v>2</v>
      </c>
      <c r="AD522" t="s">
        <v>12419</v>
      </c>
      <c r="AE522" t="s">
        <v>12435</v>
      </c>
      <c r="AF522">
        <v>2</v>
      </c>
      <c r="AG522">
        <v>1</v>
      </c>
      <c r="AH522">
        <v>5</v>
      </c>
      <c r="AI522">
        <v>35.57</v>
      </c>
      <c r="AL522" t="s">
        <v>12460</v>
      </c>
      <c r="AM522">
        <v>12000</v>
      </c>
      <c r="AN522" t="s">
        <v>12528</v>
      </c>
      <c r="AS522">
        <v>1.2</v>
      </c>
      <c r="AT522" t="s">
        <v>373</v>
      </c>
      <c r="AU522" t="s">
        <v>78</v>
      </c>
    </row>
    <row r="523" spans="1:48">
      <c r="A523" s="1">
        <f>HYPERLINK("https://cms.ls-nyc.org/matter/dynamic-profile/view/1862877","18-1862877")</f>
        <v>0</v>
      </c>
      <c r="B523" t="s">
        <v>77</v>
      </c>
      <c r="C523" t="s">
        <v>349</v>
      </c>
      <c r="E523" t="s">
        <v>932</v>
      </c>
      <c r="F523" t="s">
        <v>2399</v>
      </c>
      <c r="G523" t="s">
        <v>4038</v>
      </c>
      <c r="H523" t="s">
        <v>5528</v>
      </c>
      <c r="I523" t="s">
        <v>6043</v>
      </c>
      <c r="J523">
        <v>11239</v>
      </c>
      <c r="K523" t="s">
        <v>6074</v>
      </c>
      <c r="L523" t="s">
        <v>6074</v>
      </c>
      <c r="M523" t="s">
        <v>6359</v>
      </c>
      <c r="N523" t="s">
        <v>7276</v>
      </c>
      <c r="O523" t="s">
        <v>7306</v>
      </c>
      <c r="Q523" t="s">
        <v>7322</v>
      </c>
      <c r="S523" t="s">
        <v>7324</v>
      </c>
      <c r="U523" t="s">
        <v>475</v>
      </c>
      <c r="V523">
        <v>792</v>
      </c>
      <c r="W523" t="s">
        <v>7362</v>
      </c>
      <c r="X523" t="s">
        <v>7374</v>
      </c>
      <c r="Z523" t="s">
        <v>7834</v>
      </c>
      <c r="AA523" t="s">
        <v>9981</v>
      </c>
      <c r="AB523" t="s">
        <v>10648</v>
      </c>
      <c r="AC523">
        <v>40</v>
      </c>
      <c r="AD523" t="s">
        <v>12425</v>
      </c>
      <c r="AE523" t="s">
        <v>6110</v>
      </c>
      <c r="AF523">
        <v>10</v>
      </c>
      <c r="AG523">
        <v>1</v>
      </c>
      <c r="AH523">
        <v>0</v>
      </c>
      <c r="AI523">
        <v>35.68</v>
      </c>
      <c r="AL523" t="s">
        <v>12460</v>
      </c>
      <c r="AM523">
        <v>4332</v>
      </c>
      <c r="AN523" t="s">
        <v>12491</v>
      </c>
      <c r="AS523">
        <v>5.95</v>
      </c>
      <c r="AT523" t="s">
        <v>395</v>
      </c>
      <c r="AU523" t="s">
        <v>13079</v>
      </c>
    </row>
    <row r="524" spans="1:48">
      <c r="A524" s="1">
        <f>HYPERLINK("https://cms.ls-nyc.org/matter/dynamic-profile/view/1897904","19-1897904")</f>
        <v>0</v>
      </c>
      <c r="B524" t="s">
        <v>77</v>
      </c>
      <c r="C524" t="s">
        <v>375</v>
      </c>
      <c r="E524" t="s">
        <v>949</v>
      </c>
      <c r="F524" t="s">
        <v>2356</v>
      </c>
      <c r="G524" t="s">
        <v>4039</v>
      </c>
      <c r="H524">
        <v>254</v>
      </c>
      <c r="I524" t="s">
        <v>6043</v>
      </c>
      <c r="J524">
        <v>11208</v>
      </c>
      <c r="K524" t="s">
        <v>6074</v>
      </c>
      <c r="L524" t="s">
        <v>6074</v>
      </c>
      <c r="M524" t="s">
        <v>6360</v>
      </c>
      <c r="N524" t="s">
        <v>7276</v>
      </c>
      <c r="O524" t="s">
        <v>7310</v>
      </c>
      <c r="Q524" t="s">
        <v>7322</v>
      </c>
      <c r="R524" t="s">
        <v>6076</v>
      </c>
      <c r="S524" t="s">
        <v>7324</v>
      </c>
      <c r="U524" t="s">
        <v>322</v>
      </c>
      <c r="V524">
        <v>1561</v>
      </c>
      <c r="W524" t="s">
        <v>7362</v>
      </c>
      <c r="X524" t="s">
        <v>7305</v>
      </c>
      <c r="Z524" t="s">
        <v>7835</v>
      </c>
      <c r="AA524">
        <v>5428120</v>
      </c>
      <c r="AB524" t="s">
        <v>10649</v>
      </c>
      <c r="AC524">
        <v>266</v>
      </c>
      <c r="AD524" t="s">
        <v>12422</v>
      </c>
      <c r="AF524">
        <v>5</v>
      </c>
      <c r="AG524">
        <v>2</v>
      </c>
      <c r="AH524">
        <v>0</v>
      </c>
      <c r="AI524">
        <v>35.77</v>
      </c>
      <c r="AL524" t="s">
        <v>12460</v>
      </c>
      <c r="AM524">
        <v>6048</v>
      </c>
      <c r="AS524">
        <v>3</v>
      </c>
      <c r="AT524" t="s">
        <v>460</v>
      </c>
      <c r="AU524" t="s">
        <v>180</v>
      </c>
    </row>
    <row r="525" spans="1:48">
      <c r="A525" s="1">
        <f>HYPERLINK("https://cms.ls-nyc.org/matter/dynamic-profile/view/1874480","18-1874480")</f>
        <v>0</v>
      </c>
      <c r="B525" t="s">
        <v>54</v>
      </c>
      <c r="C525" t="s">
        <v>236</v>
      </c>
      <c r="E525" t="s">
        <v>950</v>
      </c>
      <c r="F525" t="s">
        <v>2356</v>
      </c>
      <c r="G525" t="s">
        <v>3651</v>
      </c>
      <c r="H525">
        <v>1110</v>
      </c>
      <c r="I525" t="s">
        <v>6024</v>
      </c>
      <c r="J525">
        <v>11692</v>
      </c>
      <c r="K525" t="s">
        <v>6074</v>
      </c>
      <c r="L525" t="s">
        <v>6074</v>
      </c>
      <c r="M525" t="s">
        <v>6361</v>
      </c>
      <c r="N525" t="s">
        <v>7276</v>
      </c>
      <c r="O525" t="s">
        <v>7308</v>
      </c>
      <c r="Q525" t="s">
        <v>7322</v>
      </c>
      <c r="R525" t="s">
        <v>6076</v>
      </c>
      <c r="S525" t="s">
        <v>7324</v>
      </c>
      <c r="T525" t="s">
        <v>7336</v>
      </c>
      <c r="U525" t="s">
        <v>236</v>
      </c>
      <c r="V525">
        <v>1500</v>
      </c>
      <c r="W525" t="s">
        <v>7361</v>
      </c>
      <c r="X525" t="s">
        <v>7366</v>
      </c>
      <c r="Z525" t="s">
        <v>7836</v>
      </c>
      <c r="AA525" t="s">
        <v>9982</v>
      </c>
      <c r="AB525" t="s">
        <v>10650</v>
      </c>
      <c r="AC525">
        <v>217</v>
      </c>
      <c r="AD525" t="s">
        <v>6322</v>
      </c>
      <c r="AE525" t="s">
        <v>12433</v>
      </c>
      <c r="AF525">
        <v>3</v>
      </c>
      <c r="AG525">
        <v>2</v>
      </c>
      <c r="AH525">
        <v>2</v>
      </c>
      <c r="AI525">
        <v>35.86</v>
      </c>
      <c r="AL525" t="s">
        <v>12460</v>
      </c>
      <c r="AM525">
        <v>9000</v>
      </c>
      <c r="AO525" t="s">
        <v>12848</v>
      </c>
      <c r="AP525" t="s">
        <v>12875</v>
      </c>
      <c r="AQ525" t="s">
        <v>12909</v>
      </c>
      <c r="AR525" t="s">
        <v>12961</v>
      </c>
      <c r="AS525">
        <v>12.75</v>
      </c>
      <c r="AT525" t="s">
        <v>367</v>
      </c>
      <c r="AU525" t="s">
        <v>48</v>
      </c>
    </row>
    <row r="526" spans="1:48">
      <c r="A526" s="1">
        <f>HYPERLINK("https://cms.ls-nyc.org/matter/dynamic-profile/view/1871997","18-1871997")</f>
        <v>0</v>
      </c>
      <c r="B526" t="s">
        <v>96</v>
      </c>
      <c r="C526" t="s">
        <v>388</v>
      </c>
      <c r="D526" t="s">
        <v>409</v>
      </c>
      <c r="E526" t="s">
        <v>951</v>
      </c>
      <c r="F526" t="s">
        <v>2400</v>
      </c>
      <c r="G526" t="s">
        <v>4040</v>
      </c>
      <c r="H526" t="s">
        <v>5529</v>
      </c>
      <c r="I526" t="s">
        <v>6047</v>
      </c>
      <c r="J526">
        <v>10453</v>
      </c>
      <c r="K526" t="s">
        <v>6074</v>
      </c>
      <c r="L526" t="s">
        <v>6074</v>
      </c>
      <c r="M526" t="s">
        <v>6362</v>
      </c>
      <c r="N526" t="s">
        <v>7274</v>
      </c>
      <c r="O526" t="s">
        <v>7307</v>
      </c>
      <c r="P526" t="s">
        <v>7315</v>
      </c>
      <c r="Q526" t="s">
        <v>7322</v>
      </c>
      <c r="S526" t="s">
        <v>7324</v>
      </c>
      <c r="T526" t="s">
        <v>7338</v>
      </c>
      <c r="U526" t="s">
        <v>388</v>
      </c>
      <c r="V526">
        <v>54</v>
      </c>
      <c r="W526" t="s">
        <v>7363</v>
      </c>
      <c r="X526" t="s">
        <v>7376</v>
      </c>
      <c r="Y526" t="s">
        <v>7390</v>
      </c>
      <c r="Z526" t="s">
        <v>7837</v>
      </c>
      <c r="AB526" t="s">
        <v>10651</v>
      </c>
      <c r="AC526">
        <v>59</v>
      </c>
      <c r="AD526" t="s">
        <v>12422</v>
      </c>
      <c r="AE526" t="s">
        <v>12434</v>
      </c>
      <c r="AF526">
        <v>17</v>
      </c>
      <c r="AG526">
        <v>1</v>
      </c>
      <c r="AH526">
        <v>0</v>
      </c>
      <c r="AI526">
        <v>35.88</v>
      </c>
      <c r="AL526" t="s">
        <v>12461</v>
      </c>
      <c r="AM526">
        <v>4356</v>
      </c>
      <c r="AS526">
        <v>0.1</v>
      </c>
      <c r="AT526" t="s">
        <v>409</v>
      </c>
      <c r="AU526" t="s">
        <v>13092</v>
      </c>
    </row>
    <row r="527" spans="1:48">
      <c r="A527" s="1">
        <f>HYPERLINK("https://cms.ls-nyc.org/matter/dynamic-profile/view/1896986","19-1896986")</f>
        <v>0</v>
      </c>
      <c r="B527" t="s">
        <v>132</v>
      </c>
      <c r="C527" t="s">
        <v>268</v>
      </c>
      <c r="E527" t="s">
        <v>952</v>
      </c>
      <c r="F527" t="s">
        <v>2401</v>
      </c>
      <c r="G527" t="s">
        <v>4041</v>
      </c>
      <c r="H527" t="s">
        <v>5438</v>
      </c>
      <c r="I527" t="s">
        <v>6049</v>
      </c>
      <c r="J527">
        <v>10034</v>
      </c>
      <c r="K527" t="s">
        <v>6074</v>
      </c>
      <c r="L527" t="s">
        <v>6074</v>
      </c>
      <c r="M527" t="s">
        <v>6363</v>
      </c>
      <c r="N527" t="s">
        <v>7276</v>
      </c>
      <c r="O527" t="s">
        <v>7306</v>
      </c>
      <c r="Q527" t="s">
        <v>7322</v>
      </c>
      <c r="R527" t="s">
        <v>6076</v>
      </c>
      <c r="S527" t="s">
        <v>7324</v>
      </c>
      <c r="U527" t="s">
        <v>268</v>
      </c>
      <c r="V527">
        <v>2000.13</v>
      </c>
      <c r="W527" t="s">
        <v>7365</v>
      </c>
      <c r="X527" t="s">
        <v>7368</v>
      </c>
      <c r="Z527" t="s">
        <v>7838</v>
      </c>
      <c r="AB527" t="s">
        <v>10652</v>
      </c>
      <c r="AC527">
        <v>72</v>
      </c>
      <c r="AD527" t="s">
        <v>12422</v>
      </c>
      <c r="AE527" t="s">
        <v>6110</v>
      </c>
      <c r="AF527">
        <v>12</v>
      </c>
      <c r="AG527">
        <v>1</v>
      </c>
      <c r="AH527">
        <v>0</v>
      </c>
      <c r="AI527">
        <v>35.93</v>
      </c>
      <c r="AL527" t="s">
        <v>12460</v>
      </c>
      <c r="AM527">
        <v>4488</v>
      </c>
      <c r="AS527">
        <v>3</v>
      </c>
      <c r="AT527" t="s">
        <v>279</v>
      </c>
      <c r="AU527" t="s">
        <v>13106</v>
      </c>
    </row>
    <row r="528" spans="1:48">
      <c r="A528" s="1">
        <f>HYPERLINK("https://cms.ls-nyc.org/matter/dynamic-profile/view/1878163","18-1878163")</f>
        <v>0</v>
      </c>
      <c r="B528" t="s">
        <v>128</v>
      </c>
      <c r="C528" t="s">
        <v>255</v>
      </c>
      <c r="E528" t="s">
        <v>586</v>
      </c>
      <c r="F528" t="s">
        <v>2194</v>
      </c>
      <c r="G528" t="s">
        <v>4042</v>
      </c>
      <c r="H528" t="s">
        <v>5522</v>
      </c>
      <c r="I528" t="s">
        <v>6049</v>
      </c>
      <c r="J528">
        <v>10031</v>
      </c>
      <c r="K528" t="s">
        <v>6074</v>
      </c>
      <c r="L528" t="s">
        <v>6074</v>
      </c>
      <c r="M528" t="s">
        <v>6364</v>
      </c>
      <c r="N528" t="s">
        <v>7274</v>
      </c>
      <c r="O528" t="s">
        <v>7308</v>
      </c>
      <c r="Q528" t="s">
        <v>7322</v>
      </c>
      <c r="R528" t="s">
        <v>6076</v>
      </c>
      <c r="S528" t="s">
        <v>7324</v>
      </c>
      <c r="T528" t="s">
        <v>7336</v>
      </c>
      <c r="U528" t="s">
        <v>255</v>
      </c>
      <c r="V528">
        <v>572.08</v>
      </c>
      <c r="W528" t="s">
        <v>7365</v>
      </c>
      <c r="X528" t="s">
        <v>7366</v>
      </c>
      <c r="Z528" t="s">
        <v>7839</v>
      </c>
      <c r="AB528" t="s">
        <v>10653</v>
      </c>
      <c r="AC528">
        <v>13</v>
      </c>
      <c r="AD528" t="s">
        <v>12422</v>
      </c>
      <c r="AE528" t="s">
        <v>6110</v>
      </c>
      <c r="AF528">
        <v>28</v>
      </c>
      <c r="AG528">
        <v>4</v>
      </c>
      <c r="AH528">
        <v>5</v>
      </c>
      <c r="AI528">
        <v>35.97</v>
      </c>
      <c r="AL528" t="s">
        <v>12461</v>
      </c>
      <c r="AM528">
        <v>16800</v>
      </c>
      <c r="AP528" t="s">
        <v>12858</v>
      </c>
      <c r="AQ528" t="s">
        <v>12909</v>
      </c>
      <c r="AR528" t="s">
        <v>12962</v>
      </c>
      <c r="AS528">
        <v>6.7</v>
      </c>
      <c r="AT528" t="s">
        <v>428</v>
      </c>
      <c r="AU528" t="s">
        <v>13106</v>
      </c>
    </row>
    <row r="529" spans="1:47">
      <c r="A529" s="1">
        <f>HYPERLINK("https://cms.ls-nyc.org/matter/dynamic-profile/view/1872640","18-1872640")</f>
        <v>0</v>
      </c>
      <c r="B529" t="s">
        <v>94</v>
      </c>
      <c r="C529" t="s">
        <v>242</v>
      </c>
      <c r="E529" t="s">
        <v>938</v>
      </c>
      <c r="F529" t="s">
        <v>2133</v>
      </c>
      <c r="G529" t="s">
        <v>4043</v>
      </c>
      <c r="H529" t="s">
        <v>5478</v>
      </c>
      <c r="I529" t="s">
        <v>6024</v>
      </c>
      <c r="J529">
        <v>11692</v>
      </c>
      <c r="K529" t="s">
        <v>6074</v>
      </c>
      <c r="L529" t="s">
        <v>6074</v>
      </c>
      <c r="M529" t="s">
        <v>6365</v>
      </c>
      <c r="N529" t="s">
        <v>7274</v>
      </c>
      <c r="O529" t="s">
        <v>7310</v>
      </c>
      <c r="Q529" t="s">
        <v>7322</v>
      </c>
      <c r="R529" t="s">
        <v>6076</v>
      </c>
      <c r="S529" t="s">
        <v>7324</v>
      </c>
      <c r="T529" t="s">
        <v>7336</v>
      </c>
      <c r="U529" t="s">
        <v>242</v>
      </c>
      <c r="V529">
        <v>791</v>
      </c>
      <c r="W529" t="s">
        <v>7361</v>
      </c>
      <c r="X529" t="s">
        <v>7366</v>
      </c>
      <c r="Z529" t="s">
        <v>7840</v>
      </c>
      <c r="AA529" t="s">
        <v>9983</v>
      </c>
      <c r="AB529" t="s">
        <v>10654</v>
      </c>
      <c r="AC529">
        <v>2</v>
      </c>
      <c r="AD529" t="s">
        <v>12419</v>
      </c>
      <c r="AE529" t="s">
        <v>6110</v>
      </c>
      <c r="AF529">
        <v>8</v>
      </c>
      <c r="AG529">
        <v>1</v>
      </c>
      <c r="AH529">
        <v>3</v>
      </c>
      <c r="AI529">
        <v>36</v>
      </c>
      <c r="AL529" t="s">
        <v>12460</v>
      </c>
      <c r="AM529">
        <v>9036</v>
      </c>
      <c r="AO529" t="s">
        <v>12847</v>
      </c>
      <c r="AP529" t="s">
        <v>12858</v>
      </c>
      <c r="AQ529" t="s">
        <v>12909</v>
      </c>
      <c r="AR529" t="s">
        <v>12963</v>
      </c>
      <c r="AS529">
        <v>2.15</v>
      </c>
      <c r="AT529" t="s">
        <v>262</v>
      </c>
      <c r="AU529" t="s">
        <v>48</v>
      </c>
    </row>
    <row r="530" spans="1:47">
      <c r="A530" s="1">
        <f>HYPERLINK("https://cms.ls-nyc.org/matter/dynamic-profile/view/1883969","18-1883969")</f>
        <v>0</v>
      </c>
      <c r="B530" t="s">
        <v>52</v>
      </c>
      <c r="C530" t="s">
        <v>412</v>
      </c>
      <c r="D530" t="s">
        <v>277</v>
      </c>
      <c r="E530" t="s">
        <v>938</v>
      </c>
      <c r="F530" t="s">
        <v>2133</v>
      </c>
      <c r="G530" t="s">
        <v>4043</v>
      </c>
      <c r="H530" t="s">
        <v>5478</v>
      </c>
      <c r="I530" t="s">
        <v>6024</v>
      </c>
      <c r="J530">
        <v>11692</v>
      </c>
      <c r="K530" t="s">
        <v>6074</v>
      </c>
      <c r="L530" t="s">
        <v>6074</v>
      </c>
      <c r="M530" t="s">
        <v>6366</v>
      </c>
      <c r="N530" t="s">
        <v>7274</v>
      </c>
      <c r="O530" t="s">
        <v>7308</v>
      </c>
      <c r="P530" t="s">
        <v>7316</v>
      </c>
      <c r="Q530" t="s">
        <v>7322</v>
      </c>
      <c r="R530" t="s">
        <v>6076</v>
      </c>
      <c r="S530" t="s">
        <v>7324</v>
      </c>
      <c r="T530" t="s">
        <v>7336</v>
      </c>
      <c r="U530" t="s">
        <v>412</v>
      </c>
      <c r="V530">
        <v>1700</v>
      </c>
      <c r="W530" t="s">
        <v>7361</v>
      </c>
      <c r="X530" t="s">
        <v>7366</v>
      </c>
      <c r="Y530" t="s">
        <v>7388</v>
      </c>
      <c r="Z530" t="s">
        <v>7840</v>
      </c>
      <c r="AA530" t="s">
        <v>9984</v>
      </c>
      <c r="AB530" t="s">
        <v>10655</v>
      </c>
      <c r="AC530">
        <v>3</v>
      </c>
      <c r="AD530" t="s">
        <v>12419</v>
      </c>
      <c r="AE530" t="s">
        <v>6110</v>
      </c>
      <c r="AF530">
        <v>7</v>
      </c>
      <c r="AG530">
        <v>1</v>
      </c>
      <c r="AH530">
        <v>3</v>
      </c>
      <c r="AI530">
        <v>36</v>
      </c>
      <c r="AL530" t="s">
        <v>12460</v>
      </c>
      <c r="AM530">
        <v>9036</v>
      </c>
      <c r="AO530" t="s">
        <v>12845</v>
      </c>
      <c r="AP530" t="s">
        <v>12858</v>
      </c>
      <c r="AQ530" t="s">
        <v>12909</v>
      </c>
      <c r="AR530" t="s">
        <v>12964</v>
      </c>
      <c r="AS530">
        <v>24.05</v>
      </c>
      <c r="AT530" t="s">
        <v>367</v>
      </c>
      <c r="AU530" t="s">
        <v>48</v>
      </c>
    </row>
    <row r="531" spans="1:47">
      <c r="A531" s="1">
        <f>HYPERLINK("https://cms.ls-nyc.org/matter/dynamic-profile/view/1877221","18-1877221")</f>
        <v>0</v>
      </c>
      <c r="B531" t="s">
        <v>108</v>
      </c>
      <c r="C531" t="s">
        <v>273</v>
      </c>
      <c r="D531" t="s">
        <v>472</v>
      </c>
      <c r="E531" t="s">
        <v>877</v>
      </c>
      <c r="F531" t="s">
        <v>633</v>
      </c>
      <c r="G531" t="s">
        <v>3805</v>
      </c>
      <c r="H531" t="s">
        <v>5530</v>
      </c>
      <c r="I531" t="s">
        <v>6047</v>
      </c>
      <c r="J531">
        <v>10452</v>
      </c>
      <c r="K531" t="s">
        <v>6074</v>
      </c>
      <c r="L531" t="s">
        <v>6074</v>
      </c>
      <c r="N531" t="s">
        <v>7273</v>
      </c>
      <c r="O531" t="s">
        <v>7306</v>
      </c>
      <c r="P531" t="s">
        <v>7314</v>
      </c>
      <c r="Q531" t="s">
        <v>7322</v>
      </c>
      <c r="R531" t="s">
        <v>6076</v>
      </c>
      <c r="S531" t="s">
        <v>7324</v>
      </c>
      <c r="U531" t="s">
        <v>355</v>
      </c>
      <c r="V531">
        <v>1600</v>
      </c>
      <c r="W531" t="s">
        <v>7363</v>
      </c>
      <c r="X531" t="s">
        <v>7376</v>
      </c>
      <c r="Y531" t="s">
        <v>7386</v>
      </c>
      <c r="Z531" t="s">
        <v>7841</v>
      </c>
      <c r="AC531">
        <v>149</v>
      </c>
      <c r="AD531" t="s">
        <v>12422</v>
      </c>
      <c r="AE531" t="s">
        <v>7305</v>
      </c>
      <c r="AF531">
        <v>12</v>
      </c>
      <c r="AG531">
        <v>1</v>
      </c>
      <c r="AH531">
        <v>1</v>
      </c>
      <c r="AI531">
        <v>36.09</v>
      </c>
      <c r="AL531" t="s">
        <v>12460</v>
      </c>
      <c r="AM531">
        <v>5940</v>
      </c>
      <c r="AS531">
        <v>0.2</v>
      </c>
      <c r="AT531" t="s">
        <v>492</v>
      </c>
      <c r="AU531" t="s">
        <v>13099</v>
      </c>
    </row>
    <row r="532" spans="1:47">
      <c r="A532" s="1">
        <f>HYPERLINK("https://cms.ls-nyc.org/matter/dynamic-profile/view/1891847","19-1891847")</f>
        <v>0</v>
      </c>
      <c r="B532" t="s">
        <v>120</v>
      </c>
      <c r="C532" t="s">
        <v>275</v>
      </c>
      <c r="E532" t="s">
        <v>953</v>
      </c>
      <c r="F532" t="s">
        <v>2402</v>
      </c>
      <c r="G532" t="s">
        <v>4044</v>
      </c>
      <c r="I532" t="s">
        <v>6048</v>
      </c>
      <c r="J532">
        <v>10301</v>
      </c>
      <c r="K532" t="s">
        <v>6074</v>
      </c>
      <c r="L532" t="s">
        <v>6074</v>
      </c>
      <c r="M532" t="s">
        <v>6367</v>
      </c>
      <c r="N532" t="s">
        <v>7276</v>
      </c>
      <c r="O532" t="s">
        <v>7308</v>
      </c>
      <c r="Q532" t="s">
        <v>7322</v>
      </c>
      <c r="R532" t="s">
        <v>6076</v>
      </c>
      <c r="S532" t="s">
        <v>7324</v>
      </c>
      <c r="T532" t="s">
        <v>7336</v>
      </c>
      <c r="U532" t="s">
        <v>275</v>
      </c>
      <c r="V532">
        <v>911</v>
      </c>
      <c r="W532" t="s">
        <v>7364</v>
      </c>
      <c r="X532" t="s">
        <v>7305</v>
      </c>
      <c r="Z532" t="s">
        <v>7842</v>
      </c>
      <c r="AB532" t="s">
        <v>10656</v>
      </c>
      <c r="AC532">
        <v>0</v>
      </c>
      <c r="AF532">
        <v>3</v>
      </c>
      <c r="AG532">
        <v>2</v>
      </c>
      <c r="AH532">
        <v>0</v>
      </c>
      <c r="AI532">
        <v>36.33</v>
      </c>
      <c r="AL532" t="s">
        <v>12460</v>
      </c>
      <c r="AM532">
        <v>6144</v>
      </c>
      <c r="AS532">
        <v>7.1</v>
      </c>
      <c r="AT532" t="s">
        <v>423</v>
      </c>
      <c r="AU532" t="s">
        <v>13103</v>
      </c>
    </row>
    <row r="533" spans="1:47">
      <c r="A533" s="1">
        <f>HYPERLINK("https://cms.ls-nyc.org/matter/dynamic-profile/view/1875885","18-1875885")</f>
        <v>0</v>
      </c>
      <c r="B533" t="s">
        <v>55</v>
      </c>
      <c r="C533" t="s">
        <v>281</v>
      </c>
      <c r="D533" t="s">
        <v>472</v>
      </c>
      <c r="E533" t="s">
        <v>954</v>
      </c>
      <c r="F533" t="s">
        <v>2403</v>
      </c>
      <c r="G533" t="s">
        <v>4045</v>
      </c>
      <c r="H533" t="s">
        <v>5357</v>
      </c>
      <c r="I533" t="s">
        <v>6041</v>
      </c>
      <c r="J533">
        <v>11365</v>
      </c>
      <c r="K533" t="s">
        <v>6074</v>
      </c>
      <c r="L533" t="s">
        <v>6074</v>
      </c>
      <c r="M533" t="s">
        <v>6368</v>
      </c>
      <c r="N533" t="s">
        <v>7276</v>
      </c>
      <c r="O533" t="s">
        <v>7308</v>
      </c>
      <c r="P533" t="s">
        <v>7316</v>
      </c>
      <c r="Q533" t="s">
        <v>7323</v>
      </c>
      <c r="R533" t="s">
        <v>6076</v>
      </c>
      <c r="S533" t="s">
        <v>7330</v>
      </c>
      <c r="T533" t="s">
        <v>7336</v>
      </c>
      <c r="U533" t="s">
        <v>281</v>
      </c>
      <c r="V533">
        <v>521</v>
      </c>
      <c r="W533" t="s">
        <v>7361</v>
      </c>
      <c r="X533" t="s">
        <v>7369</v>
      </c>
      <c r="Y533" t="s">
        <v>7399</v>
      </c>
      <c r="Z533" t="s">
        <v>7843</v>
      </c>
      <c r="AA533" t="s">
        <v>9985</v>
      </c>
      <c r="AB533" t="s">
        <v>10657</v>
      </c>
      <c r="AC533">
        <v>100</v>
      </c>
      <c r="AD533" t="s">
        <v>12427</v>
      </c>
      <c r="AE533" t="s">
        <v>6110</v>
      </c>
      <c r="AF533">
        <v>13</v>
      </c>
      <c r="AG533">
        <v>1</v>
      </c>
      <c r="AH533">
        <v>2</v>
      </c>
      <c r="AI533">
        <v>36.38</v>
      </c>
      <c r="AJ533" t="s">
        <v>12443</v>
      </c>
      <c r="AK533" t="s">
        <v>12455</v>
      </c>
      <c r="AL533" t="s">
        <v>12460</v>
      </c>
      <c r="AM533">
        <v>7560</v>
      </c>
      <c r="AO533" t="s">
        <v>12847</v>
      </c>
      <c r="AP533" t="s">
        <v>12857</v>
      </c>
      <c r="AQ533" t="s">
        <v>12909</v>
      </c>
      <c r="AR533" t="s">
        <v>12965</v>
      </c>
      <c r="AS533">
        <v>9.85</v>
      </c>
      <c r="AT533" t="s">
        <v>420</v>
      </c>
      <c r="AU533" t="s">
        <v>189</v>
      </c>
    </row>
    <row r="534" spans="1:47">
      <c r="A534" s="1">
        <f>HYPERLINK("https://cms.ls-nyc.org/matter/dynamic-profile/view/1880227","18-1880227")</f>
        <v>0</v>
      </c>
      <c r="B534" t="s">
        <v>163</v>
      </c>
      <c r="C534" t="s">
        <v>354</v>
      </c>
      <c r="D534" t="s">
        <v>234</v>
      </c>
      <c r="E534" t="s">
        <v>605</v>
      </c>
      <c r="F534" t="s">
        <v>2404</v>
      </c>
      <c r="G534" t="s">
        <v>4046</v>
      </c>
      <c r="H534" t="s">
        <v>5531</v>
      </c>
      <c r="I534" t="s">
        <v>6047</v>
      </c>
      <c r="J534">
        <v>10467</v>
      </c>
      <c r="K534" t="s">
        <v>6074</v>
      </c>
      <c r="L534" t="s">
        <v>6074</v>
      </c>
      <c r="N534" t="s">
        <v>7286</v>
      </c>
      <c r="O534" t="s">
        <v>7309</v>
      </c>
      <c r="P534" t="s">
        <v>7315</v>
      </c>
      <c r="Q534" t="s">
        <v>7322</v>
      </c>
      <c r="R534" t="s">
        <v>6076</v>
      </c>
      <c r="S534" t="s">
        <v>7331</v>
      </c>
      <c r="U534" t="s">
        <v>355</v>
      </c>
      <c r="V534">
        <v>1332.6</v>
      </c>
      <c r="W534" t="s">
        <v>7363</v>
      </c>
      <c r="X534" t="s">
        <v>7370</v>
      </c>
      <c r="Y534" t="s">
        <v>7387</v>
      </c>
      <c r="Z534" t="s">
        <v>7844</v>
      </c>
      <c r="AB534" t="s">
        <v>10658</v>
      </c>
      <c r="AC534">
        <v>0</v>
      </c>
      <c r="AD534" t="s">
        <v>12422</v>
      </c>
      <c r="AE534" t="s">
        <v>12434</v>
      </c>
      <c r="AF534">
        <v>32</v>
      </c>
      <c r="AG534">
        <v>2</v>
      </c>
      <c r="AH534">
        <v>0</v>
      </c>
      <c r="AI534">
        <v>36.67</v>
      </c>
      <c r="AL534" t="s">
        <v>12461</v>
      </c>
      <c r="AM534">
        <v>6036</v>
      </c>
      <c r="AS534">
        <v>0.8</v>
      </c>
      <c r="AT534" t="s">
        <v>426</v>
      </c>
      <c r="AU534" t="s">
        <v>13099</v>
      </c>
    </row>
    <row r="535" spans="1:47">
      <c r="A535" s="1">
        <f>HYPERLINK("https://cms.ls-nyc.org/matter/dynamic-profile/view/1879115","18-1879115")</f>
        <v>0</v>
      </c>
      <c r="B535" t="s">
        <v>111</v>
      </c>
      <c r="C535" t="s">
        <v>438</v>
      </c>
      <c r="D535" t="s">
        <v>472</v>
      </c>
      <c r="E535" t="s">
        <v>955</v>
      </c>
      <c r="F535" t="s">
        <v>2405</v>
      </c>
      <c r="G535" t="s">
        <v>4047</v>
      </c>
      <c r="H535">
        <v>3</v>
      </c>
      <c r="I535" t="s">
        <v>6047</v>
      </c>
      <c r="J535">
        <v>10466</v>
      </c>
      <c r="K535" t="s">
        <v>6074</v>
      </c>
      <c r="L535" t="s">
        <v>6074</v>
      </c>
      <c r="N535" t="s">
        <v>6104</v>
      </c>
      <c r="O535" t="s">
        <v>7306</v>
      </c>
      <c r="P535" t="s">
        <v>7314</v>
      </c>
      <c r="Q535" t="s">
        <v>7322</v>
      </c>
      <c r="R535" t="s">
        <v>6076</v>
      </c>
      <c r="S535" t="s">
        <v>7324</v>
      </c>
      <c r="U535" t="s">
        <v>438</v>
      </c>
      <c r="V535">
        <v>2000</v>
      </c>
      <c r="W535" t="s">
        <v>7363</v>
      </c>
      <c r="X535" t="s">
        <v>7376</v>
      </c>
      <c r="Y535" t="s">
        <v>7386</v>
      </c>
      <c r="Z535" t="s">
        <v>7845</v>
      </c>
      <c r="AA535" t="s">
        <v>9986</v>
      </c>
      <c r="AC535">
        <v>3</v>
      </c>
      <c r="AD535" t="s">
        <v>12419</v>
      </c>
      <c r="AE535" t="s">
        <v>12438</v>
      </c>
      <c r="AF535">
        <v>1</v>
      </c>
      <c r="AG535">
        <v>3</v>
      </c>
      <c r="AH535">
        <v>5</v>
      </c>
      <c r="AI535">
        <v>36.81</v>
      </c>
      <c r="AL535" t="s">
        <v>12460</v>
      </c>
      <c r="AM535">
        <v>15600</v>
      </c>
      <c r="AS535">
        <v>0.2</v>
      </c>
      <c r="AT535" t="s">
        <v>272</v>
      </c>
      <c r="AU535" t="s">
        <v>13095</v>
      </c>
    </row>
    <row r="536" spans="1:47">
      <c r="A536" s="1">
        <f>HYPERLINK("https://cms.ls-nyc.org/matter/dynamic-profile/view/1880379","18-1880379")</f>
        <v>0</v>
      </c>
      <c r="B536" t="s">
        <v>86</v>
      </c>
      <c r="C536" t="s">
        <v>354</v>
      </c>
      <c r="D536" t="s">
        <v>557</v>
      </c>
      <c r="E536" t="s">
        <v>956</v>
      </c>
      <c r="F536" t="s">
        <v>2329</v>
      </c>
      <c r="G536" t="s">
        <v>4048</v>
      </c>
      <c r="H536" t="s">
        <v>5532</v>
      </c>
      <c r="I536" t="s">
        <v>6043</v>
      </c>
      <c r="J536">
        <v>11207</v>
      </c>
      <c r="K536" t="s">
        <v>6074</v>
      </c>
      <c r="L536" t="s">
        <v>6074</v>
      </c>
      <c r="N536" t="s">
        <v>7280</v>
      </c>
      <c r="O536" t="s">
        <v>7311</v>
      </c>
      <c r="P536" t="s">
        <v>7321</v>
      </c>
      <c r="Q536" t="s">
        <v>7322</v>
      </c>
      <c r="R536" t="s">
        <v>6076</v>
      </c>
      <c r="S536" t="s">
        <v>7327</v>
      </c>
      <c r="T536" t="s">
        <v>7340</v>
      </c>
      <c r="U536" t="s">
        <v>307</v>
      </c>
      <c r="V536">
        <v>1200</v>
      </c>
      <c r="W536" t="s">
        <v>7362</v>
      </c>
      <c r="X536" t="s">
        <v>7368</v>
      </c>
      <c r="Y536" t="s">
        <v>7397</v>
      </c>
      <c r="Z536" t="s">
        <v>7846</v>
      </c>
      <c r="AA536" t="s">
        <v>9987</v>
      </c>
      <c r="AB536" t="s">
        <v>10659</v>
      </c>
      <c r="AC536">
        <v>6</v>
      </c>
      <c r="AD536" t="s">
        <v>12422</v>
      </c>
      <c r="AE536" t="s">
        <v>12435</v>
      </c>
      <c r="AF536">
        <v>6</v>
      </c>
      <c r="AG536">
        <v>2</v>
      </c>
      <c r="AH536">
        <v>1</v>
      </c>
      <c r="AI536">
        <v>36.96</v>
      </c>
      <c r="AL536" t="s">
        <v>12460</v>
      </c>
      <c r="AM536">
        <v>7680</v>
      </c>
      <c r="AS536">
        <v>45.25</v>
      </c>
      <c r="AT536" t="s">
        <v>557</v>
      </c>
      <c r="AU536" t="s">
        <v>218</v>
      </c>
    </row>
    <row r="537" spans="1:47">
      <c r="A537" s="1">
        <f>HYPERLINK("https://cms.ls-nyc.org/matter/dynamic-profile/view/1883573","18-1883573")</f>
        <v>0</v>
      </c>
      <c r="B537" t="s">
        <v>86</v>
      </c>
      <c r="C537" t="s">
        <v>380</v>
      </c>
      <c r="D537" t="s">
        <v>557</v>
      </c>
      <c r="E537" t="s">
        <v>956</v>
      </c>
      <c r="F537" t="s">
        <v>2329</v>
      </c>
      <c r="G537" t="s">
        <v>4048</v>
      </c>
      <c r="I537" t="s">
        <v>6043</v>
      </c>
      <c r="J537">
        <v>11207</v>
      </c>
      <c r="K537" t="s">
        <v>6074</v>
      </c>
      <c r="L537" t="s">
        <v>6074</v>
      </c>
      <c r="N537" t="s">
        <v>7283</v>
      </c>
      <c r="O537" t="s">
        <v>7311</v>
      </c>
      <c r="P537" t="s">
        <v>7319</v>
      </c>
      <c r="Q537" t="s">
        <v>7322</v>
      </c>
      <c r="R537" t="s">
        <v>6076</v>
      </c>
      <c r="S537" t="s">
        <v>7324</v>
      </c>
      <c r="T537" t="s">
        <v>7340</v>
      </c>
      <c r="U537" t="s">
        <v>307</v>
      </c>
      <c r="V537">
        <v>1200</v>
      </c>
      <c r="W537" t="s">
        <v>7362</v>
      </c>
      <c r="X537" t="s">
        <v>7368</v>
      </c>
      <c r="Y537" t="s">
        <v>7387</v>
      </c>
      <c r="Z537" t="s">
        <v>7846</v>
      </c>
      <c r="AA537" t="s">
        <v>9987</v>
      </c>
      <c r="AB537" t="s">
        <v>10659</v>
      </c>
      <c r="AC537">
        <v>6</v>
      </c>
      <c r="AD537" t="s">
        <v>12422</v>
      </c>
      <c r="AE537" t="s">
        <v>12438</v>
      </c>
      <c r="AF537">
        <v>6</v>
      </c>
      <c r="AG537">
        <v>2</v>
      </c>
      <c r="AH537">
        <v>1</v>
      </c>
      <c r="AI537">
        <v>36.96</v>
      </c>
      <c r="AL537" t="s">
        <v>12460</v>
      </c>
      <c r="AM537">
        <v>7680</v>
      </c>
      <c r="AS537">
        <v>13.5</v>
      </c>
      <c r="AT537" t="s">
        <v>557</v>
      </c>
      <c r="AU537" t="s">
        <v>180</v>
      </c>
    </row>
    <row r="538" spans="1:47">
      <c r="A538" s="1">
        <f>HYPERLINK("https://cms.ls-nyc.org/matter/dynamic-profile/view/1876450","18-1876450")</f>
        <v>0</v>
      </c>
      <c r="B538" t="s">
        <v>97</v>
      </c>
      <c r="C538" t="s">
        <v>336</v>
      </c>
      <c r="D538" t="s">
        <v>389</v>
      </c>
      <c r="E538" t="s">
        <v>957</v>
      </c>
      <c r="F538" t="s">
        <v>2104</v>
      </c>
      <c r="G538" t="s">
        <v>4049</v>
      </c>
      <c r="H538" t="s">
        <v>5533</v>
      </c>
      <c r="I538" t="s">
        <v>6047</v>
      </c>
      <c r="J538">
        <v>10453</v>
      </c>
      <c r="K538" t="s">
        <v>6074</v>
      </c>
      <c r="L538" t="s">
        <v>6074</v>
      </c>
      <c r="N538" t="s">
        <v>6104</v>
      </c>
      <c r="O538" t="s">
        <v>7306</v>
      </c>
      <c r="P538" t="s">
        <v>7314</v>
      </c>
      <c r="Q538" t="s">
        <v>7322</v>
      </c>
      <c r="R538" t="s">
        <v>6076</v>
      </c>
      <c r="S538" t="s">
        <v>7324</v>
      </c>
      <c r="U538" t="s">
        <v>464</v>
      </c>
      <c r="V538">
        <v>250</v>
      </c>
      <c r="W538" t="s">
        <v>7363</v>
      </c>
      <c r="X538" t="s">
        <v>7376</v>
      </c>
      <c r="Y538" t="s">
        <v>7386</v>
      </c>
      <c r="Z538" t="s">
        <v>7847</v>
      </c>
      <c r="AB538" t="s">
        <v>10660</v>
      </c>
      <c r="AC538">
        <v>50</v>
      </c>
      <c r="AD538" t="s">
        <v>12422</v>
      </c>
      <c r="AE538" t="s">
        <v>6110</v>
      </c>
      <c r="AF538">
        <v>3</v>
      </c>
      <c r="AG538">
        <v>2</v>
      </c>
      <c r="AH538">
        <v>0</v>
      </c>
      <c r="AI538">
        <v>36.96</v>
      </c>
      <c r="AL538" t="s">
        <v>12460</v>
      </c>
      <c r="AM538">
        <v>6084</v>
      </c>
      <c r="AS538">
        <v>2.54</v>
      </c>
      <c r="AT538" t="s">
        <v>389</v>
      </c>
      <c r="AU538" t="s">
        <v>13104</v>
      </c>
    </row>
    <row r="539" spans="1:47">
      <c r="A539" s="1">
        <f>HYPERLINK("https://cms.ls-nyc.org/matter/dynamic-profile/view/1872683","18-1872683")</f>
        <v>0</v>
      </c>
      <c r="B539" t="s">
        <v>101</v>
      </c>
      <c r="C539" t="s">
        <v>242</v>
      </c>
      <c r="D539" t="s">
        <v>555</v>
      </c>
      <c r="E539" t="s">
        <v>586</v>
      </c>
      <c r="F539" t="s">
        <v>2279</v>
      </c>
      <c r="G539" t="s">
        <v>4050</v>
      </c>
      <c r="H539">
        <v>19</v>
      </c>
      <c r="I539" t="s">
        <v>6047</v>
      </c>
      <c r="J539">
        <v>10453</v>
      </c>
      <c r="K539" t="s">
        <v>6074</v>
      </c>
      <c r="L539" t="s">
        <v>6074</v>
      </c>
      <c r="M539" t="s">
        <v>6369</v>
      </c>
      <c r="N539" t="s">
        <v>7276</v>
      </c>
      <c r="O539" t="s">
        <v>7308</v>
      </c>
      <c r="P539" t="s">
        <v>7316</v>
      </c>
      <c r="Q539" t="s">
        <v>7322</v>
      </c>
      <c r="R539" t="s">
        <v>6076</v>
      </c>
      <c r="S539" t="s">
        <v>7324</v>
      </c>
      <c r="T539" t="s">
        <v>7339</v>
      </c>
      <c r="U539" t="s">
        <v>502</v>
      </c>
      <c r="V539">
        <v>1440.37</v>
      </c>
      <c r="W539" t="s">
        <v>7363</v>
      </c>
      <c r="X539" t="s">
        <v>7377</v>
      </c>
      <c r="Y539" t="s">
        <v>7396</v>
      </c>
      <c r="Z539" t="s">
        <v>7848</v>
      </c>
      <c r="AA539" t="s">
        <v>9988</v>
      </c>
      <c r="AB539" t="s">
        <v>10661</v>
      </c>
      <c r="AC539">
        <v>20</v>
      </c>
      <c r="AD539" t="s">
        <v>12430</v>
      </c>
      <c r="AE539" t="s">
        <v>12435</v>
      </c>
      <c r="AF539">
        <v>8</v>
      </c>
      <c r="AG539">
        <v>2</v>
      </c>
      <c r="AH539">
        <v>2</v>
      </c>
      <c r="AI539">
        <v>36.96</v>
      </c>
      <c r="AL539" t="s">
        <v>12461</v>
      </c>
      <c r="AM539">
        <v>9276</v>
      </c>
      <c r="AO539" t="s">
        <v>12847</v>
      </c>
      <c r="AP539" t="s">
        <v>12876</v>
      </c>
      <c r="AQ539" t="s">
        <v>12909</v>
      </c>
      <c r="AR539" t="s">
        <v>12966</v>
      </c>
      <c r="AS539">
        <v>12.25</v>
      </c>
      <c r="AT539" t="s">
        <v>299</v>
      </c>
      <c r="AU539" t="s">
        <v>13095</v>
      </c>
    </row>
    <row r="540" spans="1:47">
      <c r="A540" s="1">
        <f>HYPERLINK("https://cms.ls-nyc.org/matter/dynamic-profile/view/1893537","19-1893537")</f>
        <v>0</v>
      </c>
      <c r="B540" t="s">
        <v>60</v>
      </c>
      <c r="C540" t="s">
        <v>367</v>
      </c>
      <c r="D540" t="s">
        <v>367</v>
      </c>
      <c r="E540" t="s">
        <v>649</v>
      </c>
      <c r="F540" t="s">
        <v>1312</v>
      </c>
      <c r="G540" t="s">
        <v>4051</v>
      </c>
      <c r="H540" t="s">
        <v>5398</v>
      </c>
      <c r="I540" t="s">
        <v>6035</v>
      </c>
      <c r="J540">
        <v>11377</v>
      </c>
      <c r="K540" t="s">
        <v>6074</v>
      </c>
      <c r="L540" t="s">
        <v>6074</v>
      </c>
      <c r="M540" t="s">
        <v>6329</v>
      </c>
      <c r="N540" t="s">
        <v>6104</v>
      </c>
      <c r="O540" t="s">
        <v>7306</v>
      </c>
      <c r="P540" t="s">
        <v>7314</v>
      </c>
      <c r="Q540" t="s">
        <v>7323</v>
      </c>
      <c r="R540" t="s">
        <v>6076</v>
      </c>
      <c r="S540" t="s">
        <v>7324</v>
      </c>
      <c r="T540" t="s">
        <v>7336</v>
      </c>
      <c r="U540" t="s">
        <v>367</v>
      </c>
      <c r="V540">
        <v>807.63</v>
      </c>
      <c r="W540" t="s">
        <v>7361</v>
      </c>
      <c r="X540" t="s">
        <v>7369</v>
      </c>
      <c r="Y540" t="s">
        <v>7386</v>
      </c>
      <c r="Z540" t="s">
        <v>7849</v>
      </c>
      <c r="AA540" t="s">
        <v>9863</v>
      </c>
      <c r="AB540" t="s">
        <v>10662</v>
      </c>
      <c r="AC540">
        <v>181</v>
      </c>
      <c r="AD540" t="s">
        <v>12422</v>
      </c>
      <c r="AE540" t="s">
        <v>6110</v>
      </c>
      <c r="AF540">
        <v>20</v>
      </c>
      <c r="AG540">
        <v>1</v>
      </c>
      <c r="AH540">
        <v>2</v>
      </c>
      <c r="AI540">
        <v>37</v>
      </c>
      <c r="AJ540" t="s">
        <v>12443</v>
      </c>
      <c r="AK540" t="s">
        <v>12455</v>
      </c>
      <c r="AL540" t="s">
        <v>12461</v>
      </c>
      <c r="AM540">
        <v>7892.04</v>
      </c>
      <c r="AS540">
        <v>1.55</v>
      </c>
      <c r="AT540" t="s">
        <v>367</v>
      </c>
      <c r="AU540" t="s">
        <v>60</v>
      </c>
    </row>
    <row r="541" spans="1:47">
      <c r="A541" s="1">
        <f>HYPERLINK("https://cms.ls-nyc.org/matter/dynamic-profile/view/1879919","18-1879919")</f>
        <v>0</v>
      </c>
      <c r="B541" t="s">
        <v>102</v>
      </c>
      <c r="C541" t="s">
        <v>271</v>
      </c>
      <c r="E541" t="s">
        <v>630</v>
      </c>
      <c r="F541" t="s">
        <v>2406</v>
      </c>
      <c r="G541" t="s">
        <v>3796</v>
      </c>
      <c r="H541" t="s">
        <v>5373</v>
      </c>
      <c r="I541" t="s">
        <v>6047</v>
      </c>
      <c r="J541">
        <v>10453</v>
      </c>
      <c r="K541" t="s">
        <v>6074</v>
      </c>
      <c r="L541" t="s">
        <v>6074</v>
      </c>
      <c r="M541" t="s">
        <v>6370</v>
      </c>
      <c r="N541" t="s">
        <v>7274</v>
      </c>
      <c r="O541" t="s">
        <v>7308</v>
      </c>
      <c r="Q541" t="s">
        <v>7322</v>
      </c>
      <c r="R541" t="s">
        <v>6076</v>
      </c>
      <c r="S541" t="s">
        <v>7324</v>
      </c>
      <c r="U541" t="s">
        <v>271</v>
      </c>
      <c r="V541">
        <v>0</v>
      </c>
      <c r="W541" t="s">
        <v>7363</v>
      </c>
      <c r="X541" t="s">
        <v>7370</v>
      </c>
      <c r="Z541" t="s">
        <v>7850</v>
      </c>
      <c r="AA541" t="s">
        <v>9989</v>
      </c>
      <c r="AB541" t="s">
        <v>10663</v>
      </c>
      <c r="AC541">
        <v>0</v>
      </c>
      <c r="AD541" t="s">
        <v>12422</v>
      </c>
      <c r="AE541" t="s">
        <v>12434</v>
      </c>
      <c r="AF541">
        <v>14</v>
      </c>
      <c r="AG541">
        <v>3</v>
      </c>
      <c r="AH541">
        <v>2</v>
      </c>
      <c r="AI541">
        <v>37.08</v>
      </c>
      <c r="AL541" t="s">
        <v>12460</v>
      </c>
      <c r="AM541">
        <v>10908</v>
      </c>
      <c r="AS541">
        <v>9.199999999999999</v>
      </c>
      <c r="AT541" t="s">
        <v>387</v>
      </c>
      <c r="AU541" t="s">
        <v>13099</v>
      </c>
    </row>
    <row r="542" spans="1:47">
      <c r="A542" s="1">
        <f>HYPERLINK("https://cms.ls-nyc.org/matter/dynamic-profile/view/1889811","19-1889811")</f>
        <v>0</v>
      </c>
      <c r="B542" t="s">
        <v>96</v>
      </c>
      <c r="C542" t="s">
        <v>439</v>
      </c>
      <c r="E542" t="s">
        <v>958</v>
      </c>
      <c r="F542" t="s">
        <v>2122</v>
      </c>
      <c r="G542" t="s">
        <v>3792</v>
      </c>
      <c r="H542" t="s">
        <v>5534</v>
      </c>
      <c r="I542" t="s">
        <v>6047</v>
      </c>
      <c r="J542">
        <v>10453</v>
      </c>
      <c r="K542" t="s">
        <v>6074</v>
      </c>
      <c r="L542" t="s">
        <v>6074</v>
      </c>
      <c r="M542" t="s">
        <v>6259</v>
      </c>
      <c r="N542" t="s">
        <v>7273</v>
      </c>
      <c r="O542" t="s">
        <v>7308</v>
      </c>
      <c r="Q542" t="s">
        <v>7322</v>
      </c>
      <c r="R542" t="s">
        <v>6074</v>
      </c>
      <c r="S542" t="s">
        <v>7324</v>
      </c>
      <c r="U542" t="s">
        <v>457</v>
      </c>
      <c r="V542">
        <v>1193.81</v>
      </c>
      <c r="W542" t="s">
        <v>7363</v>
      </c>
      <c r="X542" t="s">
        <v>7376</v>
      </c>
      <c r="Z542" t="s">
        <v>7562</v>
      </c>
      <c r="AB542" t="s">
        <v>10664</v>
      </c>
      <c r="AC542">
        <v>170</v>
      </c>
      <c r="AD542" t="s">
        <v>12422</v>
      </c>
      <c r="AF542">
        <v>12</v>
      </c>
      <c r="AG542">
        <v>2</v>
      </c>
      <c r="AH542">
        <v>0</v>
      </c>
      <c r="AI542">
        <v>37.11</v>
      </c>
      <c r="AL542" t="s">
        <v>12461</v>
      </c>
      <c r="AM542">
        <v>6276</v>
      </c>
      <c r="AS542">
        <v>0</v>
      </c>
      <c r="AU542" t="s">
        <v>13113</v>
      </c>
    </row>
    <row r="543" spans="1:47">
      <c r="A543" s="1">
        <f>HYPERLINK("https://cms.ls-nyc.org/matter/dynamic-profile/view/1871691","18-1871691")</f>
        <v>0</v>
      </c>
      <c r="B543" t="s">
        <v>164</v>
      </c>
      <c r="C543" t="s">
        <v>440</v>
      </c>
      <c r="D543" t="s">
        <v>395</v>
      </c>
      <c r="E543" t="s">
        <v>646</v>
      </c>
      <c r="F543" t="s">
        <v>2407</v>
      </c>
      <c r="G543" t="s">
        <v>4052</v>
      </c>
      <c r="H543" t="s">
        <v>5535</v>
      </c>
      <c r="I543" t="s">
        <v>6043</v>
      </c>
      <c r="J543">
        <v>11233</v>
      </c>
      <c r="K543" t="s">
        <v>6074</v>
      </c>
      <c r="L543" t="s">
        <v>6074</v>
      </c>
      <c r="M543" t="s">
        <v>6371</v>
      </c>
      <c r="N543" t="s">
        <v>7276</v>
      </c>
      <c r="O543" t="s">
        <v>7308</v>
      </c>
      <c r="P543" t="s">
        <v>7316</v>
      </c>
      <c r="Q543" t="s">
        <v>7322</v>
      </c>
      <c r="R543" t="s">
        <v>6076</v>
      </c>
      <c r="S543" t="s">
        <v>7324</v>
      </c>
      <c r="U543" t="s">
        <v>231</v>
      </c>
      <c r="V543">
        <v>1500</v>
      </c>
      <c r="W543" t="s">
        <v>7362</v>
      </c>
      <c r="X543" t="s">
        <v>7305</v>
      </c>
      <c r="Y543" t="s">
        <v>7391</v>
      </c>
      <c r="Z543" t="s">
        <v>7851</v>
      </c>
      <c r="AA543" t="s">
        <v>9990</v>
      </c>
      <c r="AB543" t="s">
        <v>10665</v>
      </c>
      <c r="AC543">
        <v>4</v>
      </c>
      <c r="AF543">
        <v>10</v>
      </c>
      <c r="AG543">
        <v>1</v>
      </c>
      <c r="AH543">
        <v>0</v>
      </c>
      <c r="AI543">
        <v>37.17</v>
      </c>
      <c r="AL543" t="s">
        <v>12460</v>
      </c>
      <c r="AM543">
        <v>4512</v>
      </c>
      <c r="AS543">
        <v>9.449999999999999</v>
      </c>
      <c r="AT543" t="s">
        <v>395</v>
      </c>
      <c r="AU543" t="s">
        <v>13088</v>
      </c>
    </row>
    <row r="544" spans="1:47">
      <c r="A544" s="1">
        <f>HYPERLINK("https://cms.ls-nyc.org/matter/dynamic-profile/view/1869957","18-1869957")</f>
        <v>0</v>
      </c>
      <c r="B544" t="s">
        <v>96</v>
      </c>
      <c r="C544" t="s">
        <v>415</v>
      </c>
      <c r="D544" t="s">
        <v>472</v>
      </c>
      <c r="E544" t="s">
        <v>959</v>
      </c>
      <c r="F544" t="s">
        <v>2052</v>
      </c>
      <c r="G544" t="s">
        <v>3936</v>
      </c>
      <c r="H544" t="s">
        <v>5447</v>
      </c>
      <c r="I544" t="s">
        <v>6047</v>
      </c>
      <c r="J544">
        <v>10452</v>
      </c>
      <c r="K544" t="s">
        <v>6074</v>
      </c>
      <c r="L544" t="s">
        <v>6074</v>
      </c>
      <c r="N544" t="s">
        <v>7278</v>
      </c>
      <c r="O544" t="s">
        <v>7306</v>
      </c>
      <c r="P544" t="s">
        <v>7314</v>
      </c>
      <c r="Q544" t="s">
        <v>7322</v>
      </c>
      <c r="R544" t="s">
        <v>6074</v>
      </c>
      <c r="S544" t="s">
        <v>7324</v>
      </c>
      <c r="T544" t="s">
        <v>7336</v>
      </c>
      <c r="U544" t="s">
        <v>467</v>
      </c>
      <c r="V544">
        <v>1515</v>
      </c>
      <c r="W544" t="s">
        <v>7363</v>
      </c>
      <c r="X544" t="s">
        <v>7376</v>
      </c>
      <c r="Y544" t="s">
        <v>7386</v>
      </c>
      <c r="Z544" t="s">
        <v>7852</v>
      </c>
      <c r="AA544" t="s">
        <v>9991</v>
      </c>
      <c r="AB544" t="s">
        <v>10666</v>
      </c>
      <c r="AC544">
        <v>53</v>
      </c>
      <c r="AD544" t="s">
        <v>12422</v>
      </c>
      <c r="AE544" t="s">
        <v>12438</v>
      </c>
      <c r="AF544">
        <v>2</v>
      </c>
      <c r="AG544">
        <v>1</v>
      </c>
      <c r="AH544">
        <v>2</v>
      </c>
      <c r="AI544">
        <v>37.25</v>
      </c>
      <c r="AL544" t="s">
        <v>12460</v>
      </c>
      <c r="AM544">
        <v>7740</v>
      </c>
      <c r="AS544">
        <v>1.05</v>
      </c>
      <c r="AT544" t="s">
        <v>467</v>
      </c>
      <c r="AU544" t="s">
        <v>13092</v>
      </c>
    </row>
    <row r="545" spans="1:47">
      <c r="A545" s="1">
        <f>HYPERLINK("https://cms.ls-nyc.org/matter/dynamic-profile/view/1893549","19-1893549")</f>
        <v>0</v>
      </c>
      <c r="B545" t="s">
        <v>86</v>
      </c>
      <c r="C545" t="s">
        <v>367</v>
      </c>
      <c r="E545" t="s">
        <v>695</v>
      </c>
      <c r="F545" t="s">
        <v>2408</v>
      </c>
      <c r="G545" t="s">
        <v>4053</v>
      </c>
      <c r="H545" t="s">
        <v>5536</v>
      </c>
      <c r="I545" t="s">
        <v>6043</v>
      </c>
      <c r="J545">
        <v>11208</v>
      </c>
      <c r="K545" t="s">
        <v>6074</v>
      </c>
      <c r="L545" t="s">
        <v>6074</v>
      </c>
      <c r="M545" t="s">
        <v>6372</v>
      </c>
      <c r="N545" t="s">
        <v>7290</v>
      </c>
      <c r="O545" t="s">
        <v>7309</v>
      </c>
      <c r="Q545" t="s">
        <v>7322</v>
      </c>
      <c r="R545" t="s">
        <v>6076</v>
      </c>
      <c r="S545" t="s">
        <v>7327</v>
      </c>
      <c r="U545" t="s">
        <v>443</v>
      </c>
      <c r="V545">
        <v>247</v>
      </c>
      <c r="W545" t="s">
        <v>7362</v>
      </c>
      <c r="X545" t="s">
        <v>7381</v>
      </c>
      <c r="Z545" t="s">
        <v>7853</v>
      </c>
      <c r="AB545" t="s">
        <v>10667</v>
      </c>
      <c r="AC545">
        <v>0</v>
      </c>
      <c r="AD545" t="s">
        <v>12420</v>
      </c>
      <c r="AF545">
        <v>9</v>
      </c>
      <c r="AG545">
        <v>1</v>
      </c>
      <c r="AH545">
        <v>0</v>
      </c>
      <c r="AI545">
        <v>37.28</v>
      </c>
      <c r="AL545" t="s">
        <v>12460</v>
      </c>
      <c r="AM545">
        <v>4656</v>
      </c>
      <c r="AS545">
        <v>21</v>
      </c>
      <c r="AT545" t="s">
        <v>421</v>
      </c>
      <c r="AU545" t="s">
        <v>180</v>
      </c>
    </row>
    <row r="546" spans="1:47">
      <c r="A546" s="1">
        <f>HYPERLINK("https://cms.ls-nyc.org/matter/dynamic-profile/view/0802155","16-0802155")</f>
        <v>0</v>
      </c>
      <c r="B546" t="s">
        <v>149</v>
      </c>
      <c r="C546" t="s">
        <v>441</v>
      </c>
      <c r="E546" t="s">
        <v>822</v>
      </c>
      <c r="F546" t="s">
        <v>2409</v>
      </c>
      <c r="G546" t="s">
        <v>4054</v>
      </c>
      <c r="H546">
        <v>417</v>
      </c>
      <c r="I546" t="s">
        <v>6047</v>
      </c>
      <c r="J546">
        <v>10455</v>
      </c>
      <c r="K546" t="s">
        <v>6074</v>
      </c>
      <c r="L546" t="s">
        <v>6074</v>
      </c>
      <c r="M546" t="s">
        <v>6373</v>
      </c>
      <c r="N546" t="s">
        <v>7274</v>
      </c>
      <c r="O546" t="s">
        <v>7308</v>
      </c>
      <c r="Q546" t="s">
        <v>7322</v>
      </c>
      <c r="S546" t="s">
        <v>7324</v>
      </c>
      <c r="T546" t="s">
        <v>7338</v>
      </c>
      <c r="U546" t="s">
        <v>7344</v>
      </c>
      <c r="V546">
        <v>560</v>
      </c>
      <c r="W546" t="s">
        <v>7363</v>
      </c>
      <c r="X546" t="s">
        <v>7368</v>
      </c>
      <c r="Z546" t="s">
        <v>7854</v>
      </c>
      <c r="AB546" t="s">
        <v>10668</v>
      </c>
      <c r="AC546">
        <v>109</v>
      </c>
      <c r="AD546" t="s">
        <v>12420</v>
      </c>
      <c r="AE546" t="s">
        <v>12434</v>
      </c>
      <c r="AF546">
        <v>20</v>
      </c>
      <c r="AG546">
        <v>2</v>
      </c>
      <c r="AH546">
        <v>0</v>
      </c>
      <c r="AI546">
        <v>37.45</v>
      </c>
      <c r="AL546" t="s">
        <v>12461</v>
      </c>
      <c r="AM546">
        <v>6000</v>
      </c>
      <c r="AN546" t="s">
        <v>12541</v>
      </c>
      <c r="AS546">
        <v>220.4</v>
      </c>
      <c r="AT546" t="s">
        <v>496</v>
      </c>
      <c r="AU546" t="s">
        <v>13120</v>
      </c>
    </row>
    <row r="547" spans="1:47">
      <c r="A547" s="1">
        <f>HYPERLINK("https://cms.ls-nyc.org/matter/dynamic-profile/view/1893706","19-1893706")</f>
        <v>0</v>
      </c>
      <c r="B547" t="s">
        <v>118</v>
      </c>
      <c r="C547" t="s">
        <v>235</v>
      </c>
      <c r="E547" t="s">
        <v>751</v>
      </c>
      <c r="F547" t="s">
        <v>2104</v>
      </c>
      <c r="G547" t="s">
        <v>3826</v>
      </c>
      <c r="H547" t="s">
        <v>5376</v>
      </c>
      <c r="I547" t="s">
        <v>6048</v>
      </c>
      <c r="J547">
        <v>10301</v>
      </c>
      <c r="K547" t="s">
        <v>6074</v>
      </c>
      <c r="L547" t="s">
        <v>6074</v>
      </c>
      <c r="M547" t="s">
        <v>6374</v>
      </c>
      <c r="N547" t="s">
        <v>7273</v>
      </c>
      <c r="O547" t="s">
        <v>7308</v>
      </c>
      <c r="Q547" t="s">
        <v>7322</v>
      </c>
      <c r="R547" t="s">
        <v>6076</v>
      </c>
      <c r="S547" t="s">
        <v>7324</v>
      </c>
      <c r="T547" t="s">
        <v>7336</v>
      </c>
      <c r="U547" t="s">
        <v>235</v>
      </c>
      <c r="V547">
        <v>1172</v>
      </c>
      <c r="W547" t="s">
        <v>7364</v>
      </c>
      <c r="X547" t="s">
        <v>7368</v>
      </c>
      <c r="Z547" t="s">
        <v>7855</v>
      </c>
      <c r="AB547" t="s">
        <v>9856</v>
      </c>
      <c r="AC547">
        <v>8</v>
      </c>
      <c r="AD547" t="s">
        <v>12422</v>
      </c>
      <c r="AE547" t="s">
        <v>12440</v>
      </c>
      <c r="AF547">
        <v>9</v>
      </c>
      <c r="AG547">
        <v>1</v>
      </c>
      <c r="AH547">
        <v>0</v>
      </c>
      <c r="AI547">
        <v>37.47</v>
      </c>
      <c r="AL547" t="s">
        <v>12460</v>
      </c>
      <c r="AM547">
        <v>4680</v>
      </c>
      <c r="AS547">
        <v>12.8</v>
      </c>
      <c r="AT547" t="s">
        <v>460</v>
      </c>
      <c r="AU547" t="s">
        <v>13101</v>
      </c>
    </row>
    <row r="548" spans="1:47">
      <c r="A548" s="1">
        <f>HYPERLINK("https://cms.ls-nyc.org/matter/dynamic-profile/view/1882131","18-1882131")</f>
        <v>0</v>
      </c>
      <c r="B548" t="s">
        <v>106</v>
      </c>
      <c r="C548" t="s">
        <v>442</v>
      </c>
      <c r="D548" t="s">
        <v>389</v>
      </c>
      <c r="E548" t="s">
        <v>960</v>
      </c>
      <c r="F548" t="s">
        <v>2410</v>
      </c>
      <c r="G548" t="s">
        <v>3932</v>
      </c>
      <c r="H548" t="s">
        <v>5435</v>
      </c>
      <c r="I548" t="s">
        <v>6047</v>
      </c>
      <c r="J548">
        <v>10459</v>
      </c>
      <c r="K548" t="s">
        <v>6074</v>
      </c>
      <c r="L548" t="s">
        <v>6074</v>
      </c>
      <c r="N548" t="s">
        <v>6104</v>
      </c>
      <c r="O548" t="s">
        <v>7306</v>
      </c>
      <c r="P548" t="s">
        <v>7314</v>
      </c>
      <c r="Q548" t="s">
        <v>7322</v>
      </c>
      <c r="R548" t="s">
        <v>6076</v>
      </c>
      <c r="S548" t="s">
        <v>7324</v>
      </c>
      <c r="U548" t="s">
        <v>442</v>
      </c>
      <c r="V548">
        <v>1470</v>
      </c>
      <c r="W548" t="s">
        <v>7363</v>
      </c>
      <c r="X548" t="s">
        <v>7376</v>
      </c>
      <c r="Y548" t="s">
        <v>7386</v>
      </c>
      <c r="Z548" t="s">
        <v>7856</v>
      </c>
      <c r="AA548" t="s">
        <v>9992</v>
      </c>
      <c r="AC548">
        <v>50</v>
      </c>
      <c r="AD548" t="s">
        <v>12422</v>
      </c>
      <c r="AE548" t="s">
        <v>12434</v>
      </c>
      <c r="AF548">
        <v>2</v>
      </c>
      <c r="AG548">
        <v>1</v>
      </c>
      <c r="AH548">
        <v>2</v>
      </c>
      <c r="AI548">
        <v>37.54</v>
      </c>
      <c r="AL548" t="s">
        <v>12460</v>
      </c>
      <c r="AM548">
        <v>7800</v>
      </c>
      <c r="AS548">
        <v>2.5</v>
      </c>
      <c r="AT548" t="s">
        <v>389</v>
      </c>
      <c r="AU548" t="s">
        <v>106</v>
      </c>
    </row>
    <row r="549" spans="1:47">
      <c r="A549" s="1">
        <f>HYPERLINK("https://cms.ls-nyc.org/matter/dynamic-profile/view/1877020","18-1877020")</f>
        <v>0</v>
      </c>
      <c r="B549" t="s">
        <v>165</v>
      </c>
      <c r="C549" t="s">
        <v>404</v>
      </c>
      <c r="E549" t="s">
        <v>646</v>
      </c>
      <c r="F549" t="s">
        <v>2411</v>
      </c>
      <c r="G549" t="s">
        <v>4055</v>
      </c>
      <c r="H549" t="s">
        <v>5476</v>
      </c>
      <c r="I549" t="s">
        <v>6049</v>
      </c>
      <c r="J549">
        <v>10011</v>
      </c>
      <c r="K549" t="s">
        <v>6074</v>
      </c>
      <c r="L549" t="s">
        <v>6074</v>
      </c>
      <c r="M549" t="s">
        <v>6375</v>
      </c>
      <c r="N549" t="s">
        <v>7276</v>
      </c>
      <c r="O549" t="s">
        <v>7307</v>
      </c>
      <c r="Q549" t="s">
        <v>7322</v>
      </c>
      <c r="R549" t="s">
        <v>6076</v>
      </c>
      <c r="S549" t="s">
        <v>7324</v>
      </c>
      <c r="U549" t="s">
        <v>404</v>
      </c>
      <c r="V549">
        <v>1608</v>
      </c>
      <c r="W549" t="s">
        <v>7365</v>
      </c>
      <c r="X549" t="s">
        <v>7367</v>
      </c>
      <c r="Z549" t="s">
        <v>7857</v>
      </c>
      <c r="AB549" t="s">
        <v>10669</v>
      </c>
      <c r="AC549">
        <v>0</v>
      </c>
      <c r="AD549" t="s">
        <v>12422</v>
      </c>
      <c r="AE549" t="s">
        <v>6110</v>
      </c>
      <c r="AF549">
        <v>22</v>
      </c>
      <c r="AG549">
        <v>1</v>
      </c>
      <c r="AH549">
        <v>0</v>
      </c>
      <c r="AI549">
        <v>37.56</v>
      </c>
      <c r="AL549" t="s">
        <v>12460</v>
      </c>
      <c r="AM549">
        <v>4560</v>
      </c>
      <c r="AS549">
        <v>6.3</v>
      </c>
      <c r="AT549" t="s">
        <v>284</v>
      </c>
      <c r="AU549" t="s">
        <v>13111</v>
      </c>
    </row>
    <row r="550" spans="1:47">
      <c r="A550" s="1">
        <f>HYPERLINK("https://cms.ls-nyc.org/matter/dynamic-profile/view/1885460","18-1885460")</f>
        <v>0</v>
      </c>
      <c r="B550" t="s">
        <v>77</v>
      </c>
      <c r="C550" t="s">
        <v>429</v>
      </c>
      <c r="E550" t="s">
        <v>961</v>
      </c>
      <c r="F550" t="s">
        <v>2291</v>
      </c>
      <c r="G550" t="s">
        <v>4056</v>
      </c>
      <c r="H550" t="s">
        <v>5537</v>
      </c>
      <c r="I550" t="s">
        <v>6043</v>
      </c>
      <c r="J550">
        <v>11212</v>
      </c>
      <c r="K550" t="s">
        <v>6074</v>
      </c>
      <c r="L550" t="s">
        <v>6074</v>
      </c>
      <c r="M550" t="s">
        <v>6376</v>
      </c>
      <c r="N550" t="s">
        <v>7276</v>
      </c>
      <c r="O550" t="s">
        <v>7308</v>
      </c>
      <c r="Q550" t="s">
        <v>7322</v>
      </c>
      <c r="R550" t="s">
        <v>6076</v>
      </c>
      <c r="S550" t="s">
        <v>7324</v>
      </c>
      <c r="U550" t="s">
        <v>365</v>
      </c>
      <c r="V550">
        <v>508</v>
      </c>
      <c r="W550" t="s">
        <v>7362</v>
      </c>
      <c r="X550" t="s">
        <v>7366</v>
      </c>
      <c r="Z550" t="s">
        <v>7858</v>
      </c>
      <c r="AA550" t="s">
        <v>9993</v>
      </c>
      <c r="AB550" t="s">
        <v>10670</v>
      </c>
      <c r="AC550">
        <v>23</v>
      </c>
      <c r="AF550">
        <v>32</v>
      </c>
      <c r="AG550">
        <v>1</v>
      </c>
      <c r="AH550">
        <v>1</v>
      </c>
      <c r="AI550">
        <v>37.69</v>
      </c>
      <c r="AL550" t="s">
        <v>12460</v>
      </c>
      <c r="AM550">
        <v>6204</v>
      </c>
      <c r="AS550">
        <v>11.25</v>
      </c>
      <c r="AT550" t="s">
        <v>446</v>
      </c>
      <c r="AU550" t="s">
        <v>13085</v>
      </c>
    </row>
    <row r="551" spans="1:47">
      <c r="A551" s="1">
        <f>HYPERLINK("https://cms.ls-nyc.org/matter/dynamic-profile/view/1873178","18-1873178")</f>
        <v>0</v>
      </c>
      <c r="B551" t="s">
        <v>128</v>
      </c>
      <c r="C551" t="s">
        <v>419</v>
      </c>
      <c r="E551" t="s">
        <v>962</v>
      </c>
      <c r="F551" t="s">
        <v>2412</v>
      </c>
      <c r="G551" t="s">
        <v>3838</v>
      </c>
      <c r="H551" t="s">
        <v>5453</v>
      </c>
      <c r="I551" t="s">
        <v>6049</v>
      </c>
      <c r="J551">
        <v>10034</v>
      </c>
      <c r="K551" t="s">
        <v>6074</v>
      </c>
      <c r="L551" t="s">
        <v>6074</v>
      </c>
      <c r="M551" t="s">
        <v>6377</v>
      </c>
      <c r="N551" t="s">
        <v>7273</v>
      </c>
      <c r="O551" t="s">
        <v>7308</v>
      </c>
      <c r="Q551" t="s">
        <v>7322</v>
      </c>
      <c r="R551" t="s">
        <v>6074</v>
      </c>
      <c r="S551" t="s">
        <v>7324</v>
      </c>
      <c r="U551" t="s">
        <v>419</v>
      </c>
      <c r="V551">
        <v>1585</v>
      </c>
      <c r="W551" t="s">
        <v>7365</v>
      </c>
      <c r="X551" t="s">
        <v>7367</v>
      </c>
      <c r="Z551" t="s">
        <v>7859</v>
      </c>
      <c r="AB551" t="s">
        <v>10671</v>
      </c>
      <c r="AC551">
        <v>67</v>
      </c>
      <c r="AD551" t="s">
        <v>12422</v>
      </c>
      <c r="AE551" t="s">
        <v>6110</v>
      </c>
      <c r="AF551">
        <v>2</v>
      </c>
      <c r="AG551">
        <v>2</v>
      </c>
      <c r="AH551">
        <v>0</v>
      </c>
      <c r="AI551">
        <v>37.83</v>
      </c>
      <c r="AL551" t="s">
        <v>12460</v>
      </c>
      <c r="AM551">
        <v>6227</v>
      </c>
      <c r="AS551">
        <v>1.3</v>
      </c>
      <c r="AT551" t="s">
        <v>483</v>
      </c>
      <c r="AU551" t="s">
        <v>13106</v>
      </c>
    </row>
    <row r="552" spans="1:47">
      <c r="A552" s="1">
        <f>HYPERLINK("https://cms.ls-nyc.org/matter/dynamic-profile/view/1878127","18-1878127")</f>
        <v>0</v>
      </c>
      <c r="B552" t="s">
        <v>166</v>
      </c>
      <c r="C552" t="s">
        <v>255</v>
      </c>
      <c r="E552" t="s">
        <v>649</v>
      </c>
      <c r="F552" t="s">
        <v>2076</v>
      </c>
      <c r="I552" t="s">
        <v>6047</v>
      </c>
      <c r="J552">
        <v>10453</v>
      </c>
      <c r="K552" t="s">
        <v>6074</v>
      </c>
      <c r="L552" t="s">
        <v>6074</v>
      </c>
      <c r="N552" t="s">
        <v>7281</v>
      </c>
      <c r="O552" t="s">
        <v>7309</v>
      </c>
      <c r="Q552" t="s">
        <v>7322</v>
      </c>
      <c r="R552" t="s">
        <v>6076</v>
      </c>
      <c r="S552" t="s">
        <v>7331</v>
      </c>
      <c r="U552" t="s">
        <v>256</v>
      </c>
      <c r="V552">
        <v>1636.37</v>
      </c>
      <c r="W552" t="s">
        <v>7363</v>
      </c>
      <c r="X552" t="s">
        <v>7368</v>
      </c>
      <c r="Z552" t="s">
        <v>7860</v>
      </c>
      <c r="AB552" t="s">
        <v>10672</v>
      </c>
      <c r="AC552">
        <v>0</v>
      </c>
      <c r="AD552" t="s">
        <v>12422</v>
      </c>
      <c r="AE552" t="s">
        <v>12434</v>
      </c>
      <c r="AF552">
        <v>1</v>
      </c>
      <c r="AG552">
        <v>2</v>
      </c>
      <c r="AH552">
        <v>0</v>
      </c>
      <c r="AI552">
        <v>37.91</v>
      </c>
      <c r="AL552" t="s">
        <v>12460</v>
      </c>
      <c r="AM552">
        <v>6240</v>
      </c>
      <c r="AS552">
        <v>2.1</v>
      </c>
      <c r="AT552" t="s">
        <v>256</v>
      </c>
      <c r="AU552" t="s">
        <v>166</v>
      </c>
    </row>
    <row r="553" spans="1:47">
      <c r="A553" s="1">
        <f>HYPERLINK("https://cms.ls-nyc.org/matter/dynamic-profile/view/1891035","19-1891035")</f>
        <v>0</v>
      </c>
      <c r="B553" t="s">
        <v>101</v>
      </c>
      <c r="C553" t="s">
        <v>393</v>
      </c>
      <c r="E553" t="s">
        <v>963</v>
      </c>
      <c r="F553" t="s">
        <v>2413</v>
      </c>
      <c r="G553" t="s">
        <v>3939</v>
      </c>
      <c r="H553" t="s">
        <v>5538</v>
      </c>
      <c r="I553" t="s">
        <v>6047</v>
      </c>
      <c r="J553">
        <v>10456</v>
      </c>
      <c r="K553" t="s">
        <v>6074</v>
      </c>
      <c r="L553" t="s">
        <v>6074</v>
      </c>
      <c r="N553" t="s">
        <v>7279</v>
      </c>
      <c r="Q553" t="s">
        <v>7322</v>
      </c>
      <c r="R553" t="s">
        <v>6074</v>
      </c>
      <c r="S553" t="s">
        <v>7324</v>
      </c>
      <c r="U553" t="s">
        <v>457</v>
      </c>
      <c r="V553">
        <v>0</v>
      </c>
      <c r="W553" t="s">
        <v>7363</v>
      </c>
      <c r="X553" t="s">
        <v>7376</v>
      </c>
      <c r="Z553" t="s">
        <v>7861</v>
      </c>
      <c r="AC553">
        <v>131</v>
      </c>
      <c r="AD553" t="s">
        <v>12422</v>
      </c>
      <c r="AE553" t="s">
        <v>6110</v>
      </c>
      <c r="AF553">
        <v>0</v>
      </c>
      <c r="AG553">
        <v>4</v>
      </c>
      <c r="AH553">
        <v>0</v>
      </c>
      <c r="AI553">
        <v>37.98</v>
      </c>
      <c r="AL553" t="s">
        <v>12460</v>
      </c>
      <c r="AM553">
        <v>9780</v>
      </c>
      <c r="AS553">
        <v>1.5</v>
      </c>
      <c r="AT553" t="s">
        <v>469</v>
      </c>
      <c r="AU553" t="s">
        <v>13095</v>
      </c>
    </row>
    <row r="554" spans="1:47">
      <c r="A554" s="1">
        <f>HYPERLINK("https://cms.ls-nyc.org/matter/dynamic-profile/view/1871738","18-1871738")</f>
        <v>0</v>
      </c>
      <c r="B554" t="s">
        <v>80</v>
      </c>
      <c r="C554" t="s">
        <v>440</v>
      </c>
      <c r="E554" t="s">
        <v>964</v>
      </c>
      <c r="F554" t="s">
        <v>2414</v>
      </c>
      <c r="G554" t="s">
        <v>4057</v>
      </c>
      <c r="H554" t="s">
        <v>5439</v>
      </c>
      <c r="I554" t="s">
        <v>6043</v>
      </c>
      <c r="J554">
        <v>11206</v>
      </c>
      <c r="K554" t="s">
        <v>6074</v>
      </c>
      <c r="L554" t="s">
        <v>6074</v>
      </c>
      <c r="N554" t="s">
        <v>7275</v>
      </c>
      <c r="O554" t="s">
        <v>7311</v>
      </c>
      <c r="Q554" t="s">
        <v>7322</v>
      </c>
      <c r="R554" t="s">
        <v>6074</v>
      </c>
      <c r="S554" t="s">
        <v>7324</v>
      </c>
      <c r="U554" t="s">
        <v>440</v>
      </c>
      <c r="V554">
        <v>1291.45</v>
      </c>
      <c r="W554" t="s">
        <v>7362</v>
      </c>
      <c r="Z554" t="s">
        <v>7862</v>
      </c>
      <c r="AB554" t="s">
        <v>10673</v>
      </c>
      <c r="AC554">
        <v>29</v>
      </c>
      <c r="AD554" t="s">
        <v>12422</v>
      </c>
      <c r="AE554" t="s">
        <v>12434</v>
      </c>
      <c r="AF554">
        <v>23</v>
      </c>
      <c r="AG554">
        <v>3</v>
      </c>
      <c r="AH554">
        <v>0</v>
      </c>
      <c r="AI554">
        <v>38.2</v>
      </c>
      <c r="AL554" t="s">
        <v>12460</v>
      </c>
      <c r="AM554">
        <v>7938</v>
      </c>
      <c r="AN554" t="s">
        <v>12542</v>
      </c>
      <c r="AS554">
        <v>11.45</v>
      </c>
      <c r="AT554" t="s">
        <v>469</v>
      </c>
      <c r="AU554" t="s">
        <v>13121</v>
      </c>
    </row>
    <row r="555" spans="1:47">
      <c r="A555" s="1">
        <f>HYPERLINK("https://cms.ls-nyc.org/matter/dynamic-profile/view/1897622","19-1897622")</f>
        <v>0</v>
      </c>
      <c r="B555" t="s">
        <v>128</v>
      </c>
      <c r="C555" t="s">
        <v>424</v>
      </c>
      <c r="E555" t="s">
        <v>965</v>
      </c>
      <c r="F555" t="s">
        <v>699</v>
      </c>
      <c r="G555" t="s">
        <v>4058</v>
      </c>
      <c r="H555">
        <v>24</v>
      </c>
      <c r="I555" t="s">
        <v>6049</v>
      </c>
      <c r="J555">
        <v>10033</v>
      </c>
      <c r="K555" t="s">
        <v>6074</v>
      </c>
      <c r="L555" t="s">
        <v>6074</v>
      </c>
      <c r="N555" t="s">
        <v>7276</v>
      </c>
      <c r="O555" t="s">
        <v>7308</v>
      </c>
      <c r="Q555" t="s">
        <v>7322</v>
      </c>
      <c r="R555" t="s">
        <v>6076</v>
      </c>
      <c r="S555" t="s">
        <v>7324</v>
      </c>
      <c r="U555" t="s">
        <v>424</v>
      </c>
      <c r="V555">
        <v>816.66</v>
      </c>
      <c r="W555" t="s">
        <v>7365</v>
      </c>
      <c r="X555" t="s">
        <v>7367</v>
      </c>
      <c r="Z555" t="s">
        <v>7863</v>
      </c>
      <c r="AB555" t="s">
        <v>10674</v>
      </c>
      <c r="AC555">
        <v>20</v>
      </c>
      <c r="AD555" t="s">
        <v>12422</v>
      </c>
      <c r="AE555" t="s">
        <v>6110</v>
      </c>
      <c r="AF555">
        <v>23</v>
      </c>
      <c r="AG555">
        <v>1</v>
      </c>
      <c r="AH555">
        <v>0</v>
      </c>
      <c r="AI555">
        <v>38.24</v>
      </c>
      <c r="AL555" t="s">
        <v>12461</v>
      </c>
      <c r="AM555">
        <v>4776</v>
      </c>
      <c r="AS555">
        <v>10.7</v>
      </c>
      <c r="AT555" t="s">
        <v>260</v>
      </c>
      <c r="AU555" t="s">
        <v>13106</v>
      </c>
    </row>
    <row r="556" spans="1:47">
      <c r="A556" s="1">
        <f>HYPERLINK("https://cms.ls-nyc.org/matter/dynamic-profile/view/1897652","19-1897652")</f>
        <v>0</v>
      </c>
      <c r="B556" t="s">
        <v>128</v>
      </c>
      <c r="C556" t="s">
        <v>424</v>
      </c>
      <c r="E556" t="s">
        <v>965</v>
      </c>
      <c r="F556" t="s">
        <v>699</v>
      </c>
      <c r="G556" t="s">
        <v>4058</v>
      </c>
      <c r="H556">
        <v>24</v>
      </c>
      <c r="I556" t="s">
        <v>6049</v>
      </c>
      <c r="J556">
        <v>10033</v>
      </c>
      <c r="K556" t="s">
        <v>6074</v>
      </c>
      <c r="L556" t="s">
        <v>6074</v>
      </c>
      <c r="N556" t="s">
        <v>7283</v>
      </c>
      <c r="O556" t="s">
        <v>7307</v>
      </c>
      <c r="Q556" t="s">
        <v>7322</v>
      </c>
      <c r="R556" t="s">
        <v>6076</v>
      </c>
      <c r="S556" t="s">
        <v>7324</v>
      </c>
      <c r="U556" t="s">
        <v>424</v>
      </c>
      <c r="V556">
        <v>816.66</v>
      </c>
      <c r="W556" t="s">
        <v>7365</v>
      </c>
      <c r="X556" t="s">
        <v>7368</v>
      </c>
      <c r="Z556" t="s">
        <v>7863</v>
      </c>
      <c r="AB556" t="s">
        <v>10674</v>
      </c>
      <c r="AC556">
        <v>20</v>
      </c>
      <c r="AD556" t="s">
        <v>12422</v>
      </c>
      <c r="AE556" t="s">
        <v>6110</v>
      </c>
      <c r="AF556">
        <v>23</v>
      </c>
      <c r="AG556">
        <v>1</v>
      </c>
      <c r="AH556">
        <v>0</v>
      </c>
      <c r="AI556">
        <v>38.24</v>
      </c>
      <c r="AL556" t="s">
        <v>12461</v>
      </c>
      <c r="AM556">
        <v>4776</v>
      </c>
      <c r="AS556">
        <v>0</v>
      </c>
      <c r="AT556" t="s">
        <v>397</v>
      </c>
      <c r="AU556" t="s">
        <v>13106</v>
      </c>
    </row>
    <row r="557" spans="1:47">
      <c r="A557" s="1">
        <f>HYPERLINK("https://cms.ls-nyc.org/matter/dynamic-profile/view/1897636","19-1897636")</f>
        <v>0</v>
      </c>
      <c r="B557" t="s">
        <v>128</v>
      </c>
      <c r="C557" t="s">
        <v>424</v>
      </c>
      <c r="E557" t="s">
        <v>965</v>
      </c>
      <c r="F557" t="s">
        <v>699</v>
      </c>
      <c r="G557" t="s">
        <v>4058</v>
      </c>
      <c r="H557">
        <v>24</v>
      </c>
      <c r="I557" t="s">
        <v>6049</v>
      </c>
      <c r="J557">
        <v>10033</v>
      </c>
      <c r="K557" t="s">
        <v>6074</v>
      </c>
      <c r="L557" t="s">
        <v>6074</v>
      </c>
      <c r="N557" t="s">
        <v>7278</v>
      </c>
      <c r="O557" t="s">
        <v>7308</v>
      </c>
      <c r="Q557" t="s">
        <v>7322</v>
      </c>
      <c r="R557" t="s">
        <v>6076</v>
      </c>
      <c r="S557" t="s">
        <v>7324</v>
      </c>
      <c r="U557" t="s">
        <v>424</v>
      </c>
      <c r="V557">
        <v>816.66</v>
      </c>
      <c r="W557" t="s">
        <v>7365</v>
      </c>
      <c r="X557" t="s">
        <v>7368</v>
      </c>
      <c r="Z557" t="s">
        <v>7863</v>
      </c>
      <c r="AB557" t="s">
        <v>10674</v>
      </c>
      <c r="AC557">
        <v>20</v>
      </c>
      <c r="AD557" t="s">
        <v>12422</v>
      </c>
      <c r="AE557" t="s">
        <v>6110</v>
      </c>
      <c r="AF557">
        <v>23</v>
      </c>
      <c r="AG557">
        <v>1</v>
      </c>
      <c r="AH557">
        <v>0</v>
      </c>
      <c r="AI557">
        <v>38.24</v>
      </c>
      <c r="AL557" t="s">
        <v>12461</v>
      </c>
      <c r="AM557">
        <v>4776</v>
      </c>
      <c r="AS557">
        <v>1.1</v>
      </c>
      <c r="AT557" t="s">
        <v>423</v>
      </c>
      <c r="AU557" t="s">
        <v>13106</v>
      </c>
    </row>
    <row r="558" spans="1:47">
      <c r="A558" s="1">
        <f>HYPERLINK("https://cms.ls-nyc.org/matter/dynamic-profile/view/1881893","18-1881893")</f>
        <v>0</v>
      </c>
      <c r="B558" t="s">
        <v>55</v>
      </c>
      <c r="C558" t="s">
        <v>258</v>
      </c>
      <c r="D558" t="s">
        <v>417</v>
      </c>
      <c r="E558" t="s">
        <v>957</v>
      </c>
      <c r="F558" t="s">
        <v>2415</v>
      </c>
      <c r="G558" t="s">
        <v>4059</v>
      </c>
      <c r="H558" t="s">
        <v>5539</v>
      </c>
      <c r="I558" t="s">
        <v>6056</v>
      </c>
      <c r="J558">
        <v>11375</v>
      </c>
      <c r="K558" t="s">
        <v>6074</v>
      </c>
      <c r="L558" t="s">
        <v>6074</v>
      </c>
      <c r="M558" t="s">
        <v>6378</v>
      </c>
      <c r="N558" t="s">
        <v>7276</v>
      </c>
      <c r="O558" t="s">
        <v>7308</v>
      </c>
      <c r="P558" t="s">
        <v>7316</v>
      </c>
      <c r="Q558" t="s">
        <v>7322</v>
      </c>
      <c r="R558" t="s">
        <v>6076</v>
      </c>
      <c r="S558" t="s">
        <v>7324</v>
      </c>
      <c r="T558" t="s">
        <v>7336</v>
      </c>
      <c r="U558" t="s">
        <v>269</v>
      </c>
      <c r="V558">
        <v>1250</v>
      </c>
      <c r="W558" t="s">
        <v>7361</v>
      </c>
      <c r="X558" t="s">
        <v>7366</v>
      </c>
      <c r="Y558" t="s">
        <v>7388</v>
      </c>
      <c r="Z558" t="s">
        <v>7864</v>
      </c>
      <c r="AB558" t="s">
        <v>10675</v>
      </c>
      <c r="AC558">
        <v>100</v>
      </c>
      <c r="AD558" t="s">
        <v>12419</v>
      </c>
      <c r="AE558" t="s">
        <v>6110</v>
      </c>
      <c r="AF558">
        <v>8</v>
      </c>
      <c r="AG558">
        <v>1</v>
      </c>
      <c r="AH558">
        <v>0</v>
      </c>
      <c r="AI558">
        <v>38.25</v>
      </c>
      <c r="AL558" t="s">
        <v>12460</v>
      </c>
      <c r="AM558">
        <v>4644</v>
      </c>
      <c r="AO558" t="s">
        <v>12846</v>
      </c>
      <c r="AP558" t="s">
        <v>12877</v>
      </c>
      <c r="AQ558" t="s">
        <v>12909</v>
      </c>
      <c r="AR558" t="s">
        <v>12920</v>
      </c>
      <c r="AS558">
        <v>19.5</v>
      </c>
      <c r="AT558" t="s">
        <v>420</v>
      </c>
      <c r="AU558" t="s">
        <v>51</v>
      </c>
    </row>
    <row r="559" spans="1:47">
      <c r="A559" s="1">
        <f>HYPERLINK("https://cms.ls-nyc.org/matter/dynamic-profile/view/1886330","18-1886330")</f>
        <v>0</v>
      </c>
      <c r="B559" t="s">
        <v>68</v>
      </c>
      <c r="C559" t="s">
        <v>443</v>
      </c>
      <c r="E559" t="s">
        <v>695</v>
      </c>
      <c r="F559" t="s">
        <v>2408</v>
      </c>
      <c r="G559" t="s">
        <v>4053</v>
      </c>
      <c r="H559" t="s">
        <v>5536</v>
      </c>
      <c r="I559" t="s">
        <v>6043</v>
      </c>
      <c r="J559">
        <v>11208</v>
      </c>
      <c r="K559" t="s">
        <v>6074</v>
      </c>
      <c r="L559" t="s">
        <v>6074</v>
      </c>
      <c r="M559" t="s">
        <v>6372</v>
      </c>
      <c r="N559" t="s">
        <v>7276</v>
      </c>
      <c r="O559" t="s">
        <v>7308</v>
      </c>
      <c r="Q559" t="s">
        <v>7322</v>
      </c>
      <c r="R559" t="s">
        <v>6076</v>
      </c>
      <c r="S559" t="s">
        <v>7324</v>
      </c>
      <c r="U559" t="s">
        <v>443</v>
      </c>
      <c r="V559">
        <v>247</v>
      </c>
      <c r="W559" t="s">
        <v>7362</v>
      </c>
      <c r="X559" t="s">
        <v>7375</v>
      </c>
      <c r="Z559" t="s">
        <v>7853</v>
      </c>
      <c r="AB559" t="s">
        <v>10667</v>
      </c>
      <c r="AC559">
        <v>0</v>
      </c>
      <c r="AD559" t="s">
        <v>12420</v>
      </c>
      <c r="AF559">
        <v>9</v>
      </c>
      <c r="AG559">
        <v>1</v>
      </c>
      <c r="AH559">
        <v>0</v>
      </c>
      <c r="AI559">
        <v>38.35</v>
      </c>
      <c r="AL559" t="s">
        <v>12460</v>
      </c>
      <c r="AM559">
        <v>4656</v>
      </c>
      <c r="AS559">
        <v>16.1</v>
      </c>
      <c r="AT559" t="s">
        <v>564</v>
      </c>
      <c r="AU559" t="s">
        <v>13090</v>
      </c>
    </row>
    <row r="560" spans="1:47">
      <c r="A560" s="1">
        <f>HYPERLINK("https://cms.ls-nyc.org/matter/dynamic-profile/view/1889318","19-1889318")</f>
        <v>0</v>
      </c>
      <c r="B560" t="s">
        <v>92</v>
      </c>
      <c r="C560" t="s">
        <v>261</v>
      </c>
      <c r="D560" t="s">
        <v>264</v>
      </c>
      <c r="E560" t="s">
        <v>966</v>
      </c>
      <c r="F560" t="s">
        <v>2142</v>
      </c>
      <c r="G560" t="s">
        <v>3748</v>
      </c>
      <c r="H560" t="s">
        <v>5360</v>
      </c>
      <c r="I560" t="s">
        <v>6043</v>
      </c>
      <c r="J560">
        <v>11208</v>
      </c>
      <c r="K560" t="s">
        <v>6074</v>
      </c>
      <c r="L560" t="s">
        <v>6074</v>
      </c>
      <c r="N560" t="s">
        <v>7275</v>
      </c>
      <c r="O560" t="s">
        <v>7307</v>
      </c>
      <c r="P560" t="s">
        <v>7315</v>
      </c>
      <c r="Q560" t="s">
        <v>7322</v>
      </c>
      <c r="R560" t="s">
        <v>6074</v>
      </c>
      <c r="S560" t="s">
        <v>7324</v>
      </c>
      <c r="T560" t="s">
        <v>7336</v>
      </c>
      <c r="U560" t="s">
        <v>250</v>
      </c>
      <c r="V560">
        <v>0</v>
      </c>
      <c r="W560" t="s">
        <v>7362</v>
      </c>
      <c r="X560" t="s">
        <v>7375</v>
      </c>
      <c r="Y560" t="s">
        <v>7387</v>
      </c>
      <c r="Z560" t="s">
        <v>7865</v>
      </c>
      <c r="AB560" t="s">
        <v>10676</v>
      </c>
      <c r="AC560">
        <v>7</v>
      </c>
      <c r="AD560" t="s">
        <v>12422</v>
      </c>
      <c r="AF560">
        <v>17</v>
      </c>
      <c r="AG560">
        <v>1</v>
      </c>
      <c r="AH560">
        <v>0</v>
      </c>
      <c r="AI560">
        <v>38.43</v>
      </c>
      <c r="AL560" t="s">
        <v>12461</v>
      </c>
      <c r="AM560">
        <v>4800</v>
      </c>
      <c r="AS560">
        <v>0.6</v>
      </c>
      <c r="AT560" t="s">
        <v>251</v>
      </c>
      <c r="AU560" t="s">
        <v>180</v>
      </c>
    </row>
    <row r="561" spans="1:48">
      <c r="A561" s="1">
        <f>HYPERLINK("https://cms.ls-nyc.org/matter/dynamic-profile/view/1898849","19-1898849")</f>
        <v>0</v>
      </c>
      <c r="B561" t="s">
        <v>116</v>
      </c>
      <c r="C561" t="s">
        <v>294</v>
      </c>
      <c r="E561" t="s">
        <v>967</v>
      </c>
      <c r="F561" t="s">
        <v>2416</v>
      </c>
      <c r="G561" t="s">
        <v>4060</v>
      </c>
      <c r="H561" t="s">
        <v>5529</v>
      </c>
      <c r="I561" t="s">
        <v>6047</v>
      </c>
      <c r="J561">
        <v>10452</v>
      </c>
      <c r="K561" t="s">
        <v>6074</v>
      </c>
      <c r="L561" t="s">
        <v>6074</v>
      </c>
      <c r="N561" t="s">
        <v>6104</v>
      </c>
      <c r="O561" t="s">
        <v>7306</v>
      </c>
      <c r="Q561" t="s">
        <v>7322</v>
      </c>
      <c r="R561" t="s">
        <v>6076</v>
      </c>
      <c r="S561" t="s">
        <v>7324</v>
      </c>
      <c r="U561" t="s">
        <v>294</v>
      </c>
      <c r="V561">
        <v>874</v>
      </c>
      <c r="W561" t="s">
        <v>7363</v>
      </c>
      <c r="Z561" t="s">
        <v>7866</v>
      </c>
      <c r="AB561" t="s">
        <v>10677</v>
      </c>
      <c r="AC561">
        <v>0</v>
      </c>
      <c r="AD561" t="s">
        <v>12422</v>
      </c>
      <c r="AF561">
        <v>35</v>
      </c>
      <c r="AG561">
        <v>1</v>
      </c>
      <c r="AH561">
        <v>0</v>
      </c>
      <c r="AI561">
        <v>38.43</v>
      </c>
      <c r="AL561" t="s">
        <v>12460</v>
      </c>
      <c r="AM561">
        <v>4800</v>
      </c>
      <c r="AS561">
        <v>0.5</v>
      </c>
      <c r="AT561" t="s">
        <v>276</v>
      </c>
      <c r="AU561" t="s">
        <v>116</v>
      </c>
      <c r="AV561" t="s">
        <v>13145</v>
      </c>
    </row>
    <row r="562" spans="1:48">
      <c r="A562" s="1">
        <f>HYPERLINK("https://cms.ls-nyc.org/matter/dynamic-profile/view/1878493","18-1878493")</f>
        <v>0</v>
      </c>
      <c r="B562" t="s">
        <v>120</v>
      </c>
      <c r="C562" t="s">
        <v>355</v>
      </c>
      <c r="E562" t="s">
        <v>777</v>
      </c>
      <c r="F562" t="s">
        <v>2417</v>
      </c>
      <c r="G562" t="s">
        <v>4061</v>
      </c>
      <c r="H562" t="s">
        <v>5540</v>
      </c>
      <c r="I562" t="s">
        <v>6048</v>
      </c>
      <c r="J562">
        <v>10304</v>
      </c>
      <c r="K562" t="s">
        <v>6074</v>
      </c>
      <c r="L562" t="s">
        <v>6074</v>
      </c>
      <c r="M562" t="s">
        <v>6379</v>
      </c>
      <c r="N562" t="s">
        <v>7276</v>
      </c>
      <c r="O562" t="s">
        <v>7308</v>
      </c>
      <c r="Q562" t="s">
        <v>7322</v>
      </c>
      <c r="R562" t="s">
        <v>6076</v>
      </c>
      <c r="S562" t="s">
        <v>7324</v>
      </c>
      <c r="T562" t="s">
        <v>7336</v>
      </c>
      <c r="U562" t="s">
        <v>249</v>
      </c>
      <c r="V562">
        <v>192</v>
      </c>
      <c r="W562" t="s">
        <v>7364</v>
      </c>
      <c r="X562" t="s">
        <v>7376</v>
      </c>
      <c r="Z562" t="s">
        <v>7867</v>
      </c>
      <c r="AB562" t="s">
        <v>10678</v>
      </c>
      <c r="AC562">
        <v>108</v>
      </c>
      <c r="AD562" t="s">
        <v>12426</v>
      </c>
      <c r="AE562" t="s">
        <v>7305</v>
      </c>
      <c r="AF562">
        <v>2</v>
      </c>
      <c r="AG562">
        <v>1</v>
      </c>
      <c r="AH562">
        <v>0</v>
      </c>
      <c r="AI562">
        <v>38.55</v>
      </c>
      <c r="AL562" t="s">
        <v>12460</v>
      </c>
      <c r="AM562">
        <v>4680</v>
      </c>
      <c r="AS562">
        <v>5.75</v>
      </c>
      <c r="AT562" t="s">
        <v>278</v>
      </c>
      <c r="AU562" t="s">
        <v>13122</v>
      </c>
    </row>
    <row r="563" spans="1:48">
      <c r="A563" s="1">
        <f>HYPERLINK("https://cms.ls-nyc.org/matter/dynamic-profile/view/1882546","18-1882546")</f>
        <v>0</v>
      </c>
      <c r="B563" t="s">
        <v>131</v>
      </c>
      <c r="C563" t="s">
        <v>283</v>
      </c>
      <c r="D563" t="s">
        <v>257</v>
      </c>
      <c r="E563" t="s">
        <v>737</v>
      </c>
      <c r="F563" t="s">
        <v>2418</v>
      </c>
      <c r="G563" t="s">
        <v>4062</v>
      </c>
      <c r="H563">
        <v>31</v>
      </c>
      <c r="I563" t="s">
        <v>6049</v>
      </c>
      <c r="J563">
        <v>10034</v>
      </c>
      <c r="K563" t="s">
        <v>6074</v>
      </c>
      <c r="L563" t="s">
        <v>6074</v>
      </c>
      <c r="M563" t="s">
        <v>6380</v>
      </c>
      <c r="N563" t="s">
        <v>7276</v>
      </c>
      <c r="O563" t="s">
        <v>7306</v>
      </c>
      <c r="P563" t="s">
        <v>7314</v>
      </c>
      <c r="Q563" t="s">
        <v>7322</v>
      </c>
      <c r="R563" t="s">
        <v>6076</v>
      </c>
      <c r="S563" t="s">
        <v>7324</v>
      </c>
      <c r="T563" t="s">
        <v>7336</v>
      </c>
      <c r="U563" t="s">
        <v>413</v>
      </c>
      <c r="V563">
        <v>984.99</v>
      </c>
      <c r="W563" t="s">
        <v>7365</v>
      </c>
      <c r="X563" t="s">
        <v>7366</v>
      </c>
      <c r="Y563" t="s">
        <v>7386</v>
      </c>
      <c r="Z563" t="s">
        <v>7868</v>
      </c>
      <c r="AB563" t="s">
        <v>10679</v>
      </c>
      <c r="AC563">
        <v>42</v>
      </c>
      <c r="AD563" t="s">
        <v>12422</v>
      </c>
      <c r="AE563" t="s">
        <v>7305</v>
      </c>
      <c r="AF563">
        <v>16</v>
      </c>
      <c r="AG563">
        <v>1</v>
      </c>
      <c r="AH563">
        <v>0</v>
      </c>
      <c r="AI563">
        <v>38.55</v>
      </c>
      <c r="AK563" t="s">
        <v>12456</v>
      </c>
      <c r="AL563" t="s">
        <v>12461</v>
      </c>
      <c r="AM563">
        <v>4680</v>
      </c>
      <c r="AS563">
        <v>0.35</v>
      </c>
      <c r="AT563" t="s">
        <v>287</v>
      </c>
      <c r="AU563" t="s">
        <v>13119</v>
      </c>
    </row>
    <row r="564" spans="1:48">
      <c r="A564" s="1">
        <f>HYPERLINK("https://cms.ls-nyc.org/matter/dynamic-profile/view/1883688","18-1883688")</f>
        <v>0</v>
      </c>
      <c r="B564" t="s">
        <v>120</v>
      </c>
      <c r="C564" t="s">
        <v>413</v>
      </c>
      <c r="E564" t="s">
        <v>968</v>
      </c>
      <c r="F564" t="s">
        <v>2419</v>
      </c>
      <c r="G564" t="s">
        <v>4063</v>
      </c>
      <c r="H564" t="s">
        <v>5465</v>
      </c>
      <c r="I564" t="s">
        <v>6048</v>
      </c>
      <c r="J564">
        <v>10301</v>
      </c>
      <c r="K564" t="s">
        <v>6074</v>
      </c>
      <c r="L564" t="s">
        <v>6074</v>
      </c>
      <c r="M564" t="s">
        <v>6381</v>
      </c>
      <c r="N564" t="s">
        <v>7276</v>
      </c>
      <c r="O564" t="s">
        <v>7308</v>
      </c>
      <c r="Q564" t="s">
        <v>7322</v>
      </c>
      <c r="R564" t="s">
        <v>6074</v>
      </c>
      <c r="S564" t="s">
        <v>7324</v>
      </c>
      <c r="T564" t="s">
        <v>7338</v>
      </c>
      <c r="U564" t="s">
        <v>413</v>
      </c>
      <c r="V564">
        <v>1825</v>
      </c>
      <c r="W564" t="s">
        <v>7364</v>
      </c>
      <c r="X564" t="s">
        <v>7373</v>
      </c>
      <c r="Z564" t="s">
        <v>7869</v>
      </c>
      <c r="AA564" t="s">
        <v>9994</v>
      </c>
      <c r="AB564" t="s">
        <v>10680</v>
      </c>
      <c r="AC564">
        <v>60</v>
      </c>
      <c r="AD564" t="s">
        <v>12422</v>
      </c>
      <c r="AF564">
        <v>13</v>
      </c>
      <c r="AG564">
        <v>1</v>
      </c>
      <c r="AH564">
        <v>0</v>
      </c>
      <c r="AI564">
        <v>38.57</v>
      </c>
      <c r="AL564" t="s">
        <v>12460</v>
      </c>
      <c r="AM564">
        <v>4683</v>
      </c>
      <c r="AS564">
        <v>25.4</v>
      </c>
      <c r="AT564" t="s">
        <v>526</v>
      </c>
      <c r="AU564" t="s">
        <v>13122</v>
      </c>
    </row>
    <row r="565" spans="1:48">
      <c r="A565" s="1">
        <f>HYPERLINK("https://cms.ls-nyc.org/matter/dynamic-profile/view/1882032","18-1882032")</f>
        <v>0</v>
      </c>
      <c r="B565" t="s">
        <v>108</v>
      </c>
      <c r="C565" t="s">
        <v>350</v>
      </c>
      <c r="D565" t="s">
        <v>472</v>
      </c>
      <c r="E565" t="s">
        <v>963</v>
      </c>
      <c r="F565" t="s">
        <v>2420</v>
      </c>
      <c r="G565" t="s">
        <v>3939</v>
      </c>
      <c r="H565" t="s">
        <v>5538</v>
      </c>
      <c r="I565" t="s">
        <v>6047</v>
      </c>
      <c r="J565">
        <v>10456</v>
      </c>
      <c r="K565" t="s">
        <v>6074</v>
      </c>
      <c r="L565" t="s">
        <v>6074</v>
      </c>
      <c r="N565" t="s">
        <v>7278</v>
      </c>
      <c r="O565" t="s">
        <v>7307</v>
      </c>
      <c r="P565" t="s">
        <v>7315</v>
      </c>
      <c r="Q565" t="s">
        <v>7322</v>
      </c>
      <c r="R565" t="s">
        <v>6076</v>
      </c>
      <c r="S565" t="s">
        <v>7324</v>
      </c>
      <c r="U565" t="s">
        <v>350</v>
      </c>
      <c r="V565">
        <v>0</v>
      </c>
      <c r="W565" t="s">
        <v>7363</v>
      </c>
      <c r="X565" t="s">
        <v>7376</v>
      </c>
      <c r="Y565" t="s">
        <v>7387</v>
      </c>
      <c r="Z565" t="s">
        <v>7861</v>
      </c>
      <c r="AC565">
        <v>0</v>
      </c>
      <c r="AD565" t="s">
        <v>12422</v>
      </c>
      <c r="AE565" t="s">
        <v>6110</v>
      </c>
      <c r="AF565">
        <v>0</v>
      </c>
      <c r="AG565">
        <v>4</v>
      </c>
      <c r="AH565">
        <v>0</v>
      </c>
      <c r="AI565">
        <v>38.96</v>
      </c>
      <c r="AL565" t="s">
        <v>12460</v>
      </c>
      <c r="AM565">
        <v>9780</v>
      </c>
      <c r="AS565">
        <v>0.1</v>
      </c>
      <c r="AT565" t="s">
        <v>472</v>
      </c>
      <c r="AU565" t="s">
        <v>13099</v>
      </c>
    </row>
    <row r="566" spans="1:48">
      <c r="A566" s="1">
        <f>HYPERLINK("https://cms.ls-nyc.org/matter/dynamic-profile/view/1880493","18-1880493")</f>
        <v>0</v>
      </c>
      <c r="B566" t="s">
        <v>108</v>
      </c>
      <c r="C566" t="s">
        <v>307</v>
      </c>
      <c r="E566" t="s">
        <v>969</v>
      </c>
      <c r="F566" t="s">
        <v>2421</v>
      </c>
      <c r="G566" t="s">
        <v>3805</v>
      </c>
      <c r="H566" t="s">
        <v>5382</v>
      </c>
      <c r="I566" t="s">
        <v>6047</v>
      </c>
      <c r="J566">
        <v>10452</v>
      </c>
      <c r="K566" t="s">
        <v>6074</v>
      </c>
      <c r="L566" t="s">
        <v>6074</v>
      </c>
      <c r="M566" t="s">
        <v>6382</v>
      </c>
      <c r="N566" t="s">
        <v>7273</v>
      </c>
      <c r="O566" t="s">
        <v>7308</v>
      </c>
      <c r="Q566" t="s">
        <v>7322</v>
      </c>
      <c r="R566" t="s">
        <v>6074</v>
      </c>
      <c r="S566" t="s">
        <v>7324</v>
      </c>
      <c r="U566" t="s">
        <v>472</v>
      </c>
      <c r="V566">
        <v>3000</v>
      </c>
      <c r="W566" t="s">
        <v>7363</v>
      </c>
      <c r="X566" t="s">
        <v>7376</v>
      </c>
      <c r="Z566" t="s">
        <v>7870</v>
      </c>
      <c r="AA566" t="s">
        <v>9995</v>
      </c>
      <c r="AB566" t="s">
        <v>10681</v>
      </c>
      <c r="AC566">
        <v>149</v>
      </c>
      <c r="AD566" t="s">
        <v>12422</v>
      </c>
      <c r="AE566" t="s">
        <v>12440</v>
      </c>
      <c r="AF566">
        <v>24</v>
      </c>
      <c r="AG566">
        <v>3</v>
      </c>
      <c r="AH566">
        <v>2</v>
      </c>
      <c r="AI566">
        <v>39.16</v>
      </c>
      <c r="AL566" t="s">
        <v>12460</v>
      </c>
      <c r="AM566">
        <v>11520</v>
      </c>
      <c r="AS566">
        <v>0</v>
      </c>
      <c r="AU566" t="s">
        <v>13099</v>
      </c>
    </row>
    <row r="567" spans="1:48">
      <c r="A567" s="1">
        <f>HYPERLINK("https://cms.ls-nyc.org/matter/dynamic-profile/view/1880507","18-1880507")</f>
        <v>0</v>
      </c>
      <c r="B567" t="s">
        <v>108</v>
      </c>
      <c r="C567" t="s">
        <v>307</v>
      </c>
      <c r="E567" t="s">
        <v>969</v>
      </c>
      <c r="F567" t="s">
        <v>2421</v>
      </c>
      <c r="G567" t="s">
        <v>3805</v>
      </c>
      <c r="H567" t="s">
        <v>5382</v>
      </c>
      <c r="I567" t="s">
        <v>6047</v>
      </c>
      <c r="J567">
        <v>10452</v>
      </c>
      <c r="K567" t="s">
        <v>6074</v>
      </c>
      <c r="L567" t="s">
        <v>6074</v>
      </c>
      <c r="M567" t="s">
        <v>6383</v>
      </c>
      <c r="N567" t="s">
        <v>7278</v>
      </c>
      <c r="O567" t="s">
        <v>7312</v>
      </c>
      <c r="Q567" t="s">
        <v>7322</v>
      </c>
      <c r="R567" t="s">
        <v>6074</v>
      </c>
      <c r="S567" t="s">
        <v>7324</v>
      </c>
      <c r="U567" t="s">
        <v>472</v>
      </c>
      <c r="V567">
        <v>3000</v>
      </c>
      <c r="W567" t="s">
        <v>7363</v>
      </c>
      <c r="X567" t="s">
        <v>7376</v>
      </c>
      <c r="Z567" t="s">
        <v>7870</v>
      </c>
      <c r="AA567" t="s">
        <v>9995</v>
      </c>
      <c r="AB567" t="s">
        <v>10681</v>
      </c>
      <c r="AC567">
        <v>149</v>
      </c>
      <c r="AD567" t="s">
        <v>12422</v>
      </c>
      <c r="AE567" t="s">
        <v>12440</v>
      </c>
      <c r="AF567">
        <v>24</v>
      </c>
      <c r="AG567">
        <v>3</v>
      </c>
      <c r="AH567">
        <v>2</v>
      </c>
      <c r="AI567">
        <v>39.16</v>
      </c>
      <c r="AM567">
        <v>11520</v>
      </c>
      <c r="AS567">
        <v>0.9</v>
      </c>
      <c r="AT567" t="s">
        <v>420</v>
      </c>
      <c r="AU567" t="s">
        <v>13099</v>
      </c>
    </row>
    <row r="568" spans="1:48">
      <c r="A568" s="1">
        <f>HYPERLINK("https://cms.ls-nyc.org/matter/dynamic-profile/view/1878640","18-1878640")</f>
        <v>0</v>
      </c>
      <c r="B568" t="s">
        <v>54</v>
      </c>
      <c r="C568" t="s">
        <v>299</v>
      </c>
      <c r="D568" t="s">
        <v>282</v>
      </c>
      <c r="E568" t="s">
        <v>970</v>
      </c>
      <c r="F568" t="s">
        <v>2422</v>
      </c>
      <c r="G568" t="s">
        <v>4064</v>
      </c>
      <c r="H568" t="s">
        <v>5395</v>
      </c>
      <c r="I568" t="s">
        <v>6026</v>
      </c>
      <c r="J568">
        <v>11435</v>
      </c>
      <c r="K568" t="s">
        <v>6074</v>
      </c>
      <c r="L568" t="s">
        <v>6074</v>
      </c>
      <c r="M568" t="s">
        <v>6384</v>
      </c>
      <c r="N568" t="s">
        <v>7274</v>
      </c>
      <c r="O568" t="s">
        <v>7306</v>
      </c>
      <c r="P568" t="s">
        <v>7314</v>
      </c>
      <c r="Q568" t="s">
        <v>7322</v>
      </c>
      <c r="R568" t="s">
        <v>6076</v>
      </c>
      <c r="S568" t="s">
        <v>7324</v>
      </c>
      <c r="T568" t="s">
        <v>7339</v>
      </c>
      <c r="U568" t="s">
        <v>299</v>
      </c>
      <c r="V568">
        <v>1888</v>
      </c>
      <c r="W568" t="s">
        <v>7361</v>
      </c>
      <c r="X568" t="s">
        <v>7366</v>
      </c>
      <c r="Y568" t="s">
        <v>7386</v>
      </c>
      <c r="Z568" t="s">
        <v>7871</v>
      </c>
      <c r="AA568" t="s">
        <v>9996</v>
      </c>
      <c r="AB568" t="s">
        <v>10682</v>
      </c>
      <c r="AC568">
        <v>40</v>
      </c>
      <c r="AD568" t="s">
        <v>12424</v>
      </c>
      <c r="AE568" t="s">
        <v>6110</v>
      </c>
      <c r="AF568">
        <v>3</v>
      </c>
      <c r="AG568">
        <v>1</v>
      </c>
      <c r="AH568">
        <v>3</v>
      </c>
      <c r="AI568">
        <v>39.35</v>
      </c>
      <c r="AL568" t="s">
        <v>12460</v>
      </c>
      <c r="AM568">
        <v>9876</v>
      </c>
      <c r="AS568">
        <v>1.05</v>
      </c>
      <c r="AT568" t="s">
        <v>282</v>
      </c>
      <c r="AU568" t="s">
        <v>51</v>
      </c>
    </row>
    <row r="569" spans="1:48">
      <c r="A569" s="1">
        <f>HYPERLINK("https://cms.ls-nyc.org/matter/dynamic-profile/view/1881365","18-1881365")</f>
        <v>0</v>
      </c>
      <c r="B569" t="s">
        <v>126</v>
      </c>
      <c r="C569" t="s">
        <v>414</v>
      </c>
      <c r="E569" t="s">
        <v>633</v>
      </c>
      <c r="F569" t="s">
        <v>2423</v>
      </c>
      <c r="G569" t="s">
        <v>3956</v>
      </c>
      <c r="H569" t="s">
        <v>5395</v>
      </c>
      <c r="I569" t="s">
        <v>6049</v>
      </c>
      <c r="J569">
        <v>10031</v>
      </c>
      <c r="K569" t="s">
        <v>6074</v>
      </c>
      <c r="L569" t="s">
        <v>6074</v>
      </c>
      <c r="M569" t="s">
        <v>6318</v>
      </c>
      <c r="N569" t="s">
        <v>7273</v>
      </c>
      <c r="O569" t="s">
        <v>7308</v>
      </c>
      <c r="Q569" t="s">
        <v>7322</v>
      </c>
      <c r="R569" t="s">
        <v>6074</v>
      </c>
      <c r="S569" t="s">
        <v>7324</v>
      </c>
      <c r="T569" t="s">
        <v>7336</v>
      </c>
      <c r="U569" t="s">
        <v>256</v>
      </c>
      <c r="V569">
        <v>2216</v>
      </c>
      <c r="W569" t="s">
        <v>7365</v>
      </c>
      <c r="X569" t="s">
        <v>7378</v>
      </c>
      <c r="Z569" t="s">
        <v>7872</v>
      </c>
      <c r="AB569" t="s">
        <v>10683</v>
      </c>
      <c r="AC569">
        <v>44</v>
      </c>
      <c r="AD569" t="s">
        <v>12420</v>
      </c>
      <c r="AE569" t="s">
        <v>12434</v>
      </c>
      <c r="AF569">
        <v>10</v>
      </c>
      <c r="AG569">
        <v>1</v>
      </c>
      <c r="AH569">
        <v>0</v>
      </c>
      <c r="AI569">
        <v>39.35</v>
      </c>
      <c r="AL569" t="s">
        <v>12460</v>
      </c>
      <c r="AM569">
        <v>4777</v>
      </c>
      <c r="AS569">
        <v>3</v>
      </c>
      <c r="AT569" t="s">
        <v>459</v>
      </c>
      <c r="AU569" t="s">
        <v>13107</v>
      </c>
    </row>
    <row r="570" spans="1:48">
      <c r="A570" s="1">
        <f>HYPERLINK("https://cms.ls-nyc.org/matter/dynamic-profile/view/1877277","18-1877277")</f>
        <v>0</v>
      </c>
      <c r="B570" t="s">
        <v>92</v>
      </c>
      <c r="C570" t="s">
        <v>273</v>
      </c>
      <c r="D570" t="s">
        <v>496</v>
      </c>
      <c r="E570" t="s">
        <v>971</v>
      </c>
      <c r="F570" t="s">
        <v>2059</v>
      </c>
      <c r="G570" t="s">
        <v>4065</v>
      </c>
      <c r="H570" t="s">
        <v>5541</v>
      </c>
      <c r="I570" t="s">
        <v>6043</v>
      </c>
      <c r="J570">
        <v>11221</v>
      </c>
      <c r="K570" t="s">
        <v>6074</v>
      </c>
      <c r="L570" t="s">
        <v>6075</v>
      </c>
      <c r="N570" t="s">
        <v>6104</v>
      </c>
      <c r="O570" t="s">
        <v>7309</v>
      </c>
      <c r="P570" t="s">
        <v>7315</v>
      </c>
      <c r="Q570" t="s">
        <v>7322</v>
      </c>
      <c r="S570" t="s">
        <v>7324</v>
      </c>
      <c r="U570" t="s">
        <v>295</v>
      </c>
      <c r="V570">
        <v>378</v>
      </c>
      <c r="W570" t="s">
        <v>7362</v>
      </c>
      <c r="Y570" t="s">
        <v>7387</v>
      </c>
      <c r="Z570" t="s">
        <v>7873</v>
      </c>
      <c r="AC570">
        <v>54</v>
      </c>
      <c r="AD570" t="s">
        <v>12422</v>
      </c>
      <c r="AF570">
        <v>21</v>
      </c>
      <c r="AG570">
        <v>2</v>
      </c>
      <c r="AH570">
        <v>0</v>
      </c>
      <c r="AI570">
        <v>39.37</v>
      </c>
      <c r="AL570" t="s">
        <v>12460</v>
      </c>
      <c r="AM570">
        <v>6480</v>
      </c>
      <c r="AS570">
        <v>0.1</v>
      </c>
      <c r="AT570" t="s">
        <v>390</v>
      </c>
      <c r="AU570" t="s">
        <v>218</v>
      </c>
      <c r="AV570" t="s">
        <v>13145</v>
      </c>
    </row>
    <row r="571" spans="1:48">
      <c r="A571" s="1">
        <f>HYPERLINK("https://cms.ls-nyc.org/matter/dynamic-profile/view/1863302","18-1863302")</f>
        <v>0</v>
      </c>
      <c r="B571" t="s">
        <v>82</v>
      </c>
      <c r="C571" t="s">
        <v>444</v>
      </c>
      <c r="E571" t="s">
        <v>972</v>
      </c>
      <c r="F571" t="s">
        <v>2133</v>
      </c>
      <c r="G571" t="s">
        <v>3728</v>
      </c>
      <c r="H571" t="s">
        <v>5542</v>
      </c>
      <c r="I571" t="s">
        <v>6043</v>
      </c>
      <c r="J571">
        <v>11226</v>
      </c>
      <c r="K571" t="s">
        <v>6074</v>
      </c>
      <c r="L571" t="s">
        <v>6074</v>
      </c>
      <c r="O571" t="s">
        <v>7308</v>
      </c>
      <c r="Q571" t="s">
        <v>7322</v>
      </c>
      <c r="R571" t="s">
        <v>6074</v>
      </c>
      <c r="S571" t="s">
        <v>7324</v>
      </c>
      <c r="U571" t="s">
        <v>333</v>
      </c>
      <c r="V571">
        <v>1560.44</v>
      </c>
      <c r="W571" t="s">
        <v>7362</v>
      </c>
      <c r="X571" t="s">
        <v>7368</v>
      </c>
      <c r="Z571" t="s">
        <v>7874</v>
      </c>
      <c r="AA571" t="s">
        <v>9997</v>
      </c>
      <c r="AB571" t="s">
        <v>10684</v>
      </c>
      <c r="AC571">
        <v>65</v>
      </c>
      <c r="AD571" t="s">
        <v>12422</v>
      </c>
      <c r="AE571" t="s">
        <v>12434</v>
      </c>
      <c r="AF571">
        <v>32</v>
      </c>
      <c r="AG571">
        <v>2</v>
      </c>
      <c r="AH571">
        <v>0</v>
      </c>
      <c r="AI571">
        <v>39.48</v>
      </c>
      <c r="AL571" t="s">
        <v>12460</v>
      </c>
      <c r="AM571">
        <v>6498</v>
      </c>
      <c r="AS571">
        <v>9.15</v>
      </c>
      <c r="AT571" t="s">
        <v>284</v>
      </c>
      <c r="AU571" t="s">
        <v>13087</v>
      </c>
    </row>
    <row r="572" spans="1:48">
      <c r="A572" s="1">
        <f>HYPERLINK("https://cms.ls-nyc.org/matter/dynamic-profile/view/1882817","18-1882817")</f>
        <v>0</v>
      </c>
      <c r="B572" t="s">
        <v>92</v>
      </c>
      <c r="C572" t="s">
        <v>246</v>
      </c>
      <c r="D572" t="s">
        <v>264</v>
      </c>
      <c r="E572" t="s">
        <v>966</v>
      </c>
      <c r="F572" t="s">
        <v>2142</v>
      </c>
      <c r="G572" t="s">
        <v>3748</v>
      </c>
      <c r="H572" t="s">
        <v>5360</v>
      </c>
      <c r="I572" t="s">
        <v>6043</v>
      </c>
      <c r="J572">
        <v>11208</v>
      </c>
      <c r="K572" t="s">
        <v>6074</v>
      </c>
      <c r="L572" t="s">
        <v>6074</v>
      </c>
      <c r="M572" t="s">
        <v>6385</v>
      </c>
      <c r="N572" t="s">
        <v>7274</v>
      </c>
      <c r="O572" t="s">
        <v>7308</v>
      </c>
      <c r="P572" t="s">
        <v>7316</v>
      </c>
      <c r="Q572" t="s">
        <v>7322</v>
      </c>
      <c r="R572" t="s">
        <v>6074</v>
      </c>
      <c r="S572" t="s">
        <v>7324</v>
      </c>
      <c r="T572" t="s">
        <v>7336</v>
      </c>
      <c r="U572" t="s">
        <v>238</v>
      </c>
      <c r="V572">
        <v>0</v>
      </c>
      <c r="W572" t="s">
        <v>7362</v>
      </c>
      <c r="X572" t="s">
        <v>7375</v>
      </c>
      <c r="Y572" t="s">
        <v>7386</v>
      </c>
      <c r="Z572" t="s">
        <v>7865</v>
      </c>
      <c r="AB572" t="s">
        <v>10676</v>
      </c>
      <c r="AC572">
        <v>7</v>
      </c>
      <c r="AD572" t="s">
        <v>12422</v>
      </c>
      <c r="AF572">
        <v>17</v>
      </c>
      <c r="AG572">
        <v>1</v>
      </c>
      <c r="AH572">
        <v>0</v>
      </c>
      <c r="AI572">
        <v>39.54</v>
      </c>
      <c r="AL572" t="s">
        <v>12461</v>
      </c>
      <c r="AM572">
        <v>4800</v>
      </c>
      <c r="AN572" t="s">
        <v>12543</v>
      </c>
      <c r="AO572" t="s">
        <v>12848</v>
      </c>
      <c r="AP572" t="s">
        <v>12864</v>
      </c>
      <c r="AQ572" t="s">
        <v>12910</v>
      </c>
      <c r="AR572" t="s">
        <v>12926</v>
      </c>
      <c r="AS572">
        <v>5</v>
      </c>
      <c r="AT572" t="s">
        <v>313</v>
      </c>
      <c r="AU572" t="s">
        <v>218</v>
      </c>
    </row>
    <row r="573" spans="1:48">
      <c r="A573" s="1">
        <f>HYPERLINK("https://cms.ls-nyc.org/matter/dynamic-profile/view/1874668","18-1874668")</f>
        <v>0</v>
      </c>
      <c r="B573" t="s">
        <v>101</v>
      </c>
      <c r="C573" t="s">
        <v>378</v>
      </c>
      <c r="E573" t="s">
        <v>973</v>
      </c>
      <c r="F573" t="s">
        <v>2287</v>
      </c>
      <c r="G573" t="s">
        <v>4066</v>
      </c>
      <c r="H573" t="s">
        <v>5543</v>
      </c>
      <c r="I573" t="s">
        <v>6047</v>
      </c>
      <c r="J573">
        <v>10453</v>
      </c>
      <c r="K573" t="s">
        <v>6074</v>
      </c>
      <c r="L573" t="s">
        <v>6074</v>
      </c>
      <c r="M573" t="s">
        <v>6386</v>
      </c>
      <c r="N573" t="s">
        <v>7276</v>
      </c>
      <c r="O573" t="s">
        <v>7308</v>
      </c>
      <c r="Q573" t="s">
        <v>7322</v>
      </c>
      <c r="R573" t="s">
        <v>6076</v>
      </c>
      <c r="S573" t="s">
        <v>7324</v>
      </c>
      <c r="T573" t="s">
        <v>7339</v>
      </c>
      <c r="U573" t="s">
        <v>502</v>
      </c>
      <c r="V573">
        <v>784.77</v>
      </c>
      <c r="W573" t="s">
        <v>7363</v>
      </c>
      <c r="X573" t="s">
        <v>7380</v>
      </c>
      <c r="Z573" t="s">
        <v>7875</v>
      </c>
      <c r="AB573" t="s">
        <v>10685</v>
      </c>
      <c r="AC573">
        <v>65</v>
      </c>
      <c r="AD573" t="s">
        <v>12422</v>
      </c>
      <c r="AE573" t="s">
        <v>6110</v>
      </c>
      <c r="AF573">
        <v>46</v>
      </c>
      <c r="AG573">
        <v>1</v>
      </c>
      <c r="AH573">
        <v>0</v>
      </c>
      <c r="AI573">
        <v>39.54</v>
      </c>
      <c r="AL573" t="s">
        <v>12460</v>
      </c>
      <c r="AM573">
        <v>4800</v>
      </c>
      <c r="AS573">
        <v>37.75</v>
      </c>
      <c r="AT573" t="s">
        <v>365</v>
      </c>
      <c r="AU573" t="s">
        <v>13123</v>
      </c>
    </row>
    <row r="574" spans="1:48">
      <c r="A574" s="1">
        <f>HYPERLINK("https://cms.ls-nyc.org/matter/dynamic-profile/view/1880512","18-1880512")</f>
        <v>0</v>
      </c>
      <c r="B574" t="s">
        <v>130</v>
      </c>
      <c r="C574" t="s">
        <v>307</v>
      </c>
      <c r="D574" t="s">
        <v>333</v>
      </c>
      <c r="E574" t="s">
        <v>582</v>
      </c>
      <c r="F574" t="s">
        <v>2424</v>
      </c>
      <c r="G574" t="s">
        <v>4067</v>
      </c>
      <c r="H574" t="s">
        <v>5544</v>
      </c>
      <c r="I574" t="s">
        <v>6049</v>
      </c>
      <c r="J574">
        <v>10034</v>
      </c>
      <c r="K574" t="s">
        <v>6074</v>
      </c>
      <c r="L574" t="s">
        <v>6074</v>
      </c>
      <c r="N574" t="s">
        <v>7273</v>
      </c>
      <c r="O574" t="s">
        <v>7306</v>
      </c>
      <c r="P574" t="s">
        <v>7314</v>
      </c>
      <c r="Q574" t="s">
        <v>7322</v>
      </c>
      <c r="R574" t="s">
        <v>6076</v>
      </c>
      <c r="S574" t="s">
        <v>7324</v>
      </c>
      <c r="U574" t="s">
        <v>307</v>
      </c>
      <c r="V574">
        <v>1395</v>
      </c>
      <c r="W574" t="s">
        <v>7365</v>
      </c>
      <c r="X574" t="s">
        <v>7368</v>
      </c>
      <c r="Y574" t="s">
        <v>7386</v>
      </c>
      <c r="Z574" t="s">
        <v>7876</v>
      </c>
      <c r="AB574" t="s">
        <v>10686</v>
      </c>
      <c r="AC574">
        <v>160</v>
      </c>
      <c r="AD574" t="s">
        <v>12422</v>
      </c>
      <c r="AE574" t="s">
        <v>6110</v>
      </c>
      <c r="AF574">
        <v>20</v>
      </c>
      <c r="AG574">
        <v>1</v>
      </c>
      <c r="AH574">
        <v>0</v>
      </c>
      <c r="AI574">
        <v>39.54</v>
      </c>
      <c r="AL574" t="s">
        <v>12460</v>
      </c>
      <c r="AM574">
        <v>4800</v>
      </c>
      <c r="AS574">
        <v>1</v>
      </c>
      <c r="AT574" t="s">
        <v>307</v>
      </c>
      <c r="AU574" t="s">
        <v>13106</v>
      </c>
    </row>
    <row r="575" spans="1:48">
      <c r="A575" s="1">
        <f>HYPERLINK("https://cms.ls-nyc.org/matter/dynamic-profile/view/1900209","19-1900209")</f>
        <v>0</v>
      </c>
      <c r="B575" t="s">
        <v>51</v>
      </c>
      <c r="C575" t="s">
        <v>445</v>
      </c>
      <c r="D575" t="s">
        <v>241</v>
      </c>
      <c r="E575" t="s">
        <v>695</v>
      </c>
      <c r="F575" t="s">
        <v>2425</v>
      </c>
      <c r="G575" t="s">
        <v>4068</v>
      </c>
      <c r="H575" t="s">
        <v>5358</v>
      </c>
      <c r="I575" t="s">
        <v>6026</v>
      </c>
      <c r="J575">
        <v>11435</v>
      </c>
      <c r="K575" t="s">
        <v>6074</v>
      </c>
      <c r="L575" t="s">
        <v>6075</v>
      </c>
      <c r="M575" t="s">
        <v>6387</v>
      </c>
      <c r="N575" t="s">
        <v>7273</v>
      </c>
      <c r="O575" t="s">
        <v>7307</v>
      </c>
      <c r="P575" t="s">
        <v>7315</v>
      </c>
      <c r="Q575" t="s">
        <v>7322</v>
      </c>
      <c r="R575" t="s">
        <v>6076</v>
      </c>
      <c r="S575" t="s">
        <v>7324</v>
      </c>
      <c r="U575" t="s">
        <v>445</v>
      </c>
      <c r="V575">
        <v>1600</v>
      </c>
      <c r="W575" t="s">
        <v>7361</v>
      </c>
      <c r="X575" t="s">
        <v>7366</v>
      </c>
      <c r="Y575" t="s">
        <v>7386</v>
      </c>
      <c r="Z575" t="s">
        <v>7877</v>
      </c>
      <c r="AA575" t="s">
        <v>9998</v>
      </c>
      <c r="AB575" t="s">
        <v>10687</v>
      </c>
      <c r="AC575">
        <v>8</v>
      </c>
      <c r="AD575" t="s">
        <v>6322</v>
      </c>
      <c r="AE575" t="s">
        <v>6110</v>
      </c>
      <c r="AF575">
        <v>1</v>
      </c>
      <c r="AG575">
        <v>2</v>
      </c>
      <c r="AH575">
        <v>0</v>
      </c>
      <c r="AI575">
        <v>39.57</v>
      </c>
      <c r="AL575" t="s">
        <v>12460</v>
      </c>
      <c r="AM575">
        <v>6692</v>
      </c>
      <c r="AS575">
        <v>2.55</v>
      </c>
      <c r="AT575" t="s">
        <v>382</v>
      </c>
      <c r="AU575" t="s">
        <v>51</v>
      </c>
      <c r="AV575" t="s">
        <v>13145</v>
      </c>
    </row>
    <row r="576" spans="1:48">
      <c r="A576" s="1">
        <f>HYPERLINK("https://cms.ls-nyc.org/matter/dynamic-profile/view/1894805","19-1894805")</f>
        <v>0</v>
      </c>
      <c r="B576" t="s">
        <v>82</v>
      </c>
      <c r="C576" t="s">
        <v>386</v>
      </c>
      <c r="E576" t="s">
        <v>664</v>
      </c>
      <c r="F576" t="s">
        <v>2141</v>
      </c>
      <c r="G576" t="s">
        <v>3732</v>
      </c>
      <c r="H576" t="s">
        <v>5410</v>
      </c>
      <c r="I576" t="s">
        <v>6043</v>
      </c>
      <c r="J576">
        <v>11221</v>
      </c>
      <c r="K576" t="s">
        <v>6074</v>
      </c>
      <c r="L576" t="s">
        <v>6074</v>
      </c>
      <c r="O576" t="s">
        <v>7309</v>
      </c>
      <c r="Q576" t="s">
        <v>7322</v>
      </c>
      <c r="R576" t="s">
        <v>6076</v>
      </c>
      <c r="S576" t="s">
        <v>7324</v>
      </c>
      <c r="U576" t="s">
        <v>235</v>
      </c>
      <c r="V576">
        <v>0</v>
      </c>
      <c r="W576" t="s">
        <v>7362</v>
      </c>
      <c r="Z576" t="s">
        <v>7506</v>
      </c>
      <c r="AB576" t="s">
        <v>10358</v>
      </c>
      <c r="AC576">
        <v>0</v>
      </c>
      <c r="AF576">
        <v>0</v>
      </c>
      <c r="AG576">
        <v>1</v>
      </c>
      <c r="AH576">
        <v>1</v>
      </c>
      <c r="AI576">
        <v>39.74</v>
      </c>
      <c r="AL576" t="s">
        <v>12460</v>
      </c>
      <c r="AM576">
        <v>6720</v>
      </c>
      <c r="AS576">
        <v>12.95</v>
      </c>
      <c r="AT576" t="s">
        <v>460</v>
      </c>
      <c r="AU576" t="s">
        <v>88</v>
      </c>
    </row>
    <row r="577" spans="1:48">
      <c r="A577" s="1">
        <f>HYPERLINK("https://cms.ls-nyc.org/matter/dynamic-profile/view/1899554","19-1899554")</f>
        <v>0</v>
      </c>
      <c r="B577" t="s">
        <v>74</v>
      </c>
      <c r="C577" t="s">
        <v>446</v>
      </c>
      <c r="E577" t="s">
        <v>974</v>
      </c>
      <c r="F577" t="s">
        <v>2133</v>
      </c>
      <c r="G577" t="s">
        <v>4069</v>
      </c>
      <c r="H577" t="s">
        <v>5436</v>
      </c>
      <c r="I577" t="s">
        <v>6043</v>
      </c>
      <c r="J577">
        <v>11212</v>
      </c>
      <c r="K577" t="s">
        <v>6074</v>
      </c>
      <c r="L577" t="s">
        <v>6075</v>
      </c>
      <c r="M577" t="s">
        <v>6388</v>
      </c>
      <c r="N577" t="s">
        <v>7276</v>
      </c>
      <c r="Q577" t="s">
        <v>7322</v>
      </c>
      <c r="R577" t="s">
        <v>6076</v>
      </c>
      <c r="S577" t="s">
        <v>7324</v>
      </c>
      <c r="T577" t="s">
        <v>7336</v>
      </c>
      <c r="U577" t="s">
        <v>526</v>
      </c>
      <c r="V577">
        <v>1984.35</v>
      </c>
      <c r="W577" t="s">
        <v>7362</v>
      </c>
      <c r="X577" t="s">
        <v>7382</v>
      </c>
      <c r="Z577" t="s">
        <v>7878</v>
      </c>
      <c r="AA577">
        <v>17011970</v>
      </c>
      <c r="AB577" t="s">
        <v>10688</v>
      </c>
      <c r="AC577">
        <v>4</v>
      </c>
      <c r="AD577" t="s">
        <v>12419</v>
      </c>
      <c r="AE577" t="s">
        <v>12433</v>
      </c>
      <c r="AF577">
        <v>3</v>
      </c>
      <c r="AG577">
        <v>1</v>
      </c>
      <c r="AH577">
        <v>4</v>
      </c>
      <c r="AI577">
        <v>39.77</v>
      </c>
      <c r="AL577" t="s">
        <v>12460</v>
      </c>
      <c r="AM577">
        <v>12000</v>
      </c>
      <c r="AS577">
        <v>6.3</v>
      </c>
      <c r="AT577" t="s">
        <v>324</v>
      </c>
      <c r="AU577" t="s">
        <v>13077</v>
      </c>
      <c r="AV577" t="s">
        <v>13145</v>
      </c>
    </row>
    <row r="578" spans="1:48">
      <c r="A578" s="1">
        <f>HYPERLINK("https://cms.ls-nyc.org/matter/dynamic-profile/view/1890801","19-1890801")</f>
        <v>0</v>
      </c>
      <c r="B578" t="s">
        <v>96</v>
      </c>
      <c r="C578" t="s">
        <v>393</v>
      </c>
      <c r="E578" t="s">
        <v>737</v>
      </c>
      <c r="F578" t="s">
        <v>2426</v>
      </c>
      <c r="G578" t="s">
        <v>3792</v>
      </c>
      <c r="H578" t="s">
        <v>5545</v>
      </c>
      <c r="I578" t="s">
        <v>6047</v>
      </c>
      <c r="J578">
        <v>10453</v>
      </c>
      <c r="K578" t="s">
        <v>6074</v>
      </c>
      <c r="L578" t="s">
        <v>6074</v>
      </c>
      <c r="N578" t="s">
        <v>7279</v>
      </c>
      <c r="O578" t="s">
        <v>7311</v>
      </c>
      <c r="Q578" t="s">
        <v>7322</v>
      </c>
      <c r="R578" t="s">
        <v>6074</v>
      </c>
      <c r="S578" t="s">
        <v>7324</v>
      </c>
      <c r="U578" t="s">
        <v>457</v>
      </c>
      <c r="V578">
        <v>1145</v>
      </c>
      <c r="W578" t="s">
        <v>7363</v>
      </c>
      <c r="X578" t="s">
        <v>7376</v>
      </c>
      <c r="Z578" t="s">
        <v>7879</v>
      </c>
      <c r="AB578" t="s">
        <v>10689</v>
      </c>
      <c r="AC578">
        <v>170</v>
      </c>
      <c r="AD578" t="s">
        <v>12422</v>
      </c>
      <c r="AE578" t="s">
        <v>6110</v>
      </c>
      <c r="AF578">
        <v>7</v>
      </c>
      <c r="AG578">
        <v>4</v>
      </c>
      <c r="AH578">
        <v>1</v>
      </c>
      <c r="AI578">
        <v>39.77</v>
      </c>
      <c r="AL578" t="s">
        <v>12461</v>
      </c>
      <c r="AM578">
        <v>12000</v>
      </c>
      <c r="AS578">
        <v>0</v>
      </c>
      <c r="AU578" t="s">
        <v>13099</v>
      </c>
    </row>
    <row r="579" spans="1:48">
      <c r="A579" s="1">
        <f>HYPERLINK("https://cms.ls-nyc.org/matter/dynamic-profile/view/1890793","19-1890793")</f>
        <v>0</v>
      </c>
      <c r="B579" t="s">
        <v>96</v>
      </c>
      <c r="C579" t="s">
        <v>420</v>
      </c>
      <c r="E579" t="s">
        <v>737</v>
      </c>
      <c r="F579" t="s">
        <v>2426</v>
      </c>
      <c r="G579" t="s">
        <v>3792</v>
      </c>
      <c r="H579" t="s">
        <v>5545</v>
      </c>
      <c r="I579" t="s">
        <v>6047</v>
      </c>
      <c r="J579">
        <v>10453</v>
      </c>
      <c r="K579" t="s">
        <v>6074</v>
      </c>
      <c r="L579" t="s">
        <v>6074</v>
      </c>
      <c r="M579" t="s">
        <v>6259</v>
      </c>
      <c r="N579" t="s">
        <v>7273</v>
      </c>
      <c r="O579" t="s">
        <v>7308</v>
      </c>
      <c r="Q579" t="s">
        <v>7322</v>
      </c>
      <c r="R579" t="s">
        <v>6074</v>
      </c>
      <c r="S579" t="s">
        <v>7324</v>
      </c>
      <c r="U579" t="s">
        <v>457</v>
      </c>
      <c r="V579">
        <v>1145</v>
      </c>
      <c r="W579" t="s">
        <v>7363</v>
      </c>
      <c r="X579" t="s">
        <v>7376</v>
      </c>
      <c r="Z579" t="s">
        <v>7879</v>
      </c>
      <c r="AB579" t="s">
        <v>10689</v>
      </c>
      <c r="AC579">
        <v>170</v>
      </c>
      <c r="AD579" t="s">
        <v>12422</v>
      </c>
      <c r="AE579" t="s">
        <v>6110</v>
      </c>
      <c r="AF579">
        <v>7</v>
      </c>
      <c r="AG579">
        <v>5</v>
      </c>
      <c r="AH579">
        <v>0</v>
      </c>
      <c r="AI579">
        <v>39.77</v>
      </c>
      <c r="AL579" t="s">
        <v>12461</v>
      </c>
      <c r="AM579">
        <v>12000</v>
      </c>
      <c r="AS579">
        <v>0</v>
      </c>
      <c r="AU579" t="s">
        <v>13099</v>
      </c>
    </row>
    <row r="580" spans="1:48">
      <c r="A580" s="1">
        <f>HYPERLINK("https://cms.ls-nyc.org/matter/dynamic-profile/view/1889000","19-1889000")</f>
        <v>0</v>
      </c>
      <c r="B580" t="s">
        <v>167</v>
      </c>
      <c r="C580" t="s">
        <v>379</v>
      </c>
      <c r="E580" t="s">
        <v>975</v>
      </c>
      <c r="F580" t="s">
        <v>1271</v>
      </c>
      <c r="G580" t="s">
        <v>4070</v>
      </c>
      <c r="H580" t="s">
        <v>5424</v>
      </c>
      <c r="I580" t="s">
        <v>6047</v>
      </c>
      <c r="J580">
        <v>10468</v>
      </c>
      <c r="K580" t="s">
        <v>6074</v>
      </c>
      <c r="L580" t="s">
        <v>6074</v>
      </c>
      <c r="N580" t="s">
        <v>7288</v>
      </c>
      <c r="O580" t="s">
        <v>7309</v>
      </c>
      <c r="Q580" t="s">
        <v>7322</v>
      </c>
      <c r="R580" t="s">
        <v>6076</v>
      </c>
      <c r="S580" t="s">
        <v>7331</v>
      </c>
      <c r="U580" t="s">
        <v>379</v>
      </c>
      <c r="V580">
        <v>1508</v>
      </c>
      <c r="W580" t="s">
        <v>7363</v>
      </c>
      <c r="X580" t="s">
        <v>7368</v>
      </c>
      <c r="Z580" t="s">
        <v>7880</v>
      </c>
      <c r="AA580" t="s">
        <v>9999</v>
      </c>
      <c r="AB580" t="s">
        <v>10690</v>
      </c>
      <c r="AC580">
        <v>46</v>
      </c>
      <c r="AD580" t="s">
        <v>12422</v>
      </c>
      <c r="AE580" t="s">
        <v>6110</v>
      </c>
      <c r="AF580">
        <v>20</v>
      </c>
      <c r="AG580">
        <v>3</v>
      </c>
      <c r="AH580">
        <v>0</v>
      </c>
      <c r="AI580">
        <v>39.83</v>
      </c>
      <c r="AL580" t="s">
        <v>12460</v>
      </c>
      <c r="AM580">
        <v>8496</v>
      </c>
      <c r="AS580">
        <v>1</v>
      </c>
      <c r="AT580" t="s">
        <v>270</v>
      </c>
      <c r="AU580" t="s">
        <v>13116</v>
      </c>
    </row>
    <row r="581" spans="1:48">
      <c r="A581" s="1">
        <f>HYPERLINK("https://cms.ls-nyc.org/matter/dynamic-profile/view/1874194","18-1874194")</f>
        <v>0</v>
      </c>
      <c r="B581" t="s">
        <v>126</v>
      </c>
      <c r="C581" t="s">
        <v>384</v>
      </c>
      <c r="E581" t="s">
        <v>976</v>
      </c>
      <c r="F581" t="s">
        <v>2427</v>
      </c>
      <c r="G581" t="s">
        <v>4071</v>
      </c>
      <c r="H581" t="s">
        <v>5390</v>
      </c>
      <c r="I581" t="s">
        <v>6049</v>
      </c>
      <c r="J581">
        <v>10035</v>
      </c>
      <c r="K581" t="s">
        <v>6074</v>
      </c>
      <c r="L581" t="s">
        <v>6074</v>
      </c>
      <c r="M581" t="s">
        <v>6389</v>
      </c>
      <c r="N581" t="s">
        <v>7276</v>
      </c>
      <c r="O581" t="s">
        <v>7308</v>
      </c>
      <c r="Q581" t="s">
        <v>7322</v>
      </c>
      <c r="R581" t="s">
        <v>6076</v>
      </c>
      <c r="S581" t="s">
        <v>7324</v>
      </c>
      <c r="T581" t="s">
        <v>7336</v>
      </c>
      <c r="U581" t="s">
        <v>384</v>
      </c>
      <c r="V581">
        <v>953.39</v>
      </c>
      <c r="W581" t="s">
        <v>7365</v>
      </c>
      <c r="X581" t="s">
        <v>7367</v>
      </c>
      <c r="Z581" t="s">
        <v>7881</v>
      </c>
      <c r="AB581" t="s">
        <v>10691</v>
      </c>
      <c r="AC581">
        <v>9</v>
      </c>
      <c r="AD581" t="s">
        <v>12422</v>
      </c>
      <c r="AE581" t="s">
        <v>12440</v>
      </c>
      <c r="AF581">
        <v>3</v>
      </c>
      <c r="AG581">
        <v>1</v>
      </c>
      <c r="AH581">
        <v>0</v>
      </c>
      <c r="AI581">
        <v>39.84</v>
      </c>
      <c r="AL581" t="s">
        <v>12460</v>
      </c>
      <c r="AM581">
        <v>4836</v>
      </c>
      <c r="AO581" t="s">
        <v>12846</v>
      </c>
      <c r="AP581" t="s">
        <v>12878</v>
      </c>
      <c r="AQ581" t="s">
        <v>12909</v>
      </c>
      <c r="AR581" t="s">
        <v>12967</v>
      </c>
      <c r="AS581">
        <v>42.65</v>
      </c>
      <c r="AT581" t="s">
        <v>302</v>
      </c>
      <c r="AU581" t="s">
        <v>13107</v>
      </c>
    </row>
    <row r="582" spans="1:48">
      <c r="A582" s="1">
        <f>HYPERLINK("https://cms.ls-nyc.org/matter/dynamic-profile/view/1895955","19-1895955")</f>
        <v>0</v>
      </c>
      <c r="B582" t="s">
        <v>54</v>
      </c>
      <c r="C582" t="s">
        <v>270</v>
      </c>
      <c r="E582" t="s">
        <v>977</v>
      </c>
      <c r="F582" t="s">
        <v>2011</v>
      </c>
      <c r="G582" t="s">
        <v>4072</v>
      </c>
      <c r="I582" t="s">
        <v>6040</v>
      </c>
      <c r="J582">
        <v>11358</v>
      </c>
      <c r="K582" t="s">
        <v>6074</v>
      </c>
      <c r="L582" t="s">
        <v>6074</v>
      </c>
      <c r="M582" t="s">
        <v>6390</v>
      </c>
      <c r="N582" t="s">
        <v>7274</v>
      </c>
      <c r="O582" t="s">
        <v>7308</v>
      </c>
      <c r="Q582" t="s">
        <v>7322</v>
      </c>
      <c r="S582" t="s">
        <v>7324</v>
      </c>
      <c r="U582" t="s">
        <v>270</v>
      </c>
      <c r="V582">
        <v>430</v>
      </c>
      <c r="W582" t="s">
        <v>7361</v>
      </c>
      <c r="Z582" t="s">
        <v>7882</v>
      </c>
      <c r="AB582" t="s">
        <v>10692</v>
      </c>
      <c r="AC582">
        <v>0</v>
      </c>
      <c r="AF582">
        <v>0</v>
      </c>
      <c r="AG582">
        <v>1</v>
      </c>
      <c r="AH582">
        <v>0</v>
      </c>
      <c r="AI582">
        <v>40.03</v>
      </c>
      <c r="AL582" t="s">
        <v>12460</v>
      </c>
      <c r="AM582">
        <v>5000</v>
      </c>
      <c r="AS582">
        <v>20.25</v>
      </c>
      <c r="AT582" t="s">
        <v>324</v>
      </c>
      <c r="AU582" t="s">
        <v>13078</v>
      </c>
    </row>
    <row r="583" spans="1:48">
      <c r="A583" s="1">
        <f>HYPERLINK("https://cms.ls-nyc.org/matter/dynamic-profile/view/1873404","18-1873404")</f>
        <v>0</v>
      </c>
      <c r="B583" t="s">
        <v>119</v>
      </c>
      <c r="C583" t="s">
        <v>447</v>
      </c>
      <c r="D583" t="s">
        <v>558</v>
      </c>
      <c r="E583" t="s">
        <v>674</v>
      </c>
      <c r="F583" t="s">
        <v>2428</v>
      </c>
      <c r="G583" t="s">
        <v>4073</v>
      </c>
      <c r="H583" t="s">
        <v>5446</v>
      </c>
      <c r="I583" t="s">
        <v>6048</v>
      </c>
      <c r="J583">
        <v>10301</v>
      </c>
      <c r="K583" t="s">
        <v>6074</v>
      </c>
      <c r="L583" t="s">
        <v>6074</v>
      </c>
      <c r="M583" t="s">
        <v>6391</v>
      </c>
      <c r="N583" t="s">
        <v>7276</v>
      </c>
      <c r="O583" t="s">
        <v>7308</v>
      </c>
      <c r="P583" t="s">
        <v>7316</v>
      </c>
      <c r="Q583" t="s">
        <v>7322</v>
      </c>
      <c r="R583" t="s">
        <v>6076</v>
      </c>
      <c r="S583" t="s">
        <v>7324</v>
      </c>
      <c r="T583" t="s">
        <v>7336</v>
      </c>
      <c r="U583" t="s">
        <v>447</v>
      </c>
      <c r="V583">
        <v>1350</v>
      </c>
      <c r="W583" t="s">
        <v>7364</v>
      </c>
      <c r="X583" t="s">
        <v>7376</v>
      </c>
      <c r="Y583" t="s">
        <v>7388</v>
      </c>
      <c r="Z583" t="s">
        <v>7883</v>
      </c>
      <c r="AB583" t="s">
        <v>10693</v>
      </c>
      <c r="AC583">
        <v>80</v>
      </c>
      <c r="AD583" t="s">
        <v>12422</v>
      </c>
      <c r="AE583" t="s">
        <v>6110</v>
      </c>
      <c r="AF583">
        <v>-1</v>
      </c>
      <c r="AG583">
        <v>2</v>
      </c>
      <c r="AH583">
        <v>1</v>
      </c>
      <c r="AI583">
        <v>40.04</v>
      </c>
      <c r="AL583" t="s">
        <v>12460</v>
      </c>
      <c r="AM583">
        <v>8320</v>
      </c>
      <c r="AO583" t="s">
        <v>12850</v>
      </c>
      <c r="AP583" t="s">
        <v>7305</v>
      </c>
      <c r="AQ583" t="s">
        <v>12909</v>
      </c>
      <c r="AR583" t="s">
        <v>12968</v>
      </c>
      <c r="AS583">
        <v>5.95</v>
      </c>
      <c r="AT583" t="s">
        <v>558</v>
      </c>
      <c r="AU583" t="s">
        <v>210</v>
      </c>
    </row>
    <row r="584" spans="1:48">
      <c r="A584" s="1">
        <f>HYPERLINK("https://cms.ls-nyc.org/matter/dynamic-profile/view/1887510","19-1887510")</f>
        <v>0</v>
      </c>
      <c r="B584" t="s">
        <v>125</v>
      </c>
      <c r="C584" t="s">
        <v>340</v>
      </c>
      <c r="E584" t="s">
        <v>978</v>
      </c>
      <c r="F584" t="s">
        <v>2326</v>
      </c>
      <c r="G584" t="s">
        <v>4074</v>
      </c>
      <c r="H584" t="s">
        <v>5517</v>
      </c>
      <c r="I584" t="s">
        <v>6049</v>
      </c>
      <c r="J584">
        <v>10034</v>
      </c>
      <c r="K584" t="s">
        <v>6074</v>
      </c>
      <c r="L584" t="s">
        <v>6074</v>
      </c>
      <c r="M584" t="s">
        <v>6392</v>
      </c>
      <c r="N584" t="s">
        <v>7276</v>
      </c>
      <c r="O584" t="s">
        <v>7308</v>
      </c>
      <c r="Q584" t="s">
        <v>7322</v>
      </c>
      <c r="R584" t="s">
        <v>6076</v>
      </c>
      <c r="S584" t="s">
        <v>7324</v>
      </c>
      <c r="T584" t="s">
        <v>7337</v>
      </c>
      <c r="U584" t="s">
        <v>340</v>
      </c>
      <c r="V584">
        <v>1223.79</v>
      </c>
      <c r="W584" t="s">
        <v>7365</v>
      </c>
      <c r="X584" t="s">
        <v>7366</v>
      </c>
      <c r="Z584" t="s">
        <v>7884</v>
      </c>
      <c r="AA584" t="s">
        <v>10000</v>
      </c>
      <c r="AB584" t="s">
        <v>10694</v>
      </c>
      <c r="AC584">
        <v>0</v>
      </c>
      <c r="AD584" t="s">
        <v>6322</v>
      </c>
      <c r="AE584" t="s">
        <v>12434</v>
      </c>
      <c r="AF584">
        <v>14</v>
      </c>
      <c r="AG584">
        <v>1</v>
      </c>
      <c r="AH584">
        <v>2</v>
      </c>
      <c r="AI584">
        <v>40.14</v>
      </c>
      <c r="AL584" t="s">
        <v>12460</v>
      </c>
      <c r="AM584">
        <v>8341.200000000001</v>
      </c>
      <c r="AS584">
        <v>28.85</v>
      </c>
      <c r="AT584" t="s">
        <v>386</v>
      </c>
      <c r="AU584" t="s">
        <v>13111</v>
      </c>
    </row>
    <row r="585" spans="1:48">
      <c r="A585" s="1">
        <f>HYPERLINK("https://cms.ls-nyc.org/matter/dynamic-profile/view/1890543","19-1890543")</f>
        <v>0</v>
      </c>
      <c r="B585" t="s">
        <v>72</v>
      </c>
      <c r="C585" t="s">
        <v>448</v>
      </c>
      <c r="E585" t="s">
        <v>979</v>
      </c>
      <c r="F585" t="s">
        <v>2429</v>
      </c>
      <c r="G585" t="s">
        <v>3701</v>
      </c>
      <c r="H585" t="s">
        <v>5465</v>
      </c>
      <c r="I585" t="s">
        <v>6043</v>
      </c>
      <c r="J585">
        <v>11233</v>
      </c>
      <c r="K585" t="s">
        <v>6074</v>
      </c>
      <c r="L585" t="s">
        <v>6076</v>
      </c>
      <c r="N585" t="s">
        <v>7279</v>
      </c>
      <c r="O585" t="s">
        <v>7311</v>
      </c>
      <c r="Q585" t="s">
        <v>7322</v>
      </c>
      <c r="R585" t="s">
        <v>6074</v>
      </c>
      <c r="S585" t="s">
        <v>7324</v>
      </c>
      <c r="T585" t="s">
        <v>7336</v>
      </c>
      <c r="U585" t="s">
        <v>330</v>
      </c>
      <c r="V585">
        <v>300</v>
      </c>
      <c r="W585" t="s">
        <v>7362</v>
      </c>
      <c r="X585" t="s">
        <v>7372</v>
      </c>
      <c r="Z585" t="s">
        <v>7885</v>
      </c>
      <c r="AC585">
        <v>359</v>
      </c>
      <c r="AD585" t="s">
        <v>12422</v>
      </c>
      <c r="AE585" t="s">
        <v>12434</v>
      </c>
      <c r="AF585">
        <v>50</v>
      </c>
      <c r="AG585">
        <v>2</v>
      </c>
      <c r="AH585">
        <v>0</v>
      </c>
      <c r="AI585">
        <v>40.21</v>
      </c>
      <c r="AL585" t="s">
        <v>12460</v>
      </c>
      <c r="AM585">
        <v>6800</v>
      </c>
      <c r="AN585" t="s">
        <v>12544</v>
      </c>
      <c r="AS585">
        <v>0</v>
      </c>
      <c r="AU585" t="s">
        <v>218</v>
      </c>
    </row>
    <row r="586" spans="1:48">
      <c r="A586" s="1">
        <f>HYPERLINK("https://cms.ls-nyc.org/matter/dynamic-profile/view/1891478","19-1891478")</f>
        <v>0</v>
      </c>
      <c r="B586" t="s">
        <v>72</v>
      </c>
      <c r="C586" t="s">
        <v>278</v>
      </c>
      <c r="E586" t="s">
        <v>979</v>
      </c>
      <c r="F586" t="s">
        <v>2429</v>
      </c>
      <c r="G586" t="s">
        <v>3701</v>
      </c>
      <c r="H586" t="s">
        <v>5465</v>
      </c>
      <c r="I586" t="s">
        <v>6043</v>
      </c>
      <c r="J586">
        <v>11233</v>
      </c>
      <c r="K586" t="s">
        <v>6074</v>
      </c>
      <c r="L586" t="s">
        <v>6076</v>
      </c>
      <c r="N586" t="s">
        <v>7275</v>
      </c>
      <c r="O586" t="s">
        <v>7307</v>
      </c>
      <c r="Q586" t="s">
        <v>7322</v>
      </c>
      <c r="R586" t="s">
        <v>6074</v>
      </c>
      <c r="S586" t="s">
        <v>7324</v>
      </c>
      <c r="T586" t="s">
        <v>7336</v>
      </c>
      <c r="U586" t="s">
        <v>287</v>
      </c>
      <c r="V586">
        <v>300</v>
      </c>
      <c r="W586" t="s">
        <v>7362</v>
      </c>
      <c r="X586" t="s">
        <v>7372</v>
      </c>
      <c r="Z586" t="s">
        <v>7885</v>
      </c>
      <c r="AC586">
        <v>359</v>
      </c>
      <c r="AD586" t="s">
        <v>12422</v>
      </c>
      <c r="AE586" t="s">
        <v>12434</v>
      </c>
      <c r="AF586">
        <v>50</v>
      </c>
      <c r="AG586">
        <v>2</v>
      </c>
      <c r="AH586">
        <v>0</v>
      </c>
      <c r="AI586">
        <v>40.21</v>
      </c>
      <c r="AL586" t="s">
        <v>12460</v>
      </c>
      <c r="AM586">
        <v>6800</v>
      </c>
      <c r="AN586" t="s">
        <v>12545</v>
      </c>
      <c r="AS586">
        <v>0</v>
      </c>
      <c r="AU586" t="s">
        <v>180</v>
      </c>
    </row>
    <row r="587" spans="1:48">
      <c r="A587" s="1">
        <f>HYPERLINK("https://cms.ls-nyc.org/matter/dynamic-profile/view/1898784","19-1898784")</f>
        <v>0</v>
      </c>
      <c r="B587" t="s">
        <v>53</v>
      </c>
      <c r="C587" t="s">
        <v>309</v>
      </c>
      <c r="E587" t="s">
        <v>980</v>
      </c>
      <c r="F587" t="s">
        <v>2430</v>
      </c>
      <c r="G587" t="s">
        <v>4075</v>
      </c>
      <c r="H587" t="s">
        <v>5546</v>
      </c>
      <c r="I587" t="s">
        <v>6026</v>
      </c>
      <c r="J587">
        <v>11433</v>
      </c>
      <c r="K587" t="s">
        <v>6074</v>
      </c>
      <c r="L587" t="s">
        <v>6074</v>
      </c>
      <c r="M587" t="s">
        <v>6393</v>
      </c>
      <c r="N587" t="s">
        <v>7276</v>
      </c>
      <c r="O587" t="s">
        <v>7307</v>
      </c>
      <c r="Q587" t="s">
        <v>7322</v>
      </c>
      <c r="R587" t="s">
        <v>6074</v>
      </c>
      <c r="S587" t="s">
        <v>7324</v>
      </c>
      <c r="U587" t="s">
        <v>309</v>
      </c>
      <c r="V587">
        <v>1303</v>
      </c>
      <c r="W587" t="s">
        <v>7361</v>
      </c>
      <c r="Z587" t="s">
        <v>7886</v>
      </c>
      <c r="AB587" t="s">
        <v>10695</v>
      </c>
      <c r="AC587">
        <v>50</v>
      </c>
      <c r="AF587">
        <v>3</v>
      </c>
      <c r="AG587">
        <v>2</v>
      </c>
      <c r="AH587">
        <v>0</v>
      </c>
      <c r="AI587">
        <v>40.24</v>
      </c>
      <c r="AM587">
        <v>6804</v>
      </c>
      <c r="AS587">
        <v>3.8</v>
      </c>
      <c r="AT587" t="s">
        <v>382</v>
      </c>
      <c r="AU587" t="s">
        <v>13078</v>
      </c>
    </row>
    <row r="588" spans="1:48">
      <c r="A588" s="1">
        <f>HYPERLINK("https://cms.ls-nyc.org/matter/dynamic-profile/view/1884520","18-1884520")</f>
        <v>0</v>
      </c>
      <c r="B588" t="s">
        <v>114</v>
      </c>
      <c r="C588" t="s">
        <v>297</v>
      </c>
      <c r="D588" t="s">
        <v>434</v>
      </c>
      <c r="E588" t="s">
        <v>981</v>
      </c>
      <c r="F588" t="s">
        <v>2431</v>
      </c>
      <c r="G588" t="s">
        <v>4076</v>
      </c>
      <c r="H588" t="s">
        <v>5547</v>
      </c>
      <c r="I588" t="s">
        <v>6047</v>
      </c>
      <c r="J588">
        <v>10468</v>
      </c>
      <c r="K588" t="s">
        <v>6074</v>
      </c>
      <c r="L588" t="s">
        <v>6074</v>
      </c>
      <c r="N588" t="s">
        <v>6104</v>
      </c>
      <c r="O588" t="s">
        <v>7306</v>
      </c>
      <c r="P588" t="s">
        <v>7314</v>
      </c>
      <c r="Q588" t="s">
        <v>7322</v>
      </c>
      <c r="R588" t="s">
        <v>6076</v>
      </c>
      <c r="S588" t="s">
        <v>7324</v>
      </c>
      <c r="U588" t="s">
        <v>297</v>
      </c>
      <c r="V588">
        <v>0</v>
      </c>
      <c r="W588" t="s">
        <v>7363</v>
      </c>
      <c r="X588" t="s">
        <v>7376</v>
      </c>
      <c r="Y588" t="s">
        <v>7386</v>
      </c>
      <c r="Z588" t="s">
        <v>7887</v>
      </c>
      <c r="AA588">
        <v>3268823</v>
      </c>
      <c r="AC588">
        <v>0</v>
      </c>
      <c r="AE588" t="s">
        <v>12440</v>
      </c>
      <c r="AF588">
        <v>0</v>
      </c>
      <c r="AG588">
        <v>1</v>
      </c>
      <c r="AH588">
        <v>0</v>
      </c>
      <c r="AI588">
        <v>40.26</v>
      </c>
      <c r="AL588" t="s">
        <v>12460</v>
      </c>
      <c r="AM588">
        <v>4888</v>
      </c>
      <c r="AS588">
        <v>0.25</v>
      </c>
      <c r="AT588" t="s">
        <v>434</v>
      </c>
      <c r="AU588" t="s">
        <v>13095</v>
      </c>
    </row>
    <row r="589" spans="1:48">
      <c r="A589" s="1">
        <f>HYPERLINK("https://cms.ls-nyc.org/matter/dynamic-profile/view/1885681","18-1885681")</f>
        <v>0</v>
      </c>
      <c r="B589" t="s">
        <v>102</v>
      </c>
      <c r="C589" t="s">
        <v>344</v>
      </c>
      <c r="E589" t="s">
        <v>982</v>
      </c>
      <c r="F589" t="s">
        <v>2432</v>
      </c>
      <c r="G589" t="s">
        <v>3779</v>
      </c>
      <c r="H589" t="s">
        <v>5418</v>
      </c>
      <c r="I589" t="s">
        <v>6047</v>
      </c>
      <c r="J589">
        <v>10460</v>
      </c>
      <c r="K589" t="s">
        <v>6074</v>
      </c>
      <c r="L589" t="s">
        <v>6074</v>
      </c>
      <c r="M589" t="s">
        <v>6182</v>
      </c>
      <c r="N589" t="s">
        <v>7273</v>
      </c>
      <c r="O589" t="s">
        <v>7308</v>
      </c>
      <c r="Q589" t="s">
        <v>7322</v>
      </c>
      <c r="R589" t="s">
        <v>6074</v>
      </c>
      <c r="S589" t="s">
        <v>7324</v>
      </c>
      <c r="U589" t="s">
        <v>457</v>
      </c>
      <c r="V589">
        <v>1000</v>
      </c>
      <c r="W589" t="s">
        <v>7363</v>
      </c>
      <c r="X589" t="s">
        <v>7376</v>
      </c>
      <c r="Z589" t="s">
        <v>7888</v>
      </c>
      <c r="AB589" t="s">
        <v>10696</v>
      </c>
      <c r="AC589">
        <v>168</v>
      </c>
      <c r="AD589" t="s">
        <v>6322</v>
      </c>
      <c r="AE589" t="s">
        <v>6110</v>
      </c>
      <c r="AF589">
        <v>4</v>
      </c>
      <c r="AG589">
        <v>1</v>
      </c>
      <c r="AH589">
        <v>0</v>
      </c>
      <c r="AI589">
        <v>40.26</v>
      </c>
      <c r="AL589" t="s">
        <v>12461</v>
      </c>
      <c r="AM589">
        <v>4888</v>
      </c>
      <c r="AS589">
        <v>0</v>
      </c>
      <c r="AU589" t="s">
        <v>13092</v>
      </c>
    </row>
    <row r="590" spans="1:48">
      <c r="A590" s="1">
        <f>HYPERLINK("https://cms.ls-nyc.org/matter/dynamic-profile/view/1874691","18-1874691")</f>
        <v>0</v>
      </c>
      <c r="B590" t="s">
        <v>168</v>
      </c>
      <c r="C590" t="s">
        <v>378</v>
      </c>
      <c r="E590" t="s">
        <v>983</v>
      </c>
      <c r="F590" t="s">
        <v>2433</v>
      </c>
      <c r="G590" t="s">
        <v>4077</v>
      </c>
      <c r="H590" t="s">
        <v>5387</v>
      </c>
      <c r="I590" t="s">
        <v>6043</v>
      </c>
      <c r="J590">
        <v>11233</v>
      </c>
      <c r="K590" t="s">
        <v>6074</v>
      </c>
      <c r="L590" t="s">
        <v>6074</v>
      </c>
      <c r="M590" t="s">
        <v>6394</v>
      </c>
      <c r="N590" t="s">
        <v>7276</v>
      </c>
      <c r="O590" t="s">
        <v>7308</v>
      </c>
      <c r="Q590" t="s">
        <v>7322</v>
      </c>
      <c r="R590" t="s">
        <v>6076</v>
      </c>
      <c r="S590" t="s">
        <v>7324</v>
      </c>
      <c r="U590" t="s">
        <v>337</v>
      </c>
      <c r="V590">
        <v>933.24</v>
      </c>
      <c r="W590" t="s">
        <v>7362</v>
      </c>
      <c r="X590" t="s">
        <v>7368</v>
      </c>
      <c r="Z590" t="s">
        <v>7889</v>
      </c>
      <c r="AA590" t="s">
        <v>10001</v>
      </c>
      <c r="AB590" t="s">
        <v>10697</v>
      </c>
      <c r="AC590">
        <v>8</v>
      </c>
      <c r="AD590" t="s">
        <v>12420</v>
      </c>
      <c r="AE590" t="s">
        <v>12434</v>
      </c>
      <c r="AF590">
        <v>20</v>
      </c>
      <c r="AG590">
        <v>2</v>
      </c>
      <c r="AH590">
        <v>1</v>
      </c>
      <c r="AI590">
        <v>40.42</v>
      </c>
      <c r="AL590" t="s">
        <v>12460</v>
      </c>
      <c r="AM590">
        <v>8400</v>
      </c>
      <c r="AS590">
        <v>18.06</v>
      </c>
      <c r="AT590" t="s">
        <v>318</v>
      </c>
      <c r="AU590" t="s">
        <v>13091</v>
      </c>
    </row>
    <row r="591" spans="1:48">
      <c r="A591" s="1">
        <f>HYPERLINK("https://cms.ls-nyc.org/matter/dynamic-profile/view/1866254","18-1866254")</f>
        <v>0</v>
      </c>
      <c r="B591" t="s">
        <v>96</v>
      </c>
      <c r="C591" t="s">
        <v>449</v>
      </c>
      <c r="E591" t="s">
        <v>984</v>
      </c>
      <c r="F591" t="s">
        <v>2434</v>
      </c>
      <c r="G591" t="s">
        <v>3936</v>
      </c>
      <c r="H591" t="s">
        <v>5430</v>
      </c>
      <c r="I591" t="s">
        <v>6047</v>
      </c>
      <c r="J591">
        <v>10452</v>
      </c>
      <c r="K591" t="s">
        <v>6074</v>
      </c>
      <c r="L591" t="s">
        <v>6074</v>
      </c>
      <c r="M591" t="s">
        <v>6395</v>
      </c>
      <c r="N591" t="s">
        <v>7294</v>
      </c>
      <c r="O591" t="s">
        <v>7311</v>
      </c>
      <c r="Q591" t="s">
        <v>7322</v>
      </c>
      <c r="R591" t="s">
        <v>6074</v>
      </c>
      <c r="S591" t="s">
        <v>7324</v>
      </c>
      <c r="T591" t="s">
        <v>7336</v>
      </c>
      <c r="U591" t="s">
        <v>467</v>
      </c>
      <c r="V591">
        <v>1600</v>
      </c>
      <c r="W591" t="s">
        <v>7363</v>
      </c>
      <c r="X591" t="s">
        <v>7376</v>
      </c>
      <c r="Z591" t="s">
        <v>7890</v>
      </c>
      <c r="AA591" t="s">
        <v>10002</v>
      </c>
      <c r="AB591" t="s">
        <v>10698</v>
      </c>
      <c r="AC591">
        <v>53</v>
      </c>
      <c r="AD591" t="s">
        <v>12422</v>
      </c>
      <c r="AE591" t="s">
        <v>12435</v>
      </c>
      <c r="AF591">
        <v>3</v>
      </c>
      <c r="AG591">
        <v>1</v>
      </c>
      <c r="AH591">
        <v>2</v>
      </c>
      <c r="AI591">
        <v>40.42</v>
      </c>
      <c r="AL591" t="s">
        <v>12460</v>
      </c>
      <c r="AM591">
        <v>8400</v>
      </c>
      <c r="AS591">
        <v>94.25</v>
      </c>
      <c r="AT591" t="s">
        <v>294</v>
      </c>
      <c r="AU591" t="s">
        <v>13092</v>
      </c>
    </row>
    <row r="592" spans="1:48">
      <c r="A592" s="1">
        <f>HYPERLINK("https://cms.ls-nyc.org/matter/dynamic-profile/view/1873284","18-1873284")</f>
        <v>0</v>
      </c>
      <c r="B592" t="s">
        <v>52</v>
      </c>
      <c r="C592" t="s">
        <v>419</v>
      </c>
      <c r="D592" t="s">
        <v>434</v>
      </c>
      <c r="E592" t="s">
        <v>985</v>
      </c>
      <c r="F592" t="s">
        <v>2435</v>
      </c>
      <c r="G592" t="s">
        <v>4078</v>
      </c>
      <c r="H592" t="s">
        <v>5548</v>
      </c>
      <c r="I592" t="s">
        <v>6025</v>
      </c>
      <c r="J592">
        <v>11691</v>
      </c>
      <c r="K592" t="s">
        <v>6074</v>
      </c>
      <c r="L592" t="s">
        <v>6074</v>
      </c>
      <c r="M592" t="s">
        <v>6396</v>
      </c>
      <c r="N592" t="s">
        <v>7274</v>
      </c>
      <c r="O592" t="s">
        <v>7308</v>
      </c>
      <c r="P592" t="s">
        <v>7320</v>
      </c>
      <c r="Q592" t="s">
        <v>7322</v>
      </c>
      <c r="R592" t="s">
        <v>6076</v>
      </c>
      <c r="S592" t="s">
        <v>7324</v>
      </c>
      <c r="T592" t="s">
        <v>7336</v>
      </c>
      <c r="U592" t="s">
        <v>419</v>
      </c>
      <c r="V592">
        <v>1956</v>
      </c>
      <c r="W592" t="s">
        <v>7361</v>
      </c>
      <c r="X592" t="s">
        <v>7366</v>
      </c>
      <c r="Y592" t="s">
        <v>7388</v>
      </c>
      <c r="Z592" t="s">
        <v>7891</v>
      </c>
      <c r="AA592" t="s">
        <v>10003</v>
      </c>
      <c r="AB592" t="s">
        <v>9856</v>
      </c>
      <c r="AC592">
        <v>3</v>
      </c>
      <c r="AD592" t="s">
        <v>12419</v>
      </c>
      <c r="AE592" t="s">
        <v>12433</v>
      </c>
      <c r="AF592">
        <v>3</v>
      </c>
      <c r="AG592">
        <v>1</v>
      </c>
      <c r="AH592">
        <v>5</v>
      </c>
      <c r="AI592">
        <v>40.46</v>
      </c>
      <c r="AL592" t="s">
        <v>12460</v>
      </c>
      <c r="AM592">
        <v>13650</v>
      </c>
      <c r="AO592" t="s">
        <v>12846</v>
      </c>
      <c r="AP592" t="s">
        <v>7305</v>
      </c>
      <c r="AQ592" t="s">
        <v>12909</v>
      </c>
      <c r="AR592" t="s">
        <v>12969</v>
      </c>
      <c r="AS592">
        <v>31.2</v>
      </c>
      <c r="AT592" t="s">
        <v>413</v>
      </c>
      <c r="AU592" t="s">
        <v>49</v>
      </c>
    </row>
    <row r="593" spans="1:47">
      <c r="A593" s="1">
        <f>HYPERLINK("https://cms.ls-nyc.org/matter/dynamic-profile/view/1887903","19-1887903")</f>
        <v>0</v>
      </c>
      <c r="B593" t="s">
        <v>80</v>
      </c>
      <c r="C593" t="s">
        <v>390</v>
      </c>
      <c r="E593" t="s">
        <v>789</v>
      </c>
      <c r="F593" t="s">
        <v>2263</v>
      </c>
      <c r="G593" t="s">
        <v>3871</v>
      </c>
      <c r="H593" t="s">
        <v>5357</v>
      </c>
      <c r="I593" t="s">
        <v>6043</v>
      </c>
      <c r="J593">
        <v>11213</v>
      </c>
      <c r="K593" t="s">
        <v>6074</v>
      </c>
      <c r="L593" t="s">
        <v>6074</v>
      </c>
      <c r="M593" t="s">
        <v>6397</v>
      </c>
      <c r="N593" t="s">
        <v>7273</v>
      </c>
      <c r="O593" t="s">
        <v>7308</v>
      </c>
      <c r="Q593" t="s">
        <v>7322</v>
      </c>
      <c r="R593" t="s">
        <v>6074</v>
      </c>
      <c r="S593" t="s">
        <v>7324</v>
      </c>
      <c r="U593" t="s">
        <v>373</v>
      </c>
      <c r="V593">
        <v>643.51</v>
      </c>
      <c r="W593" t="s">
        <v>7362</v>
      </c>
      <c r="X593" t="s">
        <v>7305</v>
      </c>
      <c r="Z593" t="s">
        <v>7647</v>
      </c>
      <c r="AB593" t="s">
        <v>10477</v>
      </c>
      <c r="AC593">
        <v>19</v>
      </c>
      <c r="AD593" t="s">
        <v>12422</v>
      </c>
      <c r="AE593" t="s">
        <v>6110</v>
      </c>
      <c r="AF593">
        <v>7</v>
      </c>
      <c r="AG593">
        <v>2</v>
      </c>
      <c r="AH593">
        <v>2</v>
      </c>
      <c r="AI593">
        <v>40.64</v>
      </c>
      <c r="AL593" t="s">
        <v>12460</v>
      </c>
      <c r="AM593">
        <v>10200</v>
      </c>
      <c r="AS593">
        <v>0</v>
      </c>
      <c r="AU593" t="s">
        <v>180</v>
      </c>
    </row>
    <row r="594" spans="1:47">
      <c r="A594" s="1">
        <f>HYPERLINK("https://cms.ls-nyc.org/matter/dynamic-profile/view/1887898","19-1887898")</f>
        <v>0</v>
      </c>
      <c r="B594" t="s">
        <v>80</v>
      </c>
      <c r="C594" t="s">
        <v>390</v>
      </c>
      <c r="D594" t="s">
        <v>396</v>
      </c>
      <c r="E594" t="s">
        <v>789</v>
      </c>
      <c r="F594" t="s">
        <v>2263</v>
      </c>
      <c r="G594" t="s">
        <v>3871</v>
      </c>
      <c r="H594" t="s">
        <v>5357</v>
      </c>
      <c r="I594" t="s">
        <v>6043</v>
      </c>
      <c r="J594">
        <v>11213</v>
      </c>
      <c r="K594" t="s">
        <v>6074</v>
      </c>
      <c r="L594" t="s">
        <v>6074</v>
      </c>
      <c r="N594" t="s">
        <v>7275</v>
      </c>
      <c r="O594" t="s">
        <v>7307</v>
      </c>
      <c r="P594" t="s">
        <v>7315</v>
      </c>
      <c r="Q594" t="s">
        <v>7322</v>
      </c>
      <c r="R594" t="s">
        <v>6074</v>
      </c>
      <c r="S594" t="s">
        <v>7324</v>
      </c>
      <c r="U594" t="s">
        <v>373</v>
      </c>
      <c r="V594">
        <v>643.51</v>
      </c>
      <c r="W594" t="s">
        <v>7362</v>
      </c>
      <c r="X594" t="s">
        <v>7305</v>
      </c>
      <c r="Y594" t="s">
        <v>7394</v>
      </c>
      <c r="Z594" t="s">
        <v>7647</v>
      </c>
      <c r="AB594" t="s">
        <v>10477</v>
      </c>
      <c r="AC594">
        <v>19</v>
      </c>
      <c r="AD594" t="s">
        <v>12422</v>
      </c>
      <c r="AE594" t="s">
        <v>6110</v>
      </c>
      <c r="AF594">
        <v>7</v>
      </c>
      <c r="AG594">
        <v>2</v>
      </c>
      <c r="AH594">
        <v>2</v>
      </c>
      <c r="AI594">
        <v>40.64</v>
      </c>
      <c r="AL594" t="s">
        <v>12460</v>
      </c>
      <c r="AM594">
        <v>10200</v>
      </c>
      <c r="AS594">
        <v>0.08</v>
      </c>
      <c r="AT594" t="s">
        <v>390</v>
      </c>
      <c r="AU594" t="s">
        <v>180</v>
      </c>
    </row>
    <row r="595" spans="1:47">
      <c r="A595" s="1">
        <f>HYPERLINK("https://cms.ls-nyc.org/matter/dynamic-profile/view/1885563","18-1885563")</f>
        <v>0</v>
      </c>
      <c r="B595" t="s">
        <v>169</v>
      </c>
      <c r="C595" t="s">
        <v>266</v>
      </c>
      <c r="D595" t="s">
        <v>332</v>
      </c>
      <c r="E595" t="s">
        <v>986</v>
      </c>
      <c r="F595" t="s">
        <v>2436</v>
      </c>
      <c r="G595" t="s">
        <v>3661</v>
      </c>
      <c r="H595" t="s">
        <v>5549</v>
      </c>
      <c r="I595" t="s">
        <v>6025</v>
      </c>
      <c r="J595">
        <v>11691</v>
      </c>
      <c r="K595" t="s">
        <v>6074</v>
      </c>
      <c r="L595" t="s">
        <v>6074</v>
      </c>
      <c r="M595" t="s">
        <v>6398</v>
      </c>
      <c r="N595" t="s">
        <v>7276</v>
      </c>
      <c r="O595" t="s">
        <v>7308</v>
      </c>
      <c r="P595" t="s">
        <v>7317</v>
      </c>
      <c r="Q595" t="s">
        <v>7322</v>
      </c>
      <c r="R595" t="s">
        <v>6076</v>
      </c>
      <c r="S595" t="s">
        <v>7324</v>
      </c>
      <c r="T595" t="s">
        <v>7340</v>
      </c>
      <c r="U595" t="s">
        <v>351</v>
      </c>
      <c r="V595">
        <v>1497</v>
      </c>
      <c r="W595" t="s">
        <v>7361</v>
      </c>
      <c r="X595" t="s">
        <v>7366</v>
      </c>
      <c r="Y595" t="s">
        <v>7399</v>
      </c>
      <c r="Z595" t="s">
        <v>7892</v>
      </c>
      <c r="AA595" t="s">
        <v>10004</v>
      </c>
      <c r="AB595" t="s">
        <v>10699</v>
      </c>
      <c r="AC595">
        <v>231</v>
      </c>
      <c r="AD595" t="s">
        <v>12423</v>
      </c>
      <c r="AE595" t="s">
        <v>12434</v>
      </c>
      <c r="AF595">
        <v>2</v>
      </c>
      <c r="AG595">
        <v>2</v>
      </c>
      <c r="AH595">
        <v>2</v>
      </c>
      <c r="AI595">
        <v>40.7</v>
      </c>
      <c r="AL595" t="s">
        <v>12460</v>
      </c>
      <c r="AM595">
        <v>10216</v>
      </c>
      <c r="AO595" t="s">
        <v>12847</v>
      </c>
      <c r="AP595" t="s">
        <v>12858</v>
      </c>
      <c r="AQ595" t="s">
        <v>12909</v>
      </c>
      <c r="AR595" t="s">
        <v>12970</v>
      </c>
      <c r="AS595">
        <v>7.28</v>
      </c>
      <c r="AT595" t="s">
        <v>351</v>
      </c>
      <c r="AU595" t="s">
        <v>189</v>
      </c>
    </row>
    <row r="596" spans="1:47">
      <c r="A596" s="1">
        <f>HYPERLINK("https://cms.ls-nyc.org/matter/dynamic-profile/view/1882090","18-1882090")</f>
        <v>0</v>
      </c>
      <c r="B596" t="s">
        <v>170</v>
      </c>
      <c r="C596" t="s">
        <v>350</v>
      </c>
      <c r="D596" t="s">
        <v>472</v>
      </c>
      <c r="E596" t="s">
        <v>695</v>
      </c>
      <c r="F596" t="s">
        <v>2437</v>
      </c>
      <c r="G596" t="s">
        <v>4079</v>
      </c>
      <c r="H596" t="s">
        <v>5545</v>
      </c>
      <c r="I596" t="s">
        <v>6047</v>
      </c>
      <c r="J596">
        <v>10457</v>
      </c>
      <c r="K596" t="s">
        <v>6074</v>
      </c>
      <c r="L596" t="s">
        <v>6074</v>
      </c>
      <c r="N596" t="s">
        <v>7281</v>
      </c>
      <c r="O596" t="s">
        <v>7307</v>
      </c>
      <c r="P596" t="s">
        <v>7314</v>
      </c>
      <c r="Q596" t="s">
        <v>7322</v>
      </c>
      <c r="R596" t="s">
        <v>6076</v>
      </c>
      <c r="S596" t="s">
        <v>7331</v>
      </c>
      <c r="U596" t="s">
        <v>345</v>
      </c>
      <c r="V596">
        <v>1100</v>
      </c>
      <c r="W596" t="s">
        <v>7363</v>
      </c>
      <c r="X596" t="s">
        <v>7372</v>
      </c>
      <c r="Y596" t="s">
        <v>7386</v>
      </c>
      <c r="Z596" t="s">
        <v>7893</v>
      </c>
      <c r="AB596" t="s">
        <v>10700</v>
      </c>
      <c r="AC596">
        <v>45</v>
      </c>
      <c r="AD596" t="s">
        <v>12421</v>
      </c>
      <c r="AE596" t="s">
        <v>12434</v>
      </c>
      <c r="AF596">
        <v>3</v>
      </c>
      <c r="AG596">
        <v>1</v>
      </c>
      <c r="AH596">
        <v>0</v>
      </c>
      <c r="AI596">
        <v>40.72</v>
      </c>
      <c r="AL596" t="s">
        <v>12460</v>
      </c>
      <c r="AM596">
        <v>4944</v>
      </c>
      <c r="AN596" t="s">
        <v>12546</v>
      </c>
      <c r="AS596">
        <v>8.9</v>
      </c>
      <c r="AT596" t="s">
        <v>452</v>
      </c>
      <c r="AU596" t="s">
        <v>13080</v>
      </c>
    </row>
    <row r="597" spans="1:47">
      <c r="A597" s="1">
        <f>HYPERLINK("https://cms.ls-nyc.org/matter/dynamic-profile/view/1883391","18-1883391")</f>
        <v>0</v>
      </c>
      <c r="B597" t="s">
        <v>109</v>
      </c>
      <c r="C597" t="s">
        <v>411</v>
      </c>
      <c r="D597" t="s">
        <v>472</v>
      </c>
      <c r="E597" t="s">
        <v>987</v>
      </c>
      <c r="F597" t="s">
        <v>2059</v>
      </c>
      <c r="G597" t="s">
        <v>4080</v>
      </c>
      <c r="H597" t="s">
        <v>5364</v>
      </c>
      <c r="I597" t="s">
        <v>6047</v>
      </c>
      <c r="J597">
        <v>10452</v>
      </c>
      <c r="K597" t="s">
        <v>6074</v>
      </c>
      <c r="L597" t="s">
        <v>6074</v>
      </c>
      <c r="N597" t="s">
        <v>7288</v>
      </c>
      <c r="O597" t="s">
        <v>7307</v>
      </c>
      <c r="P597" t="s">
        <v>7315</v>
      </c>
      <c r="Q597" t="s">
        <v>7322</v>
      </c>
      <c r="R597" t="s">
        <v>6076</v>
      </c>
      <c r="S597" t="s">
        <v>7324</v>
      </c>
      <c r="U597" t="s">
        <v>411</v>
      </c>
      <c r="V597">
        <v>1684</v>
      </c>
      <c r="W597" t="s">
        <v>7363</v>
      </c>
      <c r="X597" t="s">
        <v>7376</v>
      </c>
      <c r="Y597" t="s">
        <v>7386</v>
      </c>
      <c r="Z597" t="s">
        <v>7894</v>
      </c>
      <c r="AB597" t="s">
        <v>10701</v>
      </c>
      <c r="AC597">
        <v>35</v>
      </c>
      <c r="AD597" t="s">
        <v>12420</v>
      </c>
      <c r="AE597" t="s">
        <v>12434</v>
      </c>
      <c r="AF597">
        <v>25</v>
      </c>
      <c r="AG597">
        <v>3</v>
      </c>
      <c r="AH597">
        <v>2</v>
      </c>
      <c r="AI597">
        <v>40.79</v>
      </c>
      <c r="AL597" t="s">
        <v>12461</v>
      </c>
      <c r="AM597">
        <v>12000</v>
      </c>
      <c r="AS597">
        <v>3.5</v>
      </c>
      <c r="AT597" t="s">
        <v>413</v>
      </c>
      <c r="AU597" t="s">
        <v>13092</v>
      </c>
    </row>
    <row r="598" spans="1:47">
      <c r="A598" s="1">
        <f>HYPERLINK("https://cms.ls-nyc.org/matter/dynamic-profile/view/1877303","18-1877303")</f>
        <v>0</v>
      </c>
      <c r="B598" t="s">
        <v>119</v>
      </c>
      <c r="C598" t="s">
        <v>244</v>
      </c>
      <c r="D598" t="s">
        <v>559</v>
      </c>
      <c r="E598" t="s">
        <v>988</v>
      </c>
      <c r="F598" t="s">
        <v>2438</v>
      </c>
      <c r="G598" t="s">
        <v>4081</v>
      </c>
      <c r="H598" t="s">
        <v>5550</v>
      </c>
      <c r="I598" t="s">
        <v>6048</v>
      </c>
      <c r="J598">
        <v>10304</v>
      </c>
      <c r="K598" t="s">
        <v>6074</v>
      </c>
      <c r="L598" t="s">
        <v>6074</v>
      </c>
      <c r="M598" t="s">
        <v>6399</v>
      </c>
      <c r="N598" t="s">
        <v>7276</v>
      </c>
      <c r="O598" t="s">
        <v>7308</v>
      </c>
      <c r="P598" t="s">
        <v>7316</v>
      </c>
      <c r="Q598" t="s">
        <v>7322</v>
      </c>
      <c r="R598" t="s">
        <v>6076</v>
      </c>
      <c r="S598" t="s">
        <v>7331</v>
      </c>
      <c r="U598" t="s">
        <v>396</v>
      </c>
      <c r="V598">
        <v>739</v>
      </c>
      <c r="W598" t="s">
        <v>7364</v>
      </c>
      <c r="X598" t="s">
        <v>7367</v>
      </c>
      <c r="Y598" t="s">
        <v>7388</v>
      </c>
      <c r="AB598" t="s">
        <v>10702</v>
      </c>
      <c r="AC598">
        <v>150</v>
      </c>
      <c r="AD598" t="s">
        <v>12420</v>
      </c>
      <c r="AE598" t="s">
        <v>12434</v>
      </c>
      <c r="AF598">
        <v>10</v>
      </c>
      <c r="AG598">
        <v>3</v>
      </c>
      <c r="AH598">
        <v>2</v>
      </c>
      <c r="AI598">
        <v>40.79</v>
      </c>
      <c r="AL598" t="s">
        <v>12460</v>
      </c>
      <c r="AM598">
        <v>12000</v>
      </c>
      <c r="AP598" t="s">
        <v>12858</v>
      </c>
      <c r="AQ598" t="s">
        <v>12909</v>
      </c>
      <c r="AR598" t="s">
        <v>12929</v>
      </c>
      <c r="AS598">
        <v>5.45</v>
      </c>
      <c r="AT598" t="s">
        <v>559</v>
      </c>
      <c r="AU598" t="s">
        <v>210</v>
      </c>
    </row>
    <row r="599" spans="1:47">
      <c r="A599" s="1">
        <f>HYPERLINK("https://cms.ls-nyc.org/matter/dynamic-profile/view/1881236","18-1881236")</f>
        <v>0</v>
      </c>
      <c r="B599" t="s">
        <v>69</v>
      </c>
      <c r="C599" t="s">
        <v>240</v>
      </c>
      <c r="D599" t="s">
        <v>405</v>
      </c>
      <c r="E599" t="s">
        <v>989</v>
      </c>
      <c r="F599" t="s">
        <v>2439</v>
      </c>
      <c r="G599" t="s">
        <v>4082</v>
      </c>
      <c r="H599" t="s">
        <v>5438</v>
      </c>
      <c r="I599" t="s">
        <v>6043</v>
      </c>
      <c r="J599">
        <v>11226</v>
      </c>
      <c r="K599" t="s">
        <v>6075</v>
      </c>
      <c r="L599" t="s">
        <v>6075</v>
      </c>
      <c r="O599" t="s">
        <v>7306</v>
      </c>
      <c r="P599" t="s">
        <v>7314</v>
      </c>
      <c r="Q599" t="s">
        <v>7322</v>
      </c>
      <c r="S599" t="s">
        <v>7324</v>
      </c>
      <c r="U599" t="s">
        <v>240</v>
      </c>
      <c r="V599">
        <v>0</v>
      </c>
      <c r="W599" t="s">
        <v>7362</v>
      </c>
      <c r="X599" t="s">
        <v>7369</v>
      </c>
      <c r="Y599" t="s">
        <v>7386</v>
      </c>
      <c r="Z599" t="s">
        <v>7895</v>
      </c>
      <c r="AB599" t="s">
        <v>10703</v>
      </c>
      <c r="AC599">
        <v>0</v>
      </c>
      <c r="AF599">
        <v>0</v>
      </c>
      <c r="AG599">
        <v>2</v>
      </c>
      <c r="AH599">
        <v>0</v>
      </c>
      <c r="AI599">
        <v>40.83</v>
      </c>
      <c r="AJ599" t="s">
        <v>12443</v>
      </c>
      <c r="AK599" t="s">
        <v>12455</v>
      </c>
      <c r="AL599" t="s">
        <v>12460</v>
      </c>
      <c r="AM599">
        <v>6720</v>
      </c>
      <c r="AN599" t="s">
        <v>12547</v>
      </c>
      <c r="AS599">
        <v>5.2</v>
      </c>
      <c r="AT599" t="s">
        <v>405</v>
      </c>
      <c r="AU599" t="s">
        <v>69</v>
      </c>
    </row>
    <row r="600" spans="1:47">
      <c r="A600" s="1">
        <f>HYPERLINK("https://cms.ls-nyc.org/matter/dynamic-profile/view/1882115","18-1882115")</f>
        <v>0</v>
      </c>
      <c r="B600" t="s">
        <v>115</v>
      </c>
      <c r="C600" t="s">
        <v>442</v>
      </c>
      <c r="E600" t="s">
        <v>990</v>
      </c>
      <c r="F600" t="s">
        <v>2440</v>
      </c>
      <c r="G600" t="s">
        <v>3799</v>
      </c>
      <c r="H600" t="s">
        <v>5551</v>
      </c>
      <c r="I600" t="s">
        <v>6047</v>
      </c>
      <c r="J600">
        <v>10453</v>
      </c>
      <c r="K600" t="s">
        <v>6074</v>
      </c>
      <c r="L600" t="s">
        <v>6074</v>
      </c>
      <c r="N600" t="s">
        <v>7273</v>
      </c>
      <c r="O600" t="s">
        <v>7308</v>
      </c>
      <c r="Q600" t="s">
        <v>7322</v>
      </c>
      <c r="R600" t="s">
        <v>6076</v>
      </c>
      <c r="S600" t="s">
        <v>7324</v>
      </c>
      <c r="U600" t="s">
        <v>442</v>
      </c>
      <c r="V600">
        <v>1931</v>
      </c>
      <c r="W600" t="s">
        <v>7363</v>
      </c>
      <c r="X600" t="s">
        <v>7368</v>
      </c>
      <c r="Z600" t="s">
        <v>7896</v>
      </c>
      <c r="AA600">
        <v>32013902</v>
      </c>
      <c r="AB600" t="s">
        <v>10704</v>
      </c>
      <c r="AC600">
        <v>1654</v>
      </c>
      <c r="AD600" t="s">
        <v>12420</v>
      </c>
      <c r="AE600" t="s">
        <v>12434</v>
      </c>
      <c r="AF600">
        <v>9</v>
      </c>
      <c r="AG600">
        <v>2</v>
      </c>
      <c r="AH600">
        <v>4</v>
      </c>
      <c r="AI600">
        <v>40.9</v>
      </c>
      <c r="AL600" t="s">
        <v>12460</v>
      </c>
      <c r="AM600">
        <v>13800</v>
      </c>
      <c r="AS600">
        <v>21.8</v>
      </c>
      <c r="AT600" t="s">
        <v>241</v>
      </c>
      <c r="AU600" t="s">
        <v>13092</v>
      </c>
    </row>
    <row r="601" spans="1:47">
      <c r="A601" s="1">
        <f>HYPERLINK("https://cms.ls-nyc.org/matter/dynamic-profile/view/1871979","18-1871979")</f>
        <v>0</v>
      </c>
      <c r="B601" t="s">
        <v>90</v>
      </c>
      <c r="C601" t="s">
        <v>388</v>
      </c>
      <c r="E601" t="s">
        <v>991</v>
      </c>
      <c r="F601" t="s">
        <v>2441</v>
      </c>
      <c r="G601" t="s">
        <v>4083</v>
      </c>
      <c r="H601" t="s">
        <v>5446</v>
      </c>
      <c r="I601" t="s">
        <v>6043</v>
      </c>
      <c r="J601">
        <v>11233</v>
      </c>
      <c r="K601" t="s">
        <v>6074</v>
      </c>
      <c r="L601" t="s">
        <v>6074</v>
      </c>
      <c r="M601" t="s">
        <v>6400</v>
      </c>
      <c r="N601" t="s">
        <v>7274</v>
      </c>
      <c r="O601" t="s">
        <v>7308</v>
      </c>
      <c r="Q601" t="s">
        <v>7322</v>
      </c>
      <c r="R601" t="s">
        <v>6076</v>
      </c>
      <c r="S601" t="s">
        <v>7324</v>
      </c>
      <c r="T601" t="s">
        <v>7336</v>
      </c>
      <c r="U601" t="s">
        <v>388</v>
      </c>
      <c r="V601">
        <v>650.39</v>
      </c>
      <c r="W601" t="s">
        <v>7362</v>
      </c>
      <c r="X601" t="s">
        <v>7368</v>
      </c>
      <c r="Z601" t="s">
        <v>7897</v>
      </c>
      <c r="AA601" t="s">
        <v>10005</v>
      </c>
      <c r="AB601" t="s">
        <v>10705</v>
      </c>
      <c r="AC601">
        <v>23</v>
      </c>
      <c r="AD601" t="s">
        <v>12422</v>
      </c>
      <c r="AE601" t="s">
        <v>12437</v>
      </c>
      <c r="AF601">
        <v>4</v>
      </c>
      <c r="AG601">
        <v>1</v>
      </c>
      <c r="AH601">
        <v>0</v>
      </c>
      <c r="AI601">
        <v>41.19</v>
      </c>
      <c r="AL601" t="s">
        <v>12460</v>
      </c>
      <c r="AM601">
        <v>5000</v>
      </c>
      <c r="AS601">
        <v>60.2</v>
      </c>
      <c r="AT601" t="s">
        <v>564</v>
      </c>
      <c r="AU601" t="s">
        <v>90</v>
      </c>
    </row>
    <row r="602" spans="1:47">
      <c r="A602" s="1">
        <f>HYPERLINK("https://cms.ls-nyc.org/matter/dynamic-profile/view/1886699","18-1886699")</f>
        <v>0</v>
      </c>
      <c r="B602" t="s">
        <v>102</v>
      </c>
      <c r="C602" t="s">
        <v>428</v>
      </c>
      <c r="E602" t="s">
        <v>989</v>
      </c>
      <c r="F602" t="s">
        <v>2442</v>
      </c>
      <c r="G602" t="s">
        <v>3779</v>
      </c>
      <c r="H602" t="s">
        <v>5552</v>
      </c>
      <c r="I602" t="s">
        <v>6047</v>
      </c>
      <c r="J602">
        <v>10460</v>
      </c>
      <c r="K602" t="s">
        <v>6074</v>
      </c>
      <c r="L602" t="s">
        <v>6074</v>
      </c>
      <c r="N602" t="s">
        <v>7273</v>
      </c>
      <c r="O602" t="s">
        <v>7308</v>
      </c>
      <c r="Q602" t="s">
        <v>7322</v>
      </c>
      <c r="R602" t="s">
        <v>6074</v>
      </c>
      <c r="S602" t="s">
        <v>7324</v>
      </c>
      <c r="U602" t="s">
        <v>428</v>
      </c>
      <c r="V602">
        <v>1300</v>
      </c>
      <c r="W602" t="s">
        <v>7363</v>
      </c>
      <c r="X602" t="s">
        <v>7376</v>
      </c>
      <c r="Z602" t="s">
        <v>7898</v>
      </c>
      <c r="AB602" t="s">
        <v>10706</v>
      </c>
      <c r="AC602">
        <v>168</v>
      </c>
      <c r="AD602" t="s">
        <v>12419</v>
      </c>
      <c r="AE602" t="s">
        <v>12434</v>
      </c>
      <c r="AF602">
        <v>19</v>
      </c>
      <c r="AG602">
        <v>1</v>
      </c>
      <c r="AH602">
        <v>0</v>
      </c>
      <c r="AI602">
        <v>41.19</v>
      </c>
      <c r="AL602" t="s">
        <v>12460</v>
      </c>
      <c r="AM602">
        <v>5000</v>
      </c>
      <c r="AS602">
        <v>0</v>
      </c>
      <c r="AU602" t="s">
        <v>13113</v>
      </c>
    </row>
    <row r="603" spans="1:47">
      <c r="A603" s="1">
        <f>HYPERLINK("https://cms.ls-nyc.org/matter/dynamic-profile/view/1873154","18-1873154")</f>
        <v>0</v>
      </c>
      <c r="B603" t="s">
        <v>120</v>
      </c>
      <c r="C603" t="s">
        <v>447</v>
      </c>
      <c r="D603" t="s">
        <v>280</v>
      </c>
      <c r="E603" t="s">
        <v>730</v>
      </c>
      <c r="F603" t="s">
        <v>2059</v>
      </c>
      <c r="G603" t="s">
        <v>4084</v>
      </c>
      <c r="H603" t="s">
        <v>5553</v>
      </c>
      <c r="I603" t="s">
        <v>6048</v>
      </c>
      <c r="J603">
        <v>10310</v>
      </c>
      <c r="K603" t="s">
        <v>6074</v>
      </c>
      <c r="L603" t="s">
        <v>6074</v>
      </c>
      <c r="M603" t="s">
        <v>6401</v>
      </c>
      <c r="N603" t="s">
        <v>7274</v>
      </c>
      <c r="O603" t="s">
        <v>7308</v>
      </c>
      <c r="P603" t="s">
        <v>7316</v>
      </c>
      <c r="Q603" t="s">
        <v>7322</v>
      </c>
      <c r="R603" t="s">
        <v>6076</v>
      </c>
      <c r="S603" t="s">
        <v>7324</v>
      </c>
      <c r="T603" t="s">
        <v>7336</v>
      </c>
      <c r="U603" t="s">
        <v>467</v>
      </c>
      <c r="V603">
        <v>2168</v>
      </c>
      <c r="W603" t="s">
        <v>7364</v>
      </c>
      <c r="X603" t="s">
        <v>7376</v>
      </c>
      <c r="Y603" t="s">
        <v>7391</v>
      </c>
      <c r="Z603" t="s">
        <v>7899</v>
      </c>
      <c r="AB603" t="s">
        <v>10707</v>
      </c>
      <c r="AC603">
        <v>2</v>
      </c>
      <c r="AD603" t="s">
        <v>12419</v>
      </c>
      <c r="AE603" t="s">
        <v>12434</v>
      </c>
      <c r="AF603">
        <v>10</v>
      </c>
      <c r="AG603">
        <v>3</v>
      </c>
      <c r="AH603">
        <v>0</v>
      </c>
      <c r="AI603">
        <v>41.29</v>
      </c>
      <c r="AL603" t="s">
        <v>12461</v>
      </c>
      <c r="AM603">
        <v>8580</v>
      </c>
      <c r="AS603">
        <v>5.6</v>
      </c>
      <c r="AT603" t="s">
        <v>278</v>
      </c>
      <c r="AU603" t="s">
        <v>210</v>
      </c>
    </row>
    <row r="604" spans="1:47">
      <c r="A604" s="1">
        <f>HYPERLINK("https://cms.ls-nyc.org/matter/dynamic-profile/view/1880059","18-1880059")</f>
        <v>0</v>
      </c>
      <c r="B604" t="s">
        <v>144</v>
      </c>
      <c r="C604" t="s">
        <v>245</v>
      </c>
      <c r="E604" t="s">
        <v>582</v>
      </c>
      <c r="F604" t="s">
        <v>2443</v>
      </c>
      <c r="G604" t="s">
        <v>4085</v>
      </c>
      <c r="H604" t="s">
        <v>5422</v>
      </c>
      <c r="I604" t="s">
        <v>6043</v>
      </c>
      <c r="J604">
        <v>11207</v>
      </c>
      <c r="K604" t="s">
        <v>6076</v>
      </c>
      <c r="L604" t="s">
        <v>6076</v>
      </c>
      <c r="M604" t="s">
        <v>6104</v>
      </c>
      <c r="N604" t="s">
        <v>7295</v>
      </c>
      <c r="O604" t="s">
        <v>7308</v>
      </c>
      <c r="Q604" t="s">
        <v>7322</v>
      </c>
      <c r="R604" t="s">
        <v>6074</v>
      </c>
      <c r="S604" t="s">
        <v>7324</v>
      </c>
      <c r="T604" t="s">
        <v>7336</v>
      </c>
      <c r="U604" t="s">
        <v>442</v>
      </c>
      <c r="V604">
        <v>0</v>
      </c>
      <c r="W604" t="s">
        <v>7362</v>
      </c>
      <c r="X604" t="s">
        <v>7368</v>
      </c>
      <c r="Z604" t="s">
        <v>7900</v>
      </c>
      <c r="AC604">
        <v>6</v>
      </c>
      <c r="AD604" t="s">
        <v>12422</v>
      </c>
      <c r="AF604">
        <v>0</v>
      </c>
      <c r="AG604">
        <v>1</v>
      </c>
      <c r="AH604">
        <v>3</v>
      </c>
      <c r="AI604">
        <v>41.43</v>
      </c>
      <c r="AL604" t="s">
        <v>12460</v>
      </c>
      <c r="AM604">
        <v>10400</v>
      </c>
      <c r="AS604">
        <v>0</v>
      </c>
      <c r="AU604" t="s">
        <v>218</v>
      </c>
    </row>
    <row r="605" spans="1:47">
      <c r="A605" s="1">
        <f>HYPERLINK("https://cms.ls-nyc.org/matter/dynamic-profile/view/1880062","18-1880062")</f>
        <v>0</v>
      </c>
      <c r="B605" t="s">
        <v>144</v>
      </c>
      <c r="C605" t="s">
        <v>245</v>
      </c>
      <c r="E605" t="s">
        <v>582</v>
      </c>
      <c r="F605" t="s">
        <v>2443</v>
      </c>
      <c r="G605" t="s">
        <v>4085</v>
      </c>
      <c r="H605" t="s">
        <v>5422</v>
      </c>
      <c r="I605" t="s">
        <v>6043</v>
      </c>
      <c r="J605">
        <v>11207</v>
      </c>
      <c r="K605" t="s">
        <v>6076</v>
      </c>
      <c r="L605" t="s">
        <v>6076</v>
      </c>
      <c r="M605" t="s">
        <v>6104</v>
      </c>
      <c r="N605" t="s">
        <v>7282</v>
      </c>
      <c r="O605" t="s">
        <v>7308</v>
      </c>
      <c r="Q605" t="s">
        <v>7322</v>
      </c>
      <c r="R605" t="s">
        <v>6074</v>
      </c>
      <c r="S605" t="s">
        <v>7324</v>
      </c>
      <c r="T605" t="s">
        <v>7336</v>
      </c>
      <c r="U605" t="s">
        <v>307</v>
      </c>
      <c r="V605">
        <v>0</v>
      </c>
      <c r="W605" t="s">
        <v>7362</v>
      </c>
      <c r="X605" t="s">
        <v>7368</v>
      </c>
      <c r="Z605" t="s">
        <v>7900</v>
      </c>
      <c r="AC605">
        <v>6</v>
      </c>
      <c r="AD605" t="s">
        <v>12422</v>
      </c>
      <c r="AF605">
        <v>0</v>
      </c>
      <c r="AG605">
        <v>1</v>
      </c>
      <c r="AH605">
        <v>3</v>
      </c>
      <c r="AI605">
        <v>41.43</v>
      </c>
      <c r="AL605" t="s">
        <v>12460</v>
      </c>
      <c r="AM605">
        <v>10400</v>
      </c>
      <c r="AS605">
        <v>0</v>
      </c>
      <c r="AU605" t="s">
        <v>218</v>
      </c>
    </row>
    <row r="606" spans="1:47">
      <c r="A606" s="1">
        <f>HYPERLINK("https://cms.ls-nyc.org/matter/dynamic-profile/view/1880054","18-1880054")</f>
        <v>0</v>
      </c>
      <c r="B606" t="s">
        <v>89</v>
      </c>
      <c r="C606" t="s">
        <v>245</v>
      </c>
      <c r="E606" t="s">
        <v>582</v>
      </c>
      <c r="F606" t="s">
        <v>2443</v>
      </c>
      <c r="G606" t="s">
        <v>4085</v>
      </c>
      <c r="H606" t="s">
        <v>5422</v>
      </c>
      <c r="I606" t="s">
        <v>6043</v>
      </c>
      <c r="J606">
        <v>11207</v>
      </c>
      <c r="K606" t="s">
        <v>6076</v>
      </c>
      <c r="L606" t="s">
        <v>6076</v>
      </c>
      <c r="N606" t="s">
        <v>7279</v>
      </c>
      <c r="O606" t="s">
        <v>7311</v>
      </c>
      <c r="Q606" t="s">
        <v>7322</v>
      </c>
      <c r="R606" t="s">
        <v>6074</v>
      </c>
      <c r="S606" t="s">
        <v>7324</v>
      </c>
      <c r="T606" t="s">
        <v>7336</v>
      </c>
      <c r="U606" t="s">
        <v>7344</v>
      </c>
      <c r="V606">
        <v>0</v>
      </c>
      <c r="W606" t="s">
        <v>7362</v>
      </c>
      <c r="X606" t="s">
        <v>7368</v>
      </c>
      <c r="Z606" t="s">
        <v>7900</v>
      </c>
      <c r="AC606">
        <v>6</v>
      </c>
      <c r="AD606" t="s">
        <v>12422</v>
      </c>
      <c r="AF606">
        <v>0</v>
      </c>
      <c r="AG606">
        <v>1</v>
      </c>
      <c r="AH606">
        <v>3</v>
      </c>
      <c r="AI606">
        <v>41.43</v>
      </c>
      <c r="AL606" t="s">
        <v>12460</v>
      </c>
      <c r="AM606">
        <v>10400</v>
      </c>
      <c r="AS606">
        <v>0.25</v>
      </c>
      <c r="AT606" t="s">
        <v>462</v>
      </c>
      <c r="AU606" t="s">
        <v>218</v>
      </c>
    </row>
    <row r="607" spans="1:47">
      <c r="A607" s="1">
        <f>HYPERLINK("https://cms.ls-nyc.org/matter/dynamic-profile/view/1880056","18-1880056")</f>
        <v>0</v>
      </c>
      <c r="B607" t="s">
        <v>91</v>
      </c>
      <c r="C607" t="s">
        <v>245</v>
      </c>
      <c r="D607" t="s">
        <v>462</v>
      </c>
      <c r="E607" t="s">
        <v>582</v>
      </c>
      <c r="F607" t="s">
        <v>2443</v>
      </c>
      <c r="G607" t="s">
        <v>4085</v>
      </c>
      <c r="H607" t="s">
        <v>5422</v>
      </c>
      <c r="I607" t="s">
        <v>6043</v>
      </c>
      <c r="J607">
        <v>11207</v>
      </c>
      <c r="K607" t="s">
        <v>6076</v>
      </c>
      <c r="L607" t="s">
        <v>6076</v>
      </c>
      <c r="M607" t="s">
        <v>6104</v>
      </c>
      <c r="N607" t="s">
        <v>7279</v>
      </c>
      <c r="O607" t="s">
        <v>7306</v>
      </c>
      <c r="P607" t="s">
        <v>7314</v>
      </c>
      <c r="Q607" t="s">
        <v>7322</v>
      </c>
      <c r="R607" t="s">
        <v>6074</v>
      </c>
      <c r="S607" t="s">
        <v>7324</v>
      </c>
      <c r="T607" t="s">
        <v>7336</v>
      </c>
      <c r="U607" t="s">
        <v>442</v>
      </c>
      <c r="V607">
        <v>0</v>
      </c>
      <c r="W607" t="s">
        <v>7362</v>
      </c>
      <c r="X607" t="s">
        <v>7368</v>
      </c>
      <c r="Y607" t="s">
        <v>7386</v>
      </c>
      <c r="Z607" t="s">
        <v>7900</v>
      </c>
      <c r="AC607">
        <v>6</v>
      </c>
      <c r="AD607" t="s">
        <v>12422</v>
      </c>
      <c r="AF607">
        <v>0</v>
      </c>
      <c r="AG607">
        <v>1</v>
      </c>
      <c r="AH607">
        <v>3</v>
      </c>
      <c r="AI607">
        <v>41.43</v>
      </c>
      <c r="AL607" t="s">
        <v>12460</v>
      </c>
      <c r="AM607">
        <v>10400</v>
      </c>
      <c r="AS607">
        <v>0.25</v>
      </c>
      <c r="AT607" t="s">
        <v>462</v>
      </c>
      <c r="AU607" t="s">
        <v>218</v>
      </c>
    </row>
    <row r="608" spans="1:47">
      <c r="A608" s="1">
        <f>HYPERLINK("https://cms.ls-nyc.org/matter/dynamic-profile/view/1870091","18-1870091")</f>
        <v>0</v>
      </c>
      <c r="B608" t="s">
        <v>148</v>
      </c>
      <c r="C608" t="s">
        <v>450</v>
      </c>
      <c r="D608" t="s">
        <v>233</v>
      </c>
      <c r="E608" t="s">
        <v>992</v>
      </c>
      <c r="F608" t="s">
        <v>2265</v>
      </c>
      <c r="G608" t="s">
        <v>4086</v>
      </c>
      <c r="H608" t="s">
        <v>5554</v>
      </c>
      <c r="I608" t="s">
        <v>6043</v>
      </c>
      <c r="J608">
        <v>11207</v>
      </c>
      <c r="K608" t="s">
        <v>6074</v>
      </c>
      <c r="L608" t="s">
        <v>6074</v>
      </c>
      <c r="M608" t="s">
        <v>6402</v>
      </c>
      <c r="N608" t="s">
        <v>7274</v>
      </c>
      <c r="O608" t="s">
        <v>7306</v>
      </c>
      <c r="P608" t="s">
        <v>7314</v>
      </c>
      <c r="Q608" t="s">
        <v>7322</v>
      </c>
      <c r="S608" t="s">
        <v>7324</v>
      </c>
      <c r="U608" t="s">
        <v>233</v>
      </c>
      <c r="V608">
        <v>650</v>
      </c>
      <c r="W608" t="s">
        <v>7362</v>
      </c>
      <c r="X608" t="s">
        <v>7379</v>
      </c>
      <c r="Y608" t="s">
        <v>7386</v>
      </c>
      <c r="Z608" t="s">
        <v>7901</v>
      </c>
      <c r="AB608" t="s">
        <v>10708</v>
      </c>
      <c r="AC608">
        <v>3</v>
      </c>
      <c r="AF608">
        <v>8</v>
      </c>
      <c r="AG608">
        <v>1</v>
      </c>
      <c r="AH608">
        <v>3</v>
      </c>
      <c r="AI608">
        <v>41.43</v>
      </c>
      <c r="AL608" t="s">
        <v>12460</v>
      </c>
      <c r="AM608">
        <v>10400</v>
      </c>
      <c r="AN608" t="s">
        <v>12491</v>
      </c>
      <c r="AS608">
        <v>4.1</v>
      </c>
      <c r="AT608" t="s">
        <v>233</v>
      </c>
      <c r="AU608" t="s">
        <v>13085</v>
      </c>
    </row>
    <row r="609" spans="1:48">
      <c r="A609" s="1">
        <f>HYPERLINK("https://cms.ls-nyc.org/matter/dynamic-profile/view/1880052","18-1880052")</f>
        <v>0</v>
      </c>
      <c r="B609" t="s">
        <v>144</v>
      </c>
      <c r="C609" t="s">
        <v>245</v>
      </c>
      <c r="E609" t="s">
        <v>582</v>
      </c>
      <c r="F609" t="s">
        <v>2443</v>
      </c>
      <c r="G609" t="s">
        <v>4085</v>
      </c>
      <c r="H609" t="s">
        <v>5422</v>
      </c>
      <c r="I609" t="s">
        <v>6043</v>
      </c>
      <c r="J609">
        <v>11207</v>
      </c>
      <c r="K609" t="s">
        <v>6076</v>
      </c>
      <c r="L609" t="s">
        <v>6076</v>
      </c>
      <c r="M609" t="s">
        <v>6104</v>
      </c>
      <c r="N609" t="s">
        <v>7278</v>
      </c>
      <c r="O609" t="s">
        <v>7309</v>
      </c>
      <c r="Q609" t="s">
        <v>7322</v>
      </c>
      <c r="R609" t="s">
        <v>6074</v>
      </c>
      <c r="S609" t="s">
        <v>7324</v>
      </c>
      <c r="T609" t="s">
        <v>7336</v>
      </c>
      <c r="U609" t="s">
        <v>7344</v>
      </c>
      <c r="V609">
        <v>0</v>
      </c>
      <c r="W609" t="s">
        <v>7362</v>
      </c>
      <c r="X609" t="s">
        <v>7368</v>
      </c>
      <c r="Z609" t="s">
        <v>7900</v>
      </c>
      <c r="AC609">
        <v>6</v>
      </c>
      <c r="AD609" t="s">
        <v>12422</v>
      </c>
      <c r="AF609">
        <v>0</v>
      </c>
      <c r="AG609">
        <v>1</v>
      </c>
      <c r="AH609">
        <v>3</v>
      </c>
      <c r="AI609">
        <v>41.43</v>
      </c>
      <c r="AL609" t="s">
        <v>12460</v>
      </c>
      <c r="AM609">
        <v>10400</v>
      </c>
      <c r="AS609">
        <v>0</v>
      </c>
      <c r="AU609" t="s">
        <v>218</v>
      </c>
    </row>
    <row r="610" spans="1:48">
      <c r="A610" s="1">
        <f>HYPERLINK("https://cms.ls-nyc.org/matter/dynamic-profile/view/1880041","18-1880041")</f>
        <v>0</v>
      </c>
      <c r="B610" t="s">
        <v>144</v>
      </c>
      <c r="C610" t="s">
        <v>245</v>
      </c>
      <c r="E610" t="s">
        <v>582</v>
      </c>
      <c r="F610" t="s">
        <v>2443</v>
      </c>
      <c r="G610" t="s">
        <v>4085</v>
      </c>
      <c r="H610" t="s">
        <v>5422</v>
      </c>
      <c r="I610" t="s">
        <v>6043</v>
      </c>
      <c r="J610">
        <v>11207</v>
      </c>
      <c r="K610" t="s">
        <v>6076</v>
      </c>
      <c r="L610" t="s">
        <v>6076</v>
      </c>
      <c r="M610" t="s">
        <v>6104</v>
      </c>
      <c r="O610" t="s">
        <v>7307</v>
      </c>
      <c r="Q610" t="s">
        <v>7322</v>
      </c>
      <c r="R610" t="s">
        <v>6074</v>
      </c>
      <c r="S610" t="s">
        <v>7324</v>
      </c>
      <c r="T610" t="s">
        <v>7336</v>
      </c>
      <c r="U610" t="s">
        <v>442</v>
      </c>
      <c r="V610">
        <v>0</v>
      </c>
      <c r="W610" t="s">
        <v>7362</v>
      </c>
      <c r="X610" t="s">
        <v>7368</v>
      </c>
      <c r="Z610" t="s">
        <v>7900</v>
      </c>
      <c r="AC610">
        <v>6</v>
      </c>
      <c r="AD610" t="s">
        <v>12422</v>
      </c>
      <c r="AF610">
        <v>0</v>
      </c>
      <c r="AG610">
        <v>1</v>
      </c>
      <c r="AH610">
        <v>3</v>
      </c>
      <c r="AI610">
        <v>41.43</v>
      </c>
      <c r="AL610" t="s">
        <v>12460</v>
      </c>
      <c r="AM610">
        <v>10400</v>
      </c>
      <c r="AS610">
        <v>0</v>
      </c>
      <c r="AU610" t="s">
        <v>218</v>
      </c>
    </row>
    <row r="611" spans="1:48">
      <c r="A611" s="1">
        <f>HYPERLINK("https://cms.ls-nyc.org/matter/dynamic-profile/view/1881669","18-1881669")</f>
        <v>0</v>
      </c>
      <c r="B611" t="s">
        <v>121</v>
      </c>
      <c r="C611" t="s">
        <v>451</v>
      </c>
      <c r="D611" t="s">
        <v>246</v>
      </c>
      <c r="E611" t="s">
        <v>622</v>
      </c>
      <c r="F611" t="s">
        <v>2444</v>
      </c>
      <c r="G611" t="s">
        <v>4087</v>
      </c>
      <c r="H611" t="s">
        <v>5436</v>
      </c>
      <c r="I611" t="s">
        <v>6043</v>
      </c>
      <c r="J611">
        <v>11206</v>
      </c>
      <c r="K611" t="s">
        <v>6074</v>
      </c>
      <c r="L611" t="s">
        <v>6074</v>
      </c>
      <c r="M611" t="s">
        <v>6403</v>
      </c>
      <c r="N611" t="s">
        <v>7274</v>
      </c>
      <c r="O611" t="s">
        <v>7306</v>
      </c>
      <c r="P611" t="s">
        <v>7314</v>
      </c>
      <c r="Q611" t="s">
        <v>7322</v>
      </c>
      <c r="R611" t="s">
        <v>6076</v>
      </c>
      <c r="S611" t="s">
        <v>7324</v>
      </c>
      <c r="U611" t="s">
        <v>422</v>
      </c>
      <c r="V611">
        <v>1050</v>
      </c>
      <c r="W611" t="s">
        <v>7362</v>
      </c>
      <c r="X611" t="s">
        <v>7366</v>
      </c>
      <c r="Y611" t="s">
        <v>7386</v>
      </c>
      <c r="Z611" t="s">
        <v>7902</v>
      </c>
      <c r="AA611" t="s">
        <v>10006</v>
      </c>
      <c r="AB611" t="s">
        <v>10709</v>
      </c>
      <c r="AC611">
        <v>2</v>
      </c>
      <c r="AD611" t="s">
        <v>12419</v>
      </c>
      <c r="AE611" t="s">
        <v>12435</v>
      </c>
      <c r="AF611">
        <v>9</v>
      </c>
      <c r="AG611">
        <v>2</v>
      </c>
      <c r="AH611">
        <v>2</v>
      </c>
      <c r="AI611">
        <v>41.43</v>
      </c>
      <c r="AL611" t="s">
        <v>12460</v>
      </c>
      <c r="AM611">
        <v>10400</v>
      </c>
      <c r="AS611">
        <v>2.2</v>
      </c>
      <c r="AT611" t="s">
        <v>431</v>
      </c>
      <c r="AU611" t="s">
        <v>13082</v>
      </c>
    </row>
    <row r="612" spans="1:48">
      <c r="A612" s="1">
        <f>HYPERLINK("https://cms.ls-nyc.org/matter/dynamic-profile/view/1881835","18-1881835")</f>
        <v>0</v>
      </c>
      <c r="B612" t="s">
        <v>116</v>
      </c>
      <c r="C612" t="s">
        <v>369</v>
      </c>
      <c r="D612" t="s">
        <v>389</v>
      </c>
      <c r="E612" t="s">
        <v>966</v>
      </c>
      <c r="F612" t="s">
        <v>2083</v>
      </c>
      <c r="G612" t="s">
        <v>4088</v>
      </c>
      <c r="H612" t="s">
        <v>5417</v>
      </c>
      <c r="I612" t="s">
        <v>6047</v>
      </c>
      <c r="J612">
        <v>10452</v>
      </c>
      <c r="K612" t="s">
        <v>6074</v>
      </c>
      <c r="L612" t="s">
        <v>6074</v>
      </c>
      <c r="N612" t="s">
        <v>6104</v>
      </c>
      <c r="O612" t="s">
        <v>7306</v>
      </c>
      <c r="P612" t="s">
        <v>7314</v>
      </c>
      <c r="Q612" t="s">
        <v>7322</v>
      </c>
      <c r="R612" t="s">
        <v>6076</v>
      </c>
      <c r="S612" t="s">
        <v>7324</v>
      </c>
      <c r="U612" t="s">
        <v>451</v>
      </c>
      <c r="V612">
        <v>1112.79</v>
      </c>
      <c r="W612" t="s">
        <v>7363</v>
      </c>
      <c r="X612" t="s">
        <v>7368</v>
      </c>
      <c r="Y612" t="s">
        <v>7386</v>
      </c>
      <c r="Z612" t="s">
        <v>7903</v>
      </c>
      <c r="AB612" t="s">
        <v>10710</v>
      </c>
      <c r="AC612">
        <v>43</v>
      </c>
      <c r="AD612" t="s">
        <v>6322</v>
      </c>
      <c r="AF612">
        <v>7</v>
      </c>
      <c r="AG612">
        <v>2</v>
      </c>
      <c r="AH612">
        <v>2</v>
      </c>
      <c r="AI612">
        <v>41.43</v>
      </c>
      <c r="AL612" t="s">
        <v>12461</v>
      </c>
      <c r="AM612">
        <v>10400</v>
      </c>
      <c r="AS612">
        <v>1</v>
      </c>
      <c r="AT612" t="s">
        <v>389</v>
      </c>
      <c r="AU612" t="s">
        <v>116</v>
      </c>
    </row>
    <row r="613" spans="1:48">
      <c r="A613" s="1">
        <f>HYPERLINK("https://cms.ls-nyc.org/matter/dynamic-profile/view/1880115","18-1880115")</f>
        <v>0</v>
      </c>
      <c r="B613" t="s">
        <v>125</v>
      </c>
      <c r="C613" t="s">
        <v>245</v>
      </c>
      <c r="D613" t="s">
        <v>283</v>
      </c>
      <c r="E613" t="s">
        <v>993</v>
      </c>
      <c r="F613" t="s">
        <v>2445</v>
      </c>
      <c r="G613" t="s">
        <v>4089</v>
      </c>
      <c r="H613" t="s">
        <v>5355</v>
      </c>
      <c r="I613" t="s">
        <v>6049</v>
      </c>
      <c r="J613">
        <v>10034</v>
      </c>
      <c r="K613" t="s">
        <v>6076</v>
      </c>
      <c r="L613" t="s">
        <v>6076</v>
      </c>
      <c r="O613" t="s">
        <v>7306</v>
      </c>
      <c r="P613" t="s">
        <v>7314</v>
      </c>
      <c r="Q613" t="s">
        <v>7322</v>
      </c>
      <c r="R613" t="s">
        <v>6076</v>
      </c>
      <c r="S613" t="s">
        <v>7324</v>
      </c>
      <c r="U613" t="s">
        <v>245</v>
      </c>
      <c r="V613">
        <v>927.11</v>
      </c>
      <c r="W613" t="s">
        <v>7365</v>
      </c>
      <c r="X613" t="s">
        <v>7367</v>
      </c>
      <c r="Y613" t="s">
        <v>7386</v>
      </c>
      <c r="Z613" t="s">
        <v>7904</v>
      </c>
      <c r="AC613">
        <v>43</v>
      </c>
      <c r="AD613" t="s">
        <v>12422</v>
      </c>
      <c r="AE613" t="s">
        <v>6110</v>
      </c>
      <c r="AF613">
        <v>20</v>
      </c>
      <c r="AG613">
        <v>2</v>
      </c>
      <c r="AH613">
        <v>2</v>
      </c>
      <c r="AI613">
        <v>41.43</v>
      </c>
      <c r="AL613" t="s">
        <v>12461</v>
      </c>
      <c r="AM613">
        <v>10400</v>
      </c>
      <c r="AS613">
        <v>0.2</v>
      </c>
      <c r="AT613" t="s">
        <v>431</v>
      </c>
      <c r="AU613" t="s">
        <v>13106</v>
      </c>
      <c r="AV613" t="s">
        <v>13145</v>
      </c>
    </row>
    <row r="614" spans="1:48">
      <c r="A614" s="1">
        <f>HYPERLINK("https://cms.ls-nyc.org/matter/dynamic-profile/view/1893887","19-1893887")</f>
        <v>0</v>
      </c>
      <c r="B614" t="s">
        <v>169</v>
      </c>
      <c r="C614" t="s">
        <v>335</v>
      </c>
      <c r="D614" t="s">
        <v>554</v>
      </c>
      <c r="E614" t="s">
        <v>760</v>
      </c>
      <c r="F614" t="s">
        <v>2446</v>
      </c>
      <c r="G614" t="s">
        <v>4090</v>
      </c>
      <c r="H614" t="s">
        <v>5504</v>
      </c>
      <c r="I614" t="s">
        <v>6040</v>
      </c>
      <c r="J614">
        <v>11354</v>
      </c>
      <c r="K614" t="s">
        <v>6074</v>
      </c>
      <c r="L614" t="s">
        <v>6074</v>
      </c>
      <c r="M614" t="s">
        <v>6404</v>
      </c>
      <c r="N614" t="s">
        <v>7274</v>
      </c>
      <c r="O614" t="s">
        <v>7306</v>
      </c>
      <c r="P614" t="s">
        <v>7314</v>
      </c>
      <c r="Q614" t="s">
        <v>7322</v>
      </c>
      <c r="R614" t="s">
        <v>6076</v>
      </c>
      <c r="S614" t="s">
        <v>7324</v>
      </c>
      <c r="T614" t="s">
        <v>7339</v>
      </c>
      <c r="U614" t="s">
        <v>335</v>
      </c>
      <c r="V614">
        <v>1850</v>
      </c>
      <c r="W614" t="s">
        <v>7361</v>
      </c>
      <c r="X614" t="s">
        <v>7366</v>
      </c>
      <c r="Y614" t="s">
        <v>7386</v>
      </c>
      <c r="Z614" t="s">
        <v>7905</v>
      </c>
      <c r="AA614" t="s">
        <v>10007</v>
      </c>
      <c r="AB614" t="s">
        <v>10711</v>
      </c>
      <c r="AC614">
        <v>40</v>
      </c>
      <c r="AD614" t="s">
        <v>12430</v>
      </c>
      <c r="AE614" t="s">
        <v>6110</v>
      </c>
      <c r="AF614">
        <v>5</v>
      </c>
      <c r="AG614">
        <v>1</v>
      </c>
      <c r="AH614">
        <v>1</v>
      </c>
      <c r="AI614">
        <v>41.51</v>
      </c>
      <c r="AL614" t="s">
        <v>12461</v>
      </c>
      <c r="AM614">
        <v>7020</v>
      </c>
      <c r="AS614">
        <v>5.99</v>
      </c>
      <c r="AT614" t="s">
        <v>316</v>
      </c>
      <c r="AU614" t="s">
        <v>189</v>
      </c>
      <c r="AV614" t="s">
        <v>13145</v>
      </c>
    </row>
    <row r="615" spans="1:48">
      <c r="A615" s="1">
        <f>HYPERLINK("https://cms.ls-nyc.org/matter/dynamic-profile/view/1894235","19-1894235")</f>
        <v>0</v>
      </c>
      <c r="B615" t="s">
        <v>113</v>
      </c>
      <c r="C615" t="s">
        <v>334</v>
      </c>
      <c r="E615" t="s">
        <v>637</v>
      </c>
      <c r="F615" t="s">
        <v>2279</v>
      </c>
      <c r="G615" t="s">
        <v>3886</v>
      </c>
      <c r="H615">
        <v>59</v>
      </c>
      <c r="I615" t="s">
        <v>6047</v>
      </c>
      <c r="J615">
        <v>10458</v>
      </c>
      <c r="K615" t="s">
        <v>6074</v>
      </c>
      <c r="L615" t="s">
        <v>6074</v>
      </c>
      <c r="N615" t="s">
        <v>7276</v>
      </c>
      <c r="O615" t="s">
        <v>7308</v>
      </c>
      <c r="Q615" t="s">
        <v>7322</v>
      </c>
      <c r="R615" t="s">
        <v>6076</v>
      </c>
      <c r="S615" t="s">
        <v>7324</v>
      </c>
      <c r="U615" t="s">
        <v>334</v>
      </c>
      <c r="V615">
        <v>0</v>
      </c>
      <c r="W615" t="s">
        <v>7363</v>
      </c>
      <c r="X615" t="s">
        <v>7368</v>
      </c>
      <c r="Z615" t="s">
        <v>7664</v>
      </c>
      <c r="AA615" t="s">
        <v>9903</v>
      </c>
      <c r="AB615" t="s">
        <v>10489</v>
      </c>
      <c r="AC615">
        <v>48</v>
      </c>
      <c r="AD615" t="s">
        <v>12422</v>
      </c>
      <c r="AE615" t="s">
        <v>12435</v>
      </c>
      <c r="AF615">
        <v>6</v>
      </c>
      <c r="AG615">
        <v>2</v>
      </c>
      <c r="AH615">
        <v>3</v>
      </c>
      <c r="AI615">
        <v>41.52</v>
      </c>
      <c r="AL615" t="s">
        <v>12460</v>
      </c>
      <c r="AM615">
        <v>12528</v>
      </c>
      <c r="AS615">
        <v>29</v>
      </c>
      <c r="AT615" t="s">
        <v>564</v>
      </c>
      <c r="AU615" t="s">
        <v>13095</v>
      </c>
    </row>
    <row r="616" spans="1:48">
      <c r="A616" s="1">
        <f>HYPERLINK("https://cms.ls-nyc.org/matter/dynamic-profile/view/1874679","18-1874679")</f>
        <v>0</v>
      </c>
      <c r="B616" t="s">
        <v>132</v>
      </c>
      <c r="C616" t="s">
        <v>378</v>
      </c>
      <c r="D616" t="s">
        <v>290</v>
      </c>
      <c r="E616" t="s">
        <v>737</v>
      </c>
      <c r="F616" t="s">
        <v>2285</v>
      </c>
      <c r="G616" t="s">
        <v>4091</v>
      </c>
      <c r="H616" t="s">
        <v>5418</v>
      </c>
      <c r="I616" t="s">
        <v>6049</v>
      </c>
      <c r="J616">
        <v>10033</v>
      </c>
      <c r="K616" t="s">
        <v>6074</v>
      </c>
      <c r="L616" t="s">
        <v>6074</v>
      </c>
      <c r="N616" t="s">
        <v>6104</v>
      </c>
      <c r="O616" t="s">
        <v>7306</v>
      </c>
      <c r="P616" t="s">
        <v>7314</v>
      </c>
      <c r="Q616" t="s">
        <v>7322</v>
      </c>
      <c r="R616" t="s">
        <v>6076</v>
      </c>
      <c r="S616" t="s">
        <v>7324</v>
      </c>
      <c r="U616" t="s">
        <v>378</v>
      </c>
      <c r="V616">
        <v>841.77</v>
      </c>
      <c r="W616" t="s">
        <v>7365</v>
      </c>
      <c r="X616" t="s">
        <v>7367</v>
      </c>
      <c r="Y616" t="s">
        <v>7386</v>
      </c>
      <c r="Z616" t="s">
        <v>7906</v>
      </c>
      <c r="AC616">
        <v>39</v>
      </c>
      <c r="AD616" t="s">
        <v>12422</v>
      </c>
      <c r="AE616" t="s">
        <v>12434</v>
      </c>
      <c r="AF616">
        <v>25</v>
      </c>
      <c r="AG616">
        <v>4</v>
      </c>
      <c r="AH616">
        <v>0</v>
      </c>
      <c r="AI616">
        <v>41.59</v>
      </c>
      <c r="AL616" t="s">
        <v>12461</v>
      </c>
      <c r="AM616">
        <v>10440</v>
      </c>
      <c r="AS616">
        <v>1</v>
      </c>
      <c r="AT616" t="s">
        <v>290</v>
      </c>
      <c r="AU616" t="s">
        <v>13106</v>
      </c>
    </row>
    <row r="617" spans="1:48">
      <c r="A617" s="1">
        <f>HYPERLINK("https://cms.ls-nyc.org/matter/dynamic-profile/view/1890012","19-1890012")</f>
        <v>0</v>
      </c>
      <c r="B617" t="s">
        <v>96</v>
      </c>
      <c r="C617" t="s">
        <v>351</v>
      </c>
      <c r="E617" t="s">
        <v>598</v>
      </c>
      <c r="F617" t="s">
        <v>2447</v>
      </c>
      <c r="G617" t="s">
        <v>3792</v>
      </c>
      <c r="H617" t="s">
        <v>5555</v>
      </c>
      <c r="I617" t="s">
        <v>6047</v>
      </c>
      <c r="J617">
        <v>10453</v>
      </c>
      <c r="K617" t="s">
        <v>6074</v>
      </c>
      <c r="L617" t="s">
        <v>6074</v>
      </c>
      <c r="N617" t="s">
        <v>7279</v>
      </c>
      <c r="O617" t="s">
        <v>7311</v>
      </c>
      <c r="Q617" t="s">
        <v>7322</v>
      </c>
      <c r="R617" t="s">
        <v>6074</v>
      </c>
      <c r="S617" t="s">
        <v>7324</v>
      </c>
      <c r="U617" t="s">
        <v>457</v>
      </c>
      <c r="V617">
        <v>1091</v>
      </c>
      <c r="W617" t="s">
        <v>7363</v>
      </c>
      <c r="X617" t="s">
        <v>7376</v>
      </c>
      <c r="Z617" t="s">
        <v>7907</v>
      </c>
      <c r="AB617" t="s">
        <v>10712</v>
      </c>
      <c r="AC617">
        <v>167</v>
      </c>
      <c r="AD617" t="s">
        <v>12422</v>
      </c>
      <c r="AE617" t="s">
        <v>12435</v>
      </c>
      <c r="AF617">
        <v>12</v>
      </c>
      <c r="AG617">
        <v>1</v>
      </c>
      <c r="AH617">
        <v>2</v>
      </c>
      <c r="AI617">
        <v>41.63</v>
      </c>
      <c r="AL617" t="s">
        <v>12461</v>
      </c>
      <c r="AM617">
        <v>8880</v>
      </c>
      <c r="AS617">
        <v>0</v>
      </c>
      <c r="AU617" t="s">
        <v>13092</v>
      </c>
    </row>
    <row r="618" spans="1:48">
      <c r="A618" s="1">
        <f>HYPERLINK("https://cms.ls-nyc.org/matter/dynamic-profile/view/1890008","19-1890008")</f>
        <v>0</v>
      </c>
      <c r="B618" t="s">
        <v>96</v>
      </c>
      <c r="C618" t="s">
        <v>351</v>
      </c>
      <c r="E618" t="s">
        <v>598</v>
      </c>
      <c r="F618" t="s">
        <v>2447</v>
      </c>
      <c r="G618" t="s">
        <v>3792</v>
      </c>
      <c r="H618" t="s">
        <v>5555</v>
      </c>
      <c r="I618" t="s">
        <v>6047</v>
      </c>
      <c r="J618">
        <v>10453</v>
      </c>
      <c r="K618" t="s">
        <v>6074</v>
      </c>
      <c r="L618" t="s">
        <v>6074</v>
      </c>
      <c r="N618" t="s">
        <v>6104</v>
      </c>
      <c r="O618" t="s">
        <v>7306</v>
      </c>
      <c r="Q618" t="s">
        <v>7322</v>
      </c>
      <c r="R618" t="s">
        <v>6074</v>
      </c>
      <c r="S618" t="s">
        <v>7324</v>
      </c>
      <c r="U618" t="s">
        <v>257</v>
      </c>
      <c r="V618">
        <v>1091</v>
      </c>
      <c r="W618" t="s">
        <v>7363</v>
      </c>
      <c r="X618" t="s">
        <v>7376</v>
      </c>
      <c r="Z618" t="s">
        <v>7907</v>
      </c>
      <c r="AB618" t="s">
        <v>10712</v>
      </c>
      <c r="AC618">
        <v>167</v>
      </c>
      <c r="AD618" t="s">
        <v>12422</v>
      </c>
      <c r="AE618" t="s">
        <v>12435</v>
      </c>
      <c r="AF618">
        <v>12</v>
      </c>
      <c r="AG618">
        <v>1</v>
      </c>
      <c r="AH618">
        <v>2</v>
      </c>
      <c r="AI618">
        <v>41.63</v>
      </c>
      <c r="AL618" t="s">
        <v>12461</v>
      </c>
      <c r="AM618">
        <v>8880</v>
      </c>
      <c r="AS618">
        <v>0</v>
      </c>
      <c r="AU618" t="s">
        <v>13092</v>
      </c>
      <c r="AV618" t="s">
        <v>13145</v>
      </c>
    </row>
    <row r="619" spans="1:48">
      <c r="A619" s="1">
        <f>HYPERLINK("https://cms.ls-nyc.org/matter/dynamic-profile/view/1895890","19-1895890")</f>
        <v>0</v>
      </c>
      <c r="B619" t="s">
        <v>66</v>
      </c>
      <c r="C619" t="s">
        <v>270</v>
      </c>
      <c r="E619" t="s">
        <v>994</v>
      </c>
      <c r="F619" t="s">
        <v>2448</v>
      </c>
      <c r="G619" t="s">
        <v>4092</v>
      </c>
      <c r="H619" t="s">
        <v>5357</v>
      </c>
      <c r="I619" t="s">
        <v>6033</v>
      </c>
      <c r="J619">
        <v>11416</v>
      </c>
      <c r="K619" t="s">
        <v>6074</v>
      </c>
      <c r="L619" t="s">
        <v>6074</v>
      </c>
      <c r="M619" t="s">
        <v>6405</v>
      </c>
      <c r="N619" t="s">
        <v>7276</v>
      </c>
      <c r="O619" t="s">
        <v>7308</v>
      </c>
      <c r="Q619" t="s">
        <v>7322</v>
      </c>
      <c r="R619" t="s">
        <v>6076</v>
      </c>
      <c r="S619" t="s">
        <v>7324</v>
      </c>
      <c r="T619" t="s">
        <v>7336</v>
      </c>
      <c r="U619" t="s">
        <v>270</v>
      </c>
      <c r="V619">
        <v>1600</v>
      </c>
      <c r="W619" t="s">
        <v>7361</v>
      </c>
      <c r="X619" t="s">
        <v>7366</v>
      </c>
      <c r="Z619" t="s">
        <v>7908</v>
      </c>
      <c r="AA619" t="s">
        <v>10008</v>
      </c>
      <c r="AB619" t="s">
        <v>10713</v>
      </c>
      <c r="AC619">
        <v>6</v>
      </c>
      <c r="AD619" t="s">
        <v>12419</v>
      </c>
      <c r="AE619" t="s">
        <v>6110</v>
      </c>
      <c r="AF619">
        <v>14</v>
      </c>
      <c r="AG619">
        <v>1</v>
      </c>
      <c r="AH619">
        <v>1</v>
      </c>
      <c r="AI619">
        <v>41.66</v>
      </c>
      <c r="AL619" t="s">
        <v>12472</v>
      </c>
      <c r="AM619">
        <v>7044</v>
      </c>
      <c r="AS619">
        <v>11.45</v>
      </c>
      <c r="AT619" t="s">
        <v>324</v>
      </c>
      <c r="AU619" t="s">
        <v>189</v>
      </c>
      <c r="AV619" t="s">
        <v>13146</v>
      </c>
    </row>
    <row r="620" spans="1:48">
      <c r="A620" s="1">
        <f>HYPERLINK("https://cms.ls-nyc.org/matter/dynamic-profile/view/1887194","19-1887194")</f>
        <v>0</v>
      </c>
      <c r="B620" t="s">
        <v>126</v>
      </c>
      <c r="C620" t="s">
        <v>452</v>
      </c>
      <c r="E620" t="s">
        <v>995</v>
      </c>
      <c r="F620" t="s">
        <v>2449</v>
      </c>
      <c r="G620" t="s">
        <v>4093</v>
      </c>
      <c r="H620" t="s">
        <v>5371</v>
      </c>
      <c r="I620" t="s">
        <v>6049</v>
      </c>
      <c r="J620">
        <v>10029</v>
      </c>
      <c r="K620" t="s">
        <v>6074</v>
      </c>
      <c r="L620" t="s">
        <v>6074</v>
      </c>
      <c r="M620" t="s">
        <v>6406</v>
      </c>
      <c r="N620" t="s">
        <v>7274</v>
      </c>
      <c r="O620" t="s">
        <v>7306</v>
      </c>
      <c r="Q620" t="s">
        <v>7322</v>
      </c>
      <c r="R620" t="s">
        <v>6076</v>
      </c>
      <c r="S620" t="s">
        <v>7324</v>
      </c>
      <c r="T620" t="s">
        <v>7336</v>
      </c>
      <c r="U620" t="s">
        <v>332</v>
      </c>
      <c r="V620">
        <v>3600</v>
      </c>
      <c r="W620" t="s">
        <v>7365</v>
      </c>
      <c r="X620" t="s">
        <v>7368</v>
      </c>
      <c r="Z620" t="s">
        <v>7909</v>
      </c>
      <c r="AB620" t="s">
        <v>10714</v>
      </c>
      <c r="AC620">
        <v>130</v>
      </c>
      <c r="AD620" t="s">
        <v>6322</v>
      </c>
      <c r="AE620" t="s">
        <v>12434</v>
      </c>
      <c r="AF620">
        <v>6</v>
      </c>
      <c r="AG620">
        <v>1</v>
      </c>
      <c r="AH620">
        <v>2</v>
      </c>
      <c r="AI620">
        <v>41.69</v>
      </c>
      <c r="AL620" t="s">
        <v>12460</v>
      </c>
      <c r="AM620">
        <v>8664</v>
      </c>
      <c r="AN620" t="s">
        <v>12548</v>
      </c>
      <c r="AS620">
        <v>1.55</v>
      </c>
      <c r="AT620" t="s">
        <v>456</v>
      </c>
      <c r="AU620" t="s">
        <v>13079</v>
      </c>
      <c r="AV620" t="s">
        <v>6110</v>
      </c>
    </row>
    <row r="621" spans="1:48">
      <c r="A621" s="1">
        <f>HYPERLINK("https://cms.ls-nyc.org/matter/dynamic-profile/view/1885771","18-1885771")</f>
        <v>0</v>
      </c>
      <c r="B621" t="s">
        <v>171</v>
      </c>
      <c r="C621" t="s">
        <v>344</v>
      </c>
      <c r="E621" t="s">
        <v>996</v>
      </c>
      <c r="F621" t="s">
        <v>2450</v>
      </c>
      <c r="G621" t="s">
        <v>4094</v>
      </c>
      <c r="H621" t="s">
        <v>5357</v>
      </c>
      <c r="I621" t="s">
        <v>6043</v>
      </c>
      <c r="J621">
        <v>11238</v>
      </c>
      <c r="K621" t="s">
        <v>6074</v>
      </c>
      <c r="L621" t="s">
        <v>6074</v>
      </c>
      <c r="M621" t="s">
        <v>6104</v>
      </c>
      <c r="N621" t="s">
        <v>7278</v>
      </c>
      <c r="O621" t="s">
        <v>7311</v>
      </c>
      <c r="Q621" t="s">
        <v>7322</v>
      </c>
      <c r="R621" t="s">
        <v>6074</v>
      </c>
      <c r="S621" t="s">
        <v>7324</v>
      </c>
      <c r="T621" t="s">
        <v>7336</v>
      </c>
      <c r="U621" t="s">
        <v>429</v>
      </c>
      <c r="V621">
        <v>0</v>
      </c>
      <c r="W621" t="s">
        <v>7362</v>
      </c>
      <c r="Z621" t="s">
        <v>7910</v>
      </c>
      <c r="AA621" t="s">
        <v>9871</v>
      </c>
      <c r="AB621" t="s">
        <v>10715</v>
      </c>
      <c r="AC621">
        <v>0</v>
      </c>
      <c r="AD621" t="s">
        <v>12422</v>
      </c>
      <c r="AE621" t="s">
        <v>12438</v>
      </c>
      <c r="AF621">
        <v>0</v>
      </c>
      <c r="AG621">
        <v>1</v>
      </c>
      <c r="AH621">
        <v>1</v>
      </c>
      <c r="AI621">
        <v>41.85</v>
      </c>
      <c r="AL621" t="s">
        <v>12460</v>
      </c>
      <c r="AM621">
        <v>6888</v>
      </c>
      <c r="AS621">
        <v>35.05</v>
      </c>
      <c r="AT621" t="s">
        <v>316</v>
      </c>
      <c r="AU621" t="s">
        <v>218</v>
      </c>
    </row>
    <row r="622" spans="1:48">
      <c r="A622" s="1">
        <f>HYPERLINK("https://cms.ls-nyc.org/matter/dynamic-profile/view/1878793","18-1878793")</f>
        <v>0</v>
      </c>
      <c r="B622" t="s">
        <v>145</v>
      </c>
      <c r="C622" t="s">
        <v>282</v>
      </c>
      <c r="E622" t="s">
        <v>997</v>
      </c>
      <c r="F622" t="s">
        <v>2451</v>
      </c>
      <c r="G622" t="s">
        <v>3659</v>
      </c>
      <c r="H622" t="s">
        <v>5436</v>
      </c>
      <c r="I622" t="s">
        <v>6025</v>
      </c>
      <c r="J622">
        <v>11691</v>
      </c>
      <c r="K622" t="s">
        <v>6074</v>
      </c>
      <c r="L622" t="s">
        <v>6074</v>
      </c>
      <c r="M622" t="s">
        <v>6407</v>
      </c>
      <c r="N622" t="s">
        <v>7276</v>
      </c>
      <c r="O622" t="s">
        <v>7306</v>
      </c>
      <c r="Q622" t="s">
        <v>7322</v>
      </c>
      <c r="R622" t="s">
        <v>6076</v>
      </c>
      <c r="S622" t="s">
        <v>7324</v>
      </c>
      <c r="T622" t="s">
        <v>7336</v>
      </c>
      <c r="U622" t="s">
        <v>282</v>
      </c>
      <c r="V622">
        <v>1213.18</v>
      </c>
      <c r="W622" t="s">
        <v>7361</v>
      </c>
      <c r="X622" t="s">
        <v>7366</v>
      </c>
      <c r="Z622" t="s">
        <v>7911</v>
      </c>
      <c r="AA622" t="s">
        <v>10009</v>
      </c>
      <c r="AB622" t="s">
        <v>10716</v>
      </c>
      <c r="AC622">
        <v>24</v>
      </c>
      <c r="AD622" t="s">
        <v>6322</v>
      </c>
      <c r="AE622" t="s">
        <v>12441</v>
      </c>
      <c r="AF622">
        <v>20</v>
      </c>
      <c r="AG622">
        <v>1</v>
      </c>
      <c r="AH622">
        <v>1</v>
      </c>
      <c r="AI622">
        <v>41.88</v>
      </c>
      <c r="AL622" t="s">
        <v>12460</v>
      </c>
      <c r="AM622">
        <v>6892.8</v>
      </c>
      <c r="AS622">
        <v>1.2</v>
      </c>
      <c r="AT622" t="s">
        <v>357</v>
      </c>
      <c r="AU622" t="s">
        <v>189</v>
      </c>
    </row>
    <row r="623" spans="1:48">
      <c r="A623" s="1">
        <f>HYPERLINK("https://cms.ls-nyc.org/matter/dynamic-profile/view/1872089","18-1872089")</f>
        <v>0</v>
      </c>
      <c r="B623" t="s">
        <v>168</v>
      </c>
      <c r="C623" t="s">
        <v>304</v>
      </c>
      <c r="E623" t="s">
        <v>998</v>
      </c>
      <c r="F623" t="s">
        <v>2452</v>
      </c>
      <c r="G623" t="s">
        <v>4095</v>
      </c>
      <c r="H623">
        <v>5</v>
      </c>
      <c r="I623" t="s">
        <v>6043</v>
      </c>
      <c r="J623">
        <v>11233</v>
      </c>
      <c r="K623" t="s">
        <v>6074</v>
      </c>
      <c r="L623" t="s">
        <v>6074</v>
      </c>
      <c r="M623" t="s">
        <v>6408</v>
      </c>
      <c r="N623" t="s">
        <v>7276</v>
      </c>
      <c r="O623" t="s">
        <v>7308</v>
      </c>
      <c r="Q623" t="s">
        <v>7322</v>
      </c>
      <c r="R623" t="s">
        <v>6076</v>
      </c>
      <c r="S623" t="s">
        <v>7324</v>
      </c>
      <c r="U623" t="s">
        <v>289</v>
      </c>
      <c r="V623">
        <v>1350</v>
      </c>
      <c r="W623" t="s">
        <v>7362</v>
      </c>
      <c r="X623" t="s">
        <v>7377</v>
      </c>
      <c r="Z623" t="s">
        <v>7912</v>
      </c>
      <c r="AA623" t="s">
        <v>6322</v>
      </c>
      <c r="AB623" t="s">
        <v>10717</v>
      </c>
      <c r="AC623">
        <v>7</v>
      </c>
      <c r="AD623" t="s">
        <v>12422</v>
      </c>
      <c r="AE623" t="s">
        <v>6110</v>
      </c>
      <c r="AF623">
        <v>5</v>
      </c>
      <c r="AG623">
        <v>2</v>
      </c>
      <c r="AH623">
        <v>0</v>
      </c>
      <c r="AI623">
        <v>41.92</v>
      </c>
      <c r="AL623" t="s">
        <v>12460</v>
      </c>
      <c r="AM623">
        <v>6900</v>
      </c>
      <c r="AN623" t="s">
        <v>12549</v>
      </c>
      <c r="AS623">
        <v>23.1</v>
      </c>
      <c r="AT623" t="s">
        <v>456</v>
      </c>
      <c r="AU623" t="s">
        <v>13077</v>
      </c>
    </row>
    <row r="624" spans="1:48">
      <c r="A624" s="1">
        <f>HYPERLINK("https://cms.ls-nyc.org/matter/dynamic-profile/view/1875328","18-1875328")</f>
        <v>0</v>
      </c>
      <c r="B624" t="s">
        <v>110</v>
      </c>
      <c r="C624" t="s">
        <v>384</v>
      </c>
      <c r="D624" t="s">
        <v>501</v>
      </c>
      <c r="E624" t="s">
        <v>999</v>
      </c>
      <c r="F624" t="s">
        <v>2133</v>
      </c>
      <c r="G624" t="s">
        <v>4096</v>
      </c>
      <c r="H624" t="s">
        <v>5485</v>
      </c>
      <c r="I624" t="s">
        <v>6047</v>
      </c>
      <c r="J624">
        <v>10459</v>
      </c>
      <c r="K624" t="s">
        <v>6074</v>
      </c>
      <c r="L624" t="s">
        <v>6074</v>
      </c>
      <c r="M624" t="s">
        <v>6409</v>
      </c>
      <c r="N624" t="s">
        <v>7274</v>
      </c>
      <c r="O624" t="s">
        <v>7306</v>
      </c>
      <c r="P624" t="s">
        <v>7316</v>
      </c>
      <c r="Q624" t="s">
        <v>7322</v>
      </c>
      <c r="R624" t="s">
        <v>6076</v>
      </c>
      <c r="S624" t="s">
        <v>7324</v>
      </c>
      <c r="U624" t="s">
        <v>383</v>
      </c>
      <c r="V624">
        <v>1533</v>
      </c>
      <c r="W624" t="s">
        <v>7363</v>
      </c>
      <c r="X624" t="s">
        <v>7366</v>
      </c>
      <c r="Y624" t="s">
        <v>7391</v>
      </c>
      <c r="Z624" t="s">
        <v>7913</v>
      </c>
      <c r="AA624" t="s">
        <v>10010</v>
      </c>
      <c r="AB624" t="s">
        <v>10718</v>
      </c>
      <c r="AC624">
        <v>2</v>
      </c>
      <c r="AD624" t="s">
        <v>12420</v>
      </c>
      <c r="AE624" t="s">
        <v>12434</v>
      </c>
      <c r="AF624">
        <v>1</v>
      </c>
      <c r="AG624">
        <v>1</v>
      </c>
      <c r="AH624">
        <v>1</v>
      </c>
      <c r="AI624">
        <v>41.99</v>
      </c>
      <c r="AL624" t="s">
        <v>12460</v>
      </c>
      <c r="AM624">
        <v>6912</v>
      </c>
      <c r="AS624">
        <v>3.25</v>
      </c>
      <c r="AT624" t="s">
        <v>351</v>
      </c>
      <c r="AU624" t="s">
        <v>13099</v>
      </c>
    </row>
    <row r="625" spans="1:47">
      <c r="A625" s="1">
        <f>HYPERLINK("https://cms.ls-nyc.org/matter/dynamic-profile/view/1886182","18-1886182")</f>
        <v>0</v>
      </c>
      <c r="B625" t="s">
        <v>126</v>
      </c>
      <c r="C625" t="s">
        <v>389</v>
      </c>
      <c r="E625" t="s">
        <v>997</v>
      </c>
      <c r="F625" t="s">
        <v>2453</v>
      </c>
      <c r="G625" t="s">
        <v>4097</v>
      </c>
      <c r="H625" t="s">
        <v>5364</v>
      </c>
      <c r="I625" t="s">
        <v>6049</v>
      </c>
      <c r="J625">
        <v>10029</v>
      </c>
      <c r="K625" t="s">
        <v>6074</v>
      </c>
      <c r="L625" t="s">
        <v>6074</v>
      </c>
      <c r="N625" t="s">
        <v>6104</v>
      </c>
      <c r="O625" t="s">
        <v>7310</v>
      </c>
      <c r="Q625" t="s">
        <v>7322</v>
      </c>
      <c r="R625" t="s">
        <v>6076</v>
      </c>
      <c r="S625" t="s">
        <v>7324</v>
      </c>
      <c r="T625" t="s">
        <v>7336</v>
      </c>
      <c r="U625" t="s">
        <v>389</v>
      </c>
      <c r="V625">
        <v>250</v>
      </c>
      <c r="W625" t="s">
        <v>7365</v>
      </c>
      <c r="X625" t="s">
        <v>7368</v>
      </c>
      <c r="Z625" t="s">
        <v>7914</v>
      </c>
      <c r="AB625" t="s">
        <v>10719</v>
      </c>
      <c r="AC625">
        <v>10</v>
      </c>
      <c r="AD625" t="s">
        <v>12425</v>
      </c>
      <c r="AE625" t="s">
        <v>6110</v>
      </c>
      <c r="AF625">
        <v>45</v>
      </c>
      <c r="AG625">
        <v>2</v>
      </c>
      <c r="AH625">
        <v>0</v>
      </c>
      <c r="AI625">
        <v>42.07</v>
      </c>
      <c r="AL625" t="s">
        <v>12460</v>
      </c>
      <c r="AM625">
        <v>6924</v>
      </c>
      <c r="AS625">
        <v>17.8</v>
      </c>
      <c r="AT625" t="s">
        <v>501</v>
      </c>
      <c r="AU625" t="s">
        <v>13107</v>
      </c>
    </row>
    <row r="626" spans="1:47">
      <c r="A626" s="1">
        <f>HYPERLINK("https://cms.ls-nyc.org/matter/dynamic-profile/view/1876678","18-1876678")</f>
        <v>0</v>
      </c>
      <c r="B626" t="s">
        <v>101</v>
      </c>
      <c r="C626" t="s">
        <v>243</v>
      </c>
      <c r="E626" t="s">
        <v>1000</v>
      </c>
      <c r="F626" t="s">
        <v>2454</v>
      </c>
      <c r="G626" t="s">
        <v>3939</v>
      </c>
      <c r="H626" t="s">
        <v>5394</v>
      </c>
      <c r="I626" t="s">
        <v>6047</v>
      </c>
      <c r="J626">
        <v>10456</v>
      </c>
      <c r="K626" t="s">
        <v>6074</v>
      </c>
      <c r="L626" t="s">
        <v>6074</v>
      </c>
      <c r="M626" t="s">
        <v>6305</v>
      </c>
      <c r="N626" t="s">
        <v>7279</v>
      </c>
      <c r="O626" t="s">
        <v>7309</v>
      </c>
      <c r="Q626" t="s">
        <v>7322</v>
      </c>
      <c r="R626" t="s">
        <v>6074</v>
      </c>
      <c r="S626" t="s">
        <v>7324</v>
      </c>
      <c r="U626" t="s">
        <v>243</v>
      </c>
      <c r="V626">
        <v>1227</v>
      </c>
      <c r="W626" t="s">
        <v>7363</v>
      </c>
      <c r="X626" t="s">
        <v>7376</v>
      </c>
      <c r="Z626" t="s">
        <v>7915</v>
      </c>
      <c r="AB626" t="s">
        <v>10720</v>
      </c>
      <c r="AC626">
        <v>131</v>
      </c>
      <c r="AD626" t="s">
        <v>12422</v>
      </c>
      <c r="AE626" t="s">
        <v>12434</v>
      </c>
      <c r="AF626">
        <v>9</v>
      </c>
      <c r="AG626">
        <v>2</v>
      </c>
      <c r="AH626">
        <v>3</v>
      </c>
      <c r="AI626">
        <v>42.18</v>
      </c>
      <c r="AL626" t="s">
        <v>12461</v>
      </c>
      <c r="AM626">
        <v>12408</v>
      </c>
      <c r="AS626">
        <v>0</v>
      </c>
      <c r="AU626" t="s">
        <v>13095</v>
      </c>
    </row>
    <row r="627" spans="1:47">
      <c r="A627" s="1">
        <f>HYPERLINK("https://cms.ls-nyc.org/matter/dynamic-profile/view/1886112","18-1886112")</f>
        <v>0</v>
      </c>
      <c r="B627" t="s">
        <v>101</v>
      </c>
      <c r="C627" t="s">
        <v>326</v>
      </c>
      <c r="E627" t="s">
        <v>1000</v>
      </c>
      <c r="F627" t="s">
        <v>2454</v>
      </c>
      <c r="G627" t="s">
        <v>3939</v>
      </c>
      <c r="H627" t="s">
        <v>5394</v>
      </c>
      <c r="I627" t="s">
        <v>6047</v>
      </c>
      <c r="J627">
        <v>10456</v>
      </c>
      <c r="K627" t="s">
        <v>6074</v>
      </c>
      <c r="L627" t="s">
        <v>6074</v>
      </c>
      <c r="M627" t="s">
        <v>6303</v>
      </c>
      <c r="N627" t="s">
        <v>7279</v>
      </c>
      <c r="O627" t="s">
        <v>7311</v>
      </c>
      <c r="Q627" t="s">
        <v>7322</v>
      </c>
      <c r="R627" t="s">
        <v>6074</v>
      </c>
      <c r="S627" t="s">
        <v>7324</v>
      </c>
      <c r="U627" t="s">
        <v>472</v>
      </c>
      <c r="V627">
        <v>1227</v>
      </c>
      <c r="W627" t="s">
        <v>7363</v>
      </c>
      <c r="X627" t="s">
        <v>7376</v>
      </c>
      <c r="Z627" t="s">
        <v>7915</v>
      </c>
      <c r="AB627" t="s">
        <v>10720</v>
      </c>
      <c r="AC627">
        <v>131</v>
      </c>
      <c r="AD627" t="s">
        <v>12422</v>
      </c>
      <c r="AE627" t="s">
        <v>12434</v>
      </c>
      <c r="AF627">
        <v>9</v>
      </c>
      <c r="AG627">
        <v>2</v>
      </c>
      <c r="AH627">
        <v>3</v>
      </c>
      <c r="AI627">
        <v>42.18</v>
      </c>
      <c r="AL627" t="s">
        <v>12461</v>
      </c>
      <c r="AM627">
        <v>12408</v>
      </c>
      <c r="AS627">
        <v>0</v>
      </c>
      <c r="AU627" t="s">
        <v>13095</v>
      </c>
    </row>
    <row r="628" spans="1:47">
      <c r="A628" s="1">
        <f>HYPERLINK("https://cms.ls-nyc.org/matter/dynamic-profile/view/1876670","18-1876670")</f>
        <v>0</v>
      </c>
      <c r="B628" t="s">
        <v>101</v>
      </c>
      <c r="C628" t="s">
        <v>243</v>
      </c>
      <c r="E628" t="s">
        <v>1000</v>
      </c>
      <c r="F628" t="s">
        <v>2454</v>
      </c>
      <c r="G628" t="s">
        <v>3939</v>
      </c>
      <c r="H628" t="s">
        <v>5394</v>
      </c>
      <c r="I628" t="s">
        <v>6047</v>
      </c>
      <c r="J628">
        <v>10456</v>
      </c>
      <c r="K628" t="s">
        <v>6074</v>
      </c>
      <c r="L628" t="s">
        <v>6074</v>
      </c>
      <c r="M628" t="s">
        <v>6287</v>
      </c>
      <c r="N628" t="s">
        <v>7273</v>
      </c>
      <c r="O628" t="s">
        <v>7308</v>
      </c>
      <c r="Q628" t="s">
        <v>7322</v>
      </c>
      <c r="R628" t="s">
        <v>6074</v>
      </c>
      <c r="S628" t="s">
        <v>7324</v>
      </c>
      <c r="U628" t="s">
        <v>243</v>
      </c>
      <c r="V628">
        <v>1227</v>
      </c>
      <c r="W628" t="s">
        <v>7363</v>
      </c>
      <c r="X628" t="s">
        <v>7376</v>
      </c>
      <c r="Z628" t="s">
        <v>7915</v>
      </c>
      <c r="AB628" t="s">
        <v>10720</v>
      </c>
      <c r="AC628">
        <v>131</v>
      </c>
      <c r="AD628" t="s">
        <v>12422</v>
      </c>
      <c r="AE628" t="s">
        <v>12434</v>
      </c>
      <c r="AF628">
        <v>9</v>
      </c>
      <c r="AG628">
        <v>2</v>
      </c>
      <c r="AH628">
        <v>3</v>
      </c>
      <c r="AI628">
        <v>42.18</v>
      </c>
      <c r="AL628" t="s">
        <v>12461</v>
      </c>
      <c r="AM628">
        <v>12408</v>
      </c>
      <c r="AS628">
        <v>0</v>
      </c>
      <c r="AU628" t="s">
        <v>13095</v>
      </c>
    </row>
    <row r="629" spans="1:47">
      <c r="A629" s="1">
        <f>HYPERLINK("https://cms.ls-nyc.org/matter/dynamic-profile/view/1890403","19-1890403")</f>
        <v>0</v>
      </c>
      <c r="B629" t="s">
        <v>130</v>
      </c>
      <c r="C629" t="s">
        <v>330</v>
      </c>
      <c r="D629" t="s">
        <v>420</v>
      </c>
      <c r="E629" t="s">
        <v>1001</v>
      </c>
      <c r="F629" t="s">
        <v>1977</v>
      </c>
      <c r="G629" t="s">
        <v>4098</v>
      </c>
      <c r="H629" t="s">
        <v>5395</v>
      </c>
      <c r="I629" t="s">
        <v>6049</v>
      </c>
      <c r="J629">
        <v>10033</v>
      </c>
      <c r="K629" t="s">
        <v>6074</v>
      </c>
      <c r="L629" t="s">
        <v>6074</v>
      </c>
      <c r="N629" t="s">
        <v>7274</v>
      </c>
      <c r="O629" t="s">
        <v>7306</v>
      </c>
      <c r="P629" t="s">
        <v>7314</v>
      </c>
      <c r="Q629" t="s">
        <v>7322</v>
      </c>
      <c r="R629" t="s">
        <v>6076</v>
      </c>
      <c r="S629" t="s">
        <v>7324</v>
      </c>
      <c r="U629" t="s">
        <v>330</v>
      </c>
      <c r="V629">
        <v>1055</v>
      </c>
      <c r="W629" t="s">
        <v>7365</v>
      </c>
      <c r="X629" t="s">
        <v>7368</v>
      </c>
      <c r="Y629" t="s">
        <v>7386</v>
      </c>
      <c r="Z629" t="s">
        <v>7916</v>
      </c>
      <c r="AB629" t="s">
        <v>10721</v>
      </c>
      <c r="AC629">
        <v>57</v>
      </c>
      <c r="AD629" t="s">
        <v>12422</v>
      </c>
      <c r="AE629" t="s">
        <v>12441</v>
      </c>
      <c r="AF629">
        <v>26</v>
      </c>
      <c r="AG629">
        <v>2</v>
      </c>
      <c r="AH629">
        <v>1</v>
      </c>
      <c r="AI629">
        <v>42.19</v>
      </c>
      <c r="AL629" t="s">
        <v>12461</v>
      </c>
      <c r="AM629">
        <v>9000</v>
      </c>
      <c r="AS629">
        <v>1</v>
      </c>
      <c r="AT629" t="s">
        <v>330</v>
      </c>
      <c r="AU629" t="s">
        <v>13106</v>
      </c>
    </row>
    <row r="630" spans="1:47">
      <c r="A630" s="1">
        <f>HYPERLINK("https://cms.ls-nyc.org/matter/dynamic-profile/view/1884722","18-1884722")</f>
        <v>0</v>
      </c>
      <c r="B630" t="s">
        <v>98</v>
      </c>
      <c r="C630" t="s">
        <v>435</v>
      </c>
      <c r="D630" t="s">
        <v>247</v>
      </c>
      <c r="E630" t="s">
        <v>637</v>
      </c>
      <c r="F630" t="s">
        <v>2059</v>
      </c>
      <c r="G630" t="s">
        <v>4099</v>
      </c>
      <c r="H630" t="s">
        <v>5417</v>
      </c>
      <c r="I630" t="s">
        <v>6047</v>
      </c>
      <c r="J630">
        <v>10453</v>
      </c>
      <c r="K630" t="s">
        <v>6074</v>
      </c>
      <c r="L630" t="s">
        <v>6074</v>
      </c>
      <c r="N630" t="s">
        <v>7288</v>
      </c>
      <c r="O630" t="s">
        <v>7309</v>
      </c>
      <c r="P630" t="s">
        <v>7315</v>
      </c>
      <c r="Q630" t="s">
        <v>7322</v>
      </c>
      <c r="R630" t="s">
        <v>6076</v>
      </c>
      <c r="S630" t="s">
        <v>7331</v>
      </c>
      <c r="U630" t="s">
        <v>435</v>
      </c>
      <c r="V630">
        <v>227</v>
      </c>
      <c r="W630" t="s">
        <v>7363</v>
      </c>
      <c r="X630" t="s">
        <v>7368</v>
      </c>
      <c r="Y630" t="s">
        <v>7387</v>
      </c>
      <c r="Z630" t="s">
        <v>7917</v>
      </c>
      <c r="AA630" t="s">
        <v>10011</v>
      </c>
      <c r="AB630" t="s">
        <v>10722</v>
      </c>
      <c r="AC630">
        <v>27</v>
      </c>
      <c r="AD630" t="s">
        <v>12422</v>
      </c>
      <c r="AE630" t="s">
        <v>12434</v>
      </c>
      <c r="AF630">
        <v>26</v>
      </c>
      <c r="AG630">
        <v>3</v>
      </c>
      <c r="AH630">
        <v>0</v>
      </c>
      <c r="AI630">
        <v>42.33</v>
      </c>
      <c r="AL630" t="s">
        <v>12460</v>
      </c>
      <c r="AM630">
        <v>8796</v>
      </c>
      <c r="AS630">
        <v>0.5</v>
      </c>
      <c r="AT630" t="s">
        <v>465</v>
      </c>
      <c r="AU630" t="s">
        <v>13092</v>
      </c>
    </row>
    <row r="631" spans="1:47">
      <c r="A631" s="1">
        <f>HYPERLINK("https://cms.ls-nyc.org/matter/dynamic-profile/view/1898843","19-1898843")</f>
        <v>0</v>
      </c>
      <c r="B631" t="s">
        <v>125</v>
      </c>
      <c r="C631" t="s">
        <v>294</v>
      </c>
      <c r="E631" t="s">
        <v>699</v>
      </c>
      <c r="F631" t="s">
        <v>2455</v>
      </c>
      <c r="G631" t="s">
        <v>4100</v>
      </c>
      <c r="H631" t="s">
        <v>5453</v>
      </c>
      <c r="I631" t="s">
        <v>6049</v>
      </c>
      <c r="J631">
        <v>10033</v>
      </c>
      <c r="K631" t="s">
        <v>6074</v>
      </c>
      <c r="L631" t="s">
        <v>6074</v>
      </c>
      <c r="N631" t="s">
        <v>7278</v>
      </c>
      <c r="O631" t="s">
        <v>7306</v>
      </c>
      <c r="Q631" t="s">
        <v>7322</v>
      </c>
      <c r="R631" t="s">
        <v>6076</v>
      </c>
      <c r="S631" t="s">
        <v>7324</v>
      </c>
      <c r="U631" t="s">
        <v>294</v>
      </c>
      <c r="V631">
        <v>740</v>
      </c>
      <c r="W631" t="s">
        <v>7365</v>
      </c>
      <c r="X631" t="s">
        <v>7367</v>
      </c>
      <c r="Z631" t="s">
        <v>7918</v>
      </c>
      <c r="AB631" t="s">
        <v>10723</v>
      </c>
      <c r="AC631">
        <v>29</v>
      </c>
      <c r="AD631" t="s">
        <v>12422</v>
      </c>
      <c r="AE631" t="s">
        <v>6110</v>
      </c>
      <c r="AF631">
        <v>24</v>
      </c>
      <c r="AG631">
        <v>3</v>
      </c>
      <c r="AH631">
        <v>0</v>
      </c>
      <c r="AI631">
        <v>42.42</v>
      </c>
      <c r="AL631" t="s">
        <v>12461</v>
      </c>
      <c r="AM631">
        <v>9048</v>
      </c>
      <c r="AS631">
        <v>1.5</v>
      </c>
      <c r="AT631" t="s">
        <v>294</v>
      </c>
      <c r="AU631" t="s">
        <v>13106</v>
      </c>
    </row>
    <row r="632" spans="1:47">
      <c r="A632" s="1">
        <f>HYPERLINK("https://cms.ls-nyc.org/matter/dynamic-profile/view/1898251","19-1898251")</f>
        <v>0</v>
      </c>
      <c r="B632" t="s">
        <v>72</v>
      </c>
      <c r="C632" t="s">
        <v>343</v>
      </c>
      <c r="E632" t="s">
        <v>1002</v>
      </c>
      <c r="F632" t="s">
        <v>2133</v>
      </c>
      <c r="G632" t="s">
        <v>3702</v>
      </c>
      <c r="H632" t="s">
        <v>5556</v>
      </c>
      <c r="I632" t="s">
        <v>6043</v>
      </c>
      <c r="J632">
        <v>11233</v>
      </c>
      <c r="K632" t="s">
        <v>6074</v>
      </c>
      <c r="L632" t="s">
        <v>6076</v>
      </c>
      <c r="N632" t="s">
        <v>7279</v>
      </c>
      <c r="O632" t="s">
        <v>7311</v>
      </c>
      <c r="Q632" t="s">
        <v>7322</v>
      </c>
      <c r="R632" t="s">
        <v>6074</v>
      </c>
      <c r="S632" t="s">
        <v>7324</v>
      </c>
      <c r="T632" t="s">
        <v>7336</v>
      </c>
      <c r="U632" t="s">
        <v>330</v>
      </c>
      <c r="V632">
        <v>1000</v>
      </c>
      <c r="W632" t="s">
        <v>7362</v>
      </c>
      <c r="X632" t="s">
        <v>7305</v>
      </c>
      <c r="Z632" t="s">
        <v>7919</v>
      </c>
      <c r="AC632">
        <v>359</v>
      </c>
      <c r="AD632" t="s">
        <v>12422</v>
      </c>
      <c r="AF632">
        <v>25</v>
      </c>
      <c r="AG632">
        <v>2</v>
      </c>
      <c r="AH632">
        <v>0</v>
      </c>
      <c r="AI632">
        <v>42.58</v>
      </c>
      <c r="AL632" t="s">
        <v>12460</v>
      </c>
      <c r="AM632">
        <v>7200</v>
      </c>
      <c r="AN632" t="s">
        <v>12488</v>
      </c>
      <c r="AS632">
        <v>0</v>
      </c>
      <c r="AU632" t="s">
        <v>180</v>
      </c>
    </row>
    <row r="633" spans="1:47">
      <c r="A633" s="1">
        <f>HYPERLINK("https://cms.ls-nyc.org/matter/dynamic-profile/view/1898252","19-1898252")</f>
        <v>0</v>
      </c>
      <c r="B633" t="s">
        <v>72</v>
      </c>
      <c r="C633" t="s">
        <v>343</v>
      </c>
      <c r="E633" t="s">
        <v>1002</v>
      </c>
      <c r="F633" t="s">
        <v>2133</v>
      </c>
      <c r="G633" t="s">
        <v>3702</v>
      </c>
      <c r="H633" t="s">
        <v>5556</v>
      </c>
      <c r="I633" t="s">
        <v>6043</v>
      </c>
      <c r="J633">
        <v>11233</v>
      </c>
      <c r="K633" t="s">
        <v>6074</v>
      </c>
      <c r="L633" t="s">
        <v>6076</v>
      </c>
      <c r="N633" t="s">
        <v>7275</v>
      </c>
      <c r="O633" t="s">
        <v>7307</v>
      </c>
      <c r="Q633" t="s">
        <v>7322</v>
      </c>
      <c r="R633" t="s">
        <v>6074</v>
      </c>
      <c r="S633" t="s">
        <v>7324</v>
      </c>
      <c r="T633" t="s">
        <v>7336</v>
      </c>
      <c r="U633" t="s">
        <v>287</v>
      </c>
      <c r="V633">
        <v>1000</v>
      </c>
      <c r="W633" t="s">
        <v>7362</v>
      </c>
      <c r="X633" t="s">
        <v>7305</v>
      </c>
      <c r="Z633" t="s">
        <v>7919</v>
      </c>
      <c r="AC633">
        <v>359</v>
      </c>
      <c r="AD633" t="s">
        <v>12422</v>
      </c>
      <c r="AF633">
        <v>25</v>
      </c>
      <c r="AG633">
        <v>2</v>
      </c>
      <c r="AH633">
        <v>0</v>
      </c>
      <c r="AI633">
        <v>42.58</v>
      </c>
      <c r="AL633" t="s">
        <v>12460</v>
      </c>
      <c r="AM633">
        <v>7200</v>
      </c>
      <c r="AN633" t="s">
        <v>12550</v>
      </c>
      <c r="AS633">
        <v>0</v>
      </c>
      <c r="AU633" t="s">
        <v>180</v>
      </c>
    </row>
    <row r="634" spans="1:47">
      <c r="A634" s="1">
        <f>HYPERLINK("https://cms.ls-nyc.org/matter/dynamic-profile/view/1880580","18-1880580")</f>
        <v>0</v>
      </c>
      <c r="B634" t="s">
        <v>103</v>
      </c>
      <c r="C634" t="s">
        <v>360</v>
      </c>
      <c r="E634" t="s">
        <v>1003</v>
      </c>
      <c r="F634" t="s">
        <v>2122</v>
      </c>
      <c r="G634" t="s">
        <v>4101</v>
      </c>
      <c r="H634">
        <v>4</v>
      </c>
      <c r="I634" t="s">
        <v>6047</v>
      </c>
      <c r="J634">
        <v>10453</v>
      </c>
      <c r="K634" t="s">
        <v>6074</v>
      </c>
      <c r="L634" t="s">
        <v>6074</v>
      </c>
      <c r="M634" t="s">
        <v>6410</v>
      </c>
      <c r="N634" t="s">
        <v>7276</v>
      </c>
      <c r="O634" t="s">
        <v>7308</v>
      </c>
      <c r="Q634" t="s">
        <v>7322</v>
      </c>
      <c r="S634" t="s">
        <v>7324</v>
      </c>
      <c r="U634" t="s">
        <v>412</v>
      </c>
      <c r="V634">
        <v>1351.5</v>
      </c>
      <c r="W634" t="s">
        <v>7363</v>
      </c>
      <c r="X634" t="s">
        <v>7373</v>
      </c>
      <c r="Z634" t="s">
        <v>7920</v>
      </c>
      <c r="AA634" t="s">
        <v>10012</v>
      </c>
      <c r="AB634" t="s">
        <v>10724</v>
      </c>
      <c r="AC634">
        <v>30</v>
      </c>
      <c r="AD634" t="s">
        <v>6322</v>
      </c>
      <c r="AE634" t="s">
        <v>6110</v>
      </c>
      <c r="AF634">
        <v>2</v>
      </c>
      <c r="AG634">
        <v>2</v>
      </c>
      <c r="AH634">
        <v>3</v>
      </c>
      <c r="AI634">
        <v>42.6</v>
      </c>
      <c r="AL634" t="s">
        <v>12461</v>
      </c>
      <c r="AM634">
        <v>12532</v>
      </c>
      <c r="AS634">
        <v>6.2</v>
      </c>
      <c r="AT634" t="s">
        <v>316</v>
      </c>
      <c r="AU634" t="s">
        <v>13096</v>
      </c>
    </row>
    <row r="635" spans="1:47">
      <c r="A635" s="1">
        <f>HYPERLINK("https://cms.ls-nyc.org/matter/dynamic-profile/view/1896412","19-1896412")</f>
        <v>0</v>
      </c>
      <c r="B635" t="s">
        <v>118</v>
      </c>
      <c r="C635" t="s">
        <v>417</v>
      </c>
      <c r="E635" t="s">
        <v>937</v>
      </c>
      <c r="F635" t="s">
        <v>2456</v>
      </c>
      <c r="G635" t="s">
        <v>4102</v>
      </c>
      <c r="H635">
        <v>3</v>
      </c>
      <c r="I635" t="s">
        <v>6048</v>
      </c>
      <c r="J635">
        <v>10301</v>
      </c>
      <c r="K635" t="s">
        <v>6074</v>
      </c>
      <c r="L635" t="s">
        <v>6074</v>
      </c>
      <c r="M635" t="s">
        <v>6411</v>
      </c>
      <c r="N635" t="s">
        <v>7274</v>
      </c>
      <c r="O635" t="s">
        <v>7308</v>
      </c>
      <c r="Q635" t="s">
        <v>7322</v>
      </c>
      <c r="R635" t="s">
        <v>6076</v>
      </c>
      <c r="S635" t="s">
        <v>7324</v>
      </c>
      <c r="T635" t="s">
        <v>7336</v>
      </c>
      <c r="U635" t="s">
        <v>417</v>
      </c>
      <c r="V635">
        <v>1550</v>
      </c>
      <c r="W635" t="s">
        <v>7364</v>
      </c>
      <c r="X635" t="s">
        <v>7368</v>
      </c>
      <c r="Z635" t="s">
        <v>7921</v>
      </c>
      <c r="AB635" t="s">
        <v>10725</v>
      </c>
      <c r="AC635">
        <v>2</v>
      </c>
      <c r="AD635" t="s">
        <v>12419</v>
      </c>
      <c r="AE635" t="s">
        <v>12438</v>
      </c>
      <c r="AF635">
        <v>3</v>
      </c>
      <c r="AG635">
        <v>1</v>
      </c>
      <c r="AH635">
        <v>2</v>
      </c>
      <c r="AI635">
        <v>42.64</v>
      </c>
      <c r="AL635" t="s">
        <v>12460</v>
      </c>
      <c r="AM635">
        <v>9096</v>
      </c>
      <c r="AS635">
        <v>7.3</v>
      </c>
      <c r="AT635" t="s">
        <v>280</v>
      </c>
      <c r="AU635" t="s">
        <v>13101</v>
      </c>
    </row>
    <row r="636" spans="1:47">
      <c r="A636" s="1">
        <f>HYPERLINK("https://cms.ls-nyc.org/matter/dynamic-profile/view/1873216","18-1873216")</f>
        <v>0</v>
      </c>
      <c r="B636" t="s">
        <v>132</v>
      </c>
      <c r="C636" t="s">
        <v>419</v>
      </c>
      <c r="D636" t="s">
        <v>233</v>
      </c>
      <c r="E636" t="s">
        <v>1004</v>
      </c>
      <c r="F636" t="s">
        <v>2457</v>
      </c>
      <c r="G636" t="s">
        <v>4103</v>
      </c>
      <c r="H636" t="s">
        <v>5557</v>
      </c>
      <c r="I636" t="s">
        <v>6049</v>
      </c>
      <c r="J636">
        <v>10034</v>
      </c>
      <c r="K636" t="s">
        <v>6074</v>
      </c>
      <c r="L636" t="s">
        <v>6074</v>
      </c>
      <c r="N636" t="s">
        <v>7276</v>
      </c>
      <c r="O636" t="s">
        <v>7306</v>
      </c>
      <c r="P636" t="s">
        <v>7314</v>
      </c>
      <c r="Q636" t="s">
        <v>7322</v>
      </c>
      <c r="R636" t="s">
        <v>6076</v>
      </c>
      <c r="S636" t="s">
        <v>7324</v>
      </c>
      <c r="U636" t="s">
        <v>419</v>
      </c>
      <c r="V636">
        <v>882.02</v>
      </c>
      <c r="W636" t="s">
        <v>7365</v>
      </c>
      <c r="X636" t="s">
        <v>7367</v>
      </c>
      <c r="Y636" t="s">
        <v>7386</v>
      </c>
      <c r="Z636" t="s">
        <v>7922</v>
      </c>
      <c r="AB636" t="s">
        <v>10726</v>
      </c>
      <c r="AC636">
        <v>31</v>
      </c>
      <c r="AD636" t="s">
        <v>12422</v>
      </c>
      <c r="AE636" t="s">
        <v>12441</v>
      </c>
      <c r="AF636">
        <v>32</v>
      </c>
      <c r="AG636">
        <v>1</v>
      </c>
      <c r="AH636">
        <v>0</v>
      </c>
      <c r="AI636">
        <v>42.7</v>
      </c>
      <c r="AL636" t="s">
        <v>12461</v>
      </c>
      <c r="AM636">
        <v>5184</v>
      </c>
      <c r="AS636">
        <v>2.98</v>
      </c>
      <c r="AT636" t="s">
        <v>399</v>
      </c>
      <c r="AU636" t="s">
        <v>13106</v>
      </c>
    </row>
    <row r="637" spans="1:47">
      <c r="A637" s="1">
        <f>HYPERLINK("https://cms.ls-nyc.org/matter/dynamic-profile/view/1871602","18-1871602")</f>
        <v>0</v>
      </c>
      <c r="B637" t="s">
        <v>102</v>
      </c>
      <c r="C637" t="s">
        <v>453</v>
      </c>
      <c r="D637" t="s">
        <v>325</v>
      </c>
      <c r="E637" t="s">
        <v>1005</v>
      </c>
      <c r="F637" t="s">
        <v>2458</v>
      </c>
      <c r="G637" t="s">
        <v>4104</v>
      </c>
      <c r="H637" t="s">
        <v>5441</v>
      </c>
      <c r="I637" t="s">
        <v>6047</v>
      </c>
      <c r="J637">
        <v>10451</v>
      </c>
      <c r="K637" t="s">
        <v>6074</v>
      </c>
      <c r="L637" t="s">
        <v>6074</v>
      </c>
      <c r="N637" t="s">
        <v>7288</v>
      </c>
      <c r="O637" t="s">
        <v>7309</v>
      </c>
      <c r="P637" t="s">
        <v>7321</v>
      </c>
      <c r="Q637" t="s">
        <v>7322</v>
      </c>
      <c r="S637" t="s">
        <v>7331</v>
      </c>
      <c r="U637" t="s">
        <v>453</v>
      </c>
      <c r="V637">
        <v>1644.26</v>
      </c>
      <c r="W637" t="s">
        <v>7363</v>
      </c>
      <c r="X637" t="s">
        <v>7370</v>
      </c>
      <c r="Y637" t="s">
        <v>7392</v>
      </c>
      <c r="Z637" t="s">
        <v>7676</v>
      </c>
      <c r="AB637" t="s">
        <v>10727</v>
      </c>
      <c r="AC637">
        <v>82</v>
      </c>
      <c r="AD637" t="s">
        <v>12422</v>
      </c>
      <c r="AE637" t="s">
        <v>12434</v>
      </c>
      <c r="AF637">
        <v>25</v>
      </c>
      <c r="AG637">
        <v>1</v>
      </c>
      <c r="AH637">
        <v>0</v>
      </c>
      <c r="AI637">
        <v>42.9</v>
      </c>
      <c r="AL637" t="s">
        <v>12461</v>
      </c>
      <c r="AM637">
        <v>5208</v>
      </c>
      <c r="AN637" t="s">
        <v>12551</v>
      </c>
      <c r="AS637">
        <v>1.5</v>
      </c>
      <c r="AT637" t="s">
        <v>440</v>
      </c>
      <c r="AU637" t="s">
        <v>102</v>
      </c>
    </row>
    <row r="638" spans="1:47">
      <c r="A638" s="1">
        <f>HYPERLINK("https://cms.ls-nyc.org/matter/dynamic-profile/view/1890532","19-1890532")</f>
        <v>0</v>
      </c>
      <c r="B638" t="s">
        <v>72</v>
      </c>
      <c r="C638" t="s">
        <v>448</v>
      </c>
      <c r="E638" t="s">
        <v>725</v>
      </c>
      <c r="F638" t="s">
        <v>2459</v>
      </c>
      <c r="G638" t="s">
        <v>3700</v>
      </c>
      <c r="H638" t="s">
        <v>5558</v>
      </c>
      <c r="I638" t="s">
        <v>6043</v>
      </c>
      <c r="J638">
        <v>11233</v>
      </c>
      <c r="K638" t="s">
        <v>6074</v>
      </c>
      <c r="L638" t="s">
        <v>6076</v>
      </c>
      <c r="M638" t="s">
        <v>6101</v>
      </c>
      <c r="N638" t="s">
        <v>7279</v>
      </c>
      <c r="O638" t="s">
        <v>7311</v>
      </c>
      <c r="Q638" t="s">
        <v>7322</v>
      </c>
      <c r="R638" t="s">
        <v>6074</v>
      </c>
      <c r="S638" t="s">
        <v>7324</v>
      </c>
      <c r="T638" t="s">
        <v>7336</v>
      </c>
      <c r="U638" t="s">
        <v>330</v>
      </c>
      <c r="V638">
        <v>923</v>
      </c>
      <c r="W638" t="s">
        <v>7362</v>
      </c>
      <c r="Z638" t="s">
        <v>7923</v>
      </c>
      <c r="AC638">
        <v>359</v>
      </c>
      <c r="AD638" t="s">
        <v>12422</v>
      </c>
      <c r="AE638" t="s">
        <v>12434</v>
      </c>
      <c r="AF638">
        <v>0</v>
      </c>
      <c r="AG638">
        <v>2</v>
      </c>
      <c r="AH638">
        <v>2</v>
      </c>
      <c r="AI638">
        <v>43.01</v>
      </c>
      <c r="AL638" t="s">
        <v>12460</v>
      </c>
      <c r="AM638">
        <v>11076</v>
      </c>
      <c r="AN638" t="s">
        <v>12552</v>
      </c>
      <c r="AS638">
        <v>0</v>
      </c>
      <c r="AU638" t="s">
        <v>218</v>
      </c>
    </row>
    <row r="639" spans="1:47">
      <c r="A639" s="1">
        <f>HYPERLINK("https://cms.ls-nyc.org/matter/dynamic-profile/view/1891856","19-1891856")</f>
        <v>0</v>
      </c>
      <c r="B639" t="s">
        <v>72</v>
      </c>
      <c r="C639" t="s">
        <v>318</v>
      </c>
      <c r="E639" t="s">
        <v>725</v>
      </c>
      <c r="F639" t="s">
        <v>2459</v>
      </c>
      <c r="G639" t="s">
        <v>3700</v>
      </c>
      <c r="H639" t="s">
        <v>5558</v>
      </c>
      <c r="I639" t="s">
        <v>6043</v>
      </c>
      <c r="J639">
        <v>11233</v>
      </c>
      <c r="K639" t="s">
        <v>6074</v>
      </c>
      <c r="L639" t="s">
        <v>6076</v>
      </c>
      <c r="M639" t="s">
        <v>6110</v>
      </c>
      <c r="N639" t="s">
        <v>7275</v>
      </c>
      <c r="O639" t="s">
        <v>7307</v>
      </c>
      <c r="Q639" t="s">
        <v>7322</v>
      </c>
      <c r="R639" t="s">
        <v>6074</v>
      </c>
      <c r="S639" t="s">
        <v>7324</v>
      </c>
      <c r="T639" t="s">
        <v>7336</v>
      </c>
      <c r="U639" t="s">
        <v>287</v>
      </c>
      <c r="V639">
        <v>923</v>
      </c>
      <c r="W639" t="s">
        <v>7362</v>
      </c>
      <c r="Z639" t="s">
        <v>7923</v>
      </c>
      <c r="AC639">
        <v>359</v>
      </c>
      <c r="AD639" t="s">
        <v>12422</v>
      </c>
      <c r="AE639" t="s">
        <v>12434</v>
      </c>
      <c r="AF639">
        <v>0</v>
      </c>
      <c r="AG639">
        <v>2</v>
      </c>
      <c r="AH639">
        <v>2</v>
      </c>
      <c r="AI639">
        <v>43.01</v>
      </c>
      <c r="AL639" t="s">
        <v>12460</v>
      </c>
      <c r="AM639">
        <v>11076</v>
      </c>
      <c r="AN639" t="s">
        <v>12553</v>
      </c>
      <c r="AS639">
        <v>0</v>
      </c>
      <c r="AU639" t="s">
        <v>218</v>
      </c>
    </row>
    <row r="640" spans="1:47">
      <c r="A640" s="1">
        <f>HYPERLINK("https://cms.ls-nyc.org/matter/dynamic-profile/view/1838759","17-1838759")</f>
        <v>0</v>
      </c>
      <c r="B640" t="s">
        <v>119</v>
      </c>
      <c r="C640" t="s">
        <v>454</v>
      </c>
      <c r="D640" t="s">
        <v>497</v>
      </c>
      <c r="E640" t="s">
        <v>1006</v>
      </c>
      <c r="F640" t="s">
        <v>2460</v>
      </c>
      <c r="G640" t="s">
        <v>4105</v>
      </c>
      <c r="H640" t="s">
        <v>5372</v>
      </c>
      <c r="I640" t="s">
        <v>6048</v>
      </c>
      <c r="J640">
        <v>10304</v>
      </c>
      <c r="K640" t="s">
        <v>6074</v>
      </c>
      <c r="L640" t="s">
        <v>6074</v>
      </c>
      <c r="M640" t="s">
        <v>6412</v>
      </c>
      <c r="N640" t="s">
        <v>7273</v>
      </c>
      <c r="O640" t="s">
        <v>7308</v>
      </c>
      <c r="P640" t="s">
        <v>7316</v>
      </c>
      <c r="Q640" t="s">
        <v>7322</v>
      </c>
      <c r="R640" t="s">
        <v>6076</v>
      </c>
      <c r="S640" t="s">
        <v>7324</v>
      </c>
      <c r="T640" t="s">
        <v>7336</v>
      </c>
      <c r="U640" t="s">
        <v>497</v>
      </c>
      <c r="V640">
        <v>950</v>
      </c>
      <c r="W640" t="s">
        <v>7364</v>
      </c>
      <c r="X640" t="s">
        <v>7368</v>
      </c>
      <c r="Y640" t="s">
        <v>7391</v>
      </c>
      <c r="Z640" t="s">
        <v>7924</v>
      </c>
      <c r="AB640" t="s">
        <v>10728</v>
      </c>
      <c r="AC640">
        <v>5</v>
      </c>
      <c r="AD640" t="s">
        <v>12422</v>
      </c>
      <c r="AE640" t="s">
        <v>6110</v>
      </c>
      <c r="AF640">
        <v>2</v>
      </c>
      <c r="AG640">
        <v>2</v>
      </c>
      <c r="AH640">
        <v>1</v>
      </c>
      <c r="AI640">
        <v>43.08</v>
      </c>
      <c r="AL640" t="s">
        <v>12460</v>
      </c>
      <c r="AM640">
        <v>8796</v>
      </c>
      <c r="AO640" t="s">
        <v>12847</v>
      </c>
      <c r="AP640" t="s">
        <v>7305</v>
      </c>
      <c r="AQ640" t="s">
        <v>12910</v>
      </c>
      <c r="AR640" t="s">
        <v>12931</v>
      </c>
      <c r="AS640">
        <v>12.3</v>
      </c>
      <c r="AT640" t="s">
        <v>545</v>
      </c>
      <c r="AU640" t="s">
        <v>13102</v>
      </c>
    </row>
    <row r="641" spans="1:48">
      <c r="A641" s="1">
        <f>HYPERLINK("https://cms.ls-nyc.org/matter/dynamic-profile/view/0830783","17-0830783")</f>
        <v>0</v>
      </c>
      <c r="B641" t="s">
        <v>119</v>
      </c>
      <c r="C641" t="s">
        <v>455</v>
      </c>
      <c r="D641" t="s">
        <v>497</v>
      </c>
      <c r="E641" t="s">
        <v>1006</v>
      </c>
      <c r="F641" t="s">
        <v>2460</v>
      </c>
      <c r="G641" t="s">
        <v>4105</v>
      </c>
      <c r="H641" t="s">
        <v>5372</v>
      </c>
      <c r="I641" t="s">
        <v>6048</v>
      </c>
      <c r="J641">
        <v>10304</v>
      </c>
      <c r="K641" t="s">
        <v>6074</v>
      </c>
      <c r="L641" t="s">
        <v>6074</v>
      </c>
      <c r="M641" t="s">
        <v>6413</v>
      </c>
      <c r="N641" t="s">
        <v>7287</v>
      </c>
      <c r="O641" t="s">
        <v>7308</v>
      </c>
      <c r="P641" t="s">
        <v>7316</v>
      </c>
      <c r="Q641" t="s">
        <v>7322</v>
      </c>
      <c r="R641" t="s">
        <v>6076</v>
      </c>
      <c r="S641" t="s">
        <v>7324</v>
      </c>
      <c r="T641" t="s">
        <v>7336</v>
      </c>
      <c r="U641" t="s">
        <v>497</v>
      </c>
      <c r="V641">
        <v>950</v>
      </c>
      <c r="W641" t="s">
        <v>7364</v>
      </c>
      <c r="X641" t="s">
        <v>7368</v>
      </c>
      <c r="Y641" t="s">
        <v>7388</v>
      </c>
      <c r="Z641" t="s">
        <v>7924</v>
      </c>
      <c r="AB641" t="s">
        <v>10728</v>
      </c>
      <c r="AC641">
        <v>5</v>
      </c>
      <c r="AD641" t="s">
        <v>12422</v>
      </c>
      <c r="AE641" t="s">
        <v>6110</v>
      </c>
      <c r="AF641">
        <v>3</v>
      </c>
      <c r="AG641">
        <v>2</v>
      </c>
      <c r="AH641">
        <v>1</v>
      </c>
      <c r="AI641">
        <v>43.08</v>
      </c>
      <c r="AL641" t="s">
        <v>12460</v>
      </c>
      <c r="AM641">
        <v>8796</v>
      </c>
      <c r="AO641" t="s">
        <v>12847</v>
      </c>
      <c r="AP641" t="s">
        <v>12867</v>
      </c>
      <c r="AQ641" t="s">
        <v>12910</v>
      </c>
      <c r="AR641" t="s">
        <v>12971</v>
      </c>
      <c r="AS641">
        <v>22.61</v>
      </c>
      <c r="AT641" t="s">
        <v>13066</v>
      </c>
      <c r="AU641" t="s">
        <v>13102</v>
      </c>
    </row>
    <row r="642" spans="1:48">
      <c r="A642" s="1">
        <f>HYPERLINK("https://cms.ls-nyc.org/matter/dynamic-profile/view/1872934","18-1872934")</f>
        <v>0</v>
      </c>
      <c r="B642" t="s">
        <v>156</v>
      </c>
      <c r="C642" t="s">
        <v>319</v>
      </c>
      <c r="E642" t="s">
        <v>651</v>
      </c>
      <c r="F642" t="s">
        <v>2461</v>
      </c>
      <c r="G642" t="s">
        <v>4106</v>
      </c>
      <c r="H642" t="s">
        <v>5359</v>
      </c>
      <c r="I642" t="s">
        <v>6043</v>
      </c>
      <c r="J642">
        <v>11215</v>
      </c>
      <c r="K642" t="s">
        <v>6074</v>
      </c>
      <c r="L642" t="s">
        <v>6075</v>
      </c>
      <c r="M642" t="s">
        <v>6414</v>
      </c>
      <c r="O642" t="s">
        <v>7309</v>
      </c>
      <c r="Q642" t="s">
        <v>7322</v>
      </c>
      <c r="S642" t="s">
        <v>7327</v>
      </c>
      <c r="U642" t="s">
        <v>505</v>
      </c>
      <c r="V642">
        <v>884</v>
      </c>
      <c r="W642" t="s">
        <v>7362</v>
      </c>
      <c r="X642" t="s">
        <v>7379</v>
      </c>
      <c r="Z642" t="s">
        <v>7925</v>
      </c>
      <c r="AB642" t="s">
        <v>10729</v>
      </c>
      <c r="AC642">
        <v>6</v>
      </c>
      <c r="AF642">
        <v>37</v>
      </c>
      <c r="AG642">
        <v>3</v>
      </c>
      <c r="AH642">
        <v>0</v>
      </c>
      <c r="AI642">
        <v>43.32</v>
      </c>
      <c r="AL642" t="s">
        <v>12460</v>
      </c>
      <c r="AM642">
        <v>9002.4</v>
      </c>
      <c r="AS642">
        <v>3.3</v>
      </c>
      <c r="AT642" t="s">
        <v>259</v>
      </c>
      <c r="AU642" t="s">
        <v>13083</v>
      </c>
      <c r="AV642" t="s">
        <v>13145</v>
      </c>
    </row>
    <row r="643" spans="1:48">
      <c r="A643" s="1">
        <f>HYPERLINK("https://cms.ls-nyc.org/matter/dynamic-profile/view/1894374","19-1894374")</f>
        <v>0</v>
      </c>
      <c r="B643" t="s">
        <v>120</v>
      </c>
      <c r="C643" t="s">
        <v>392</v>
      </c>
      <c r="D643" t="s">
        <v>280</v>
      </c>
      <c r="E643" t="s">
        <v>1007</v>
      </c>
      <c r="F643" t="s">
        <v>2287</v>
      </c>
      <c r="G643" t="s">
        <v>4107</v>
      </c>
      <c r="H643" t="s">
        <v>5347</v>
      </c>
      <c r="I643" t="s">
        <v>6048</v>
      </c>
      <c r="J643">
        <v>10301</v>
      </c>
      <c r="K643" t="s">
        <v>6074</v>
      </c>
      <c r="L643" t="s">
        <v>6074</v>
      </c>
      <c r="M643" t="s">
        <v>6415</v>
      </c>
      <c r="O643" t="s">
        <v>7308</v>
      </c>
      <c r="P643" t="s">
        <v>7318</v>
      </c>
      <c r="Q643" t="s">
        <v>7323</v>
      </c>
      <c r="R643" t="s">
        <v>6076</v>
      </c>
      <c r="S643" t="s">
        <v>7324</v>
      </c>
      <c r="T643" t="s">
        <v>7336</v>
      </c>
      <c r="U643" t="s">
        <v>392</v>
      </c>
      <c r="V643">
        <v>433</v>
      </c>
      <c r="W643" t="s">
        <v>7364</v>
      </c>
      <c r="X643" t="s">
        <v>7369</v>
      </c>
      <c r="Y643" t="s">
        <v>7388</v>
      </c>
      <c r="Z643" t="s">
        <v>7926</v>
      </c>
      <c r="AB643" t="s">
        <v>10432</v>
      </c>
      <c r="AC643">
        <v>0</v>
      </c>
      <c r="AF643">
        <v>1</v>
      </c>
      <c r="AG643">
        <v>1</v>
      </c>
      <c r="AH643">
        <v>2</v>
      </c>
      <c r="AI643">
        <v>43.38</v>
      </c>
      <c r="AJ643" t="s">
        <v>12443</v>
      </c>
      <c r="AK643" t="s">
        <v>12455</v>
      </c>
      <c r="AL643" t="s">
        <v>12460</v>
      </c>
      <c r="AM643">
        <v>9252</v>
      </c>
      <c r="AO643" t="s">
        <v>12852</v>
      </c>
      <c r="AQ643" t="s">
        <v>12909</v>
      </c>
      <c r="AR643" t="s">
        <v>12972</v>
      </c>
      <c r="AS643">
        <v>14.7</v>
      </c>
      <c r="AT643" t="s">
        <v>397</v>
      </c>
      <c r="AU643" t="s">
        <v>120</v>
      </c>
    </row>
    <row r="644" spans="1:48">
      <c r="A644" s="1">
        <f>HYPERLINK("https://cms.ls-nyc.org/matter/dynamic-profile/view/1890266","19-1890266")</f>
        <v>0</v>
      </c>
      <c r="B644" t="s">
        <v>115</v>
      </c>
      <c r="C644" t="s">
        <v>358</v>
      </c>
      <c r="E644" t="s">
        <v>767</v>
      </c>
      <c r="F644" t="s">
        <v>2297</v>
      </c>
      <c r="G644" t="s">
        <v>4108</v>
      </c>
      <c r="H644" t="s">
        <v>5455</v>
      </c>
      <c r="I644" t="s">
        <v>6047</v>
      </c>
      <c r="J644">
        <v>10452</v>
      </c>
      <c r="K644" t="s">
        <v>6074</v>
      </c>
      <c r="L644" t="s">
        <v>6074</v>
      </c>
      <c r="M644" t="s">
        <v>6416</v>
      </c>
      <c r="N644" t="s">
        <v>7276</v>
      </c>
      <c r="O644" t="s">
        <v>7308</v>
      </c>
      <c r="Q644" t="s">
        <v>7322</v>
      </c>
      <c r="R644" t="s">
        <v>6076</v>
      </c>
      <c r="S644" t="s">
        <v>7324</v>
      </c>
      <c r="U644" t="s">
        <v>386</v>
      </c>
      <c r="V644">
        <v>811.24</v>
      </c>
      <c r="W644" t="s">
        <v>7363</v>
      </c>
      <c r="X644" t="s">
        <v>7376</v>
      </c>
      <c r="Z644" t="s">
        <v>7927</v>
      </c>
      <c r="AB644" t="s">
        <v>10730</v>
      </c>
      <c r="AC644">
        <v>53</v>
      </c>
      <c r="AD644" t="s">
        <v>12422</v>
      </c>
      <c r="AE644" t="s">
        <v>12435</v>
      </c>
      <c r="AF644">
        <v>34</v>
      </c>
      <c r="AG644">
        <v>1</v>
      </c>
      <c r="AH644">
        <v>2</v>
      </c>
      <c r="AI644">
        <v>43.65</v>
      </c>
      <c r="AL644" t="s">
        <v>12461</v>
      </c>
      <c r="AM644">
        <v>9310.799999999999</v>
      </c>
      <c r="AS644">
        <v>9.6</v>
      </c>
      <c r="AT644" t="s">
        <v>268</v>
      </c>
      <c r="AU644" t="s">
        <v>13092</v>
      </c>
    </row>
    <row r="645" spans="1:48">
      <c r="A645" s="1">
        <f>HYPERLINK("https://cms.ls-nyc.org/matter/dynamic-profile/view/1887329","19-1887329")</f>
        <v>0</v>
      </c>
      <c r="B645" t="s">
        <v>171</v>
      </c>
      <c r="C645" t="s">
        <v>267</v>
      </c>
      <c r="D645" t="s">
        <v>492</v>
      </c>
      <c r="E645" t="s">
        <v>1008</v>
      </c>
      <c r="F645" t="s">
        <v>2462</v>
      </c>
      <c r="G645" t="s">
        <v>4109</v>
      </c>
      <c r="H645" t="s">
        <v>5559</v>
      </c>
      <c r="I645" t="s">
        <v>6043</v>
      </c>
      <c r="J645">
        <v>11213</v>
      </c>
      <c r="K645" t="s">
        <v>6074</v>
      </c>
      <c r="L645" t="s">
        <v>6074</v>
      </c>
      <c r="N645" t="s">
        <v>7276</v>
      </c>
      <c r="O645" t="s">
        <v>7307</v>
      </c>
      <c r="P645" t="s">
        <v>7314</v>
      </c>
      <c r="Q645" t="s">
        <v>7322</v>
      </c>
      <c r="R645" t="s">
        <v>6076</v>
      </c>
      <c r="S645" t="s">
        <v>7324</v>
      </c>
      <c r="U645" t="s">
        <v>462</v>
      </c>
      <c r="V645">
        <v>1186</v>
      </c>
      <c r="W645" t="s">
        <v>7362</v>
      </c>
      <c r="X645" t="s">
        <v>7305</v>
      </c>
      <c r="Y645" t="s">
        <v>7386</v>
      </c>
      <c r="Z645" t="s">
        <v>7928</v>
      </c>
      <c r="AA645" t="s">
        <v>10013</v>
      </c>
      <c r="AB645" t="s">
        <v>10731</v>
      </c>
      <c r="AC645">
        <v>28</v>
      </c>
      <c r="AD645" t="s">
        <v>12422</v>
      </c>
      <c r="AE645" t="s">
        <v>12441</v>
      </c>
      <c r="AF645">
        <v>31</v>
      </c>
      <c r="AG645">
        <v>2</v>
      </c>
      <c r="AH645">
        <v>0</v>
      </c>
      <c r="AI645">
        <v>43.67</v>
      </c>
      <c r="AL645" t="s">
        <v>12460</v>
      </c>
      <c r="AM645">
        <v>7188</v>
      </c>
      <c r="AS645">
        <v>0.2</v>
      </c>
      <c r="AT645" t="s">
        <v>492</v>
      </c>
      <c r="AU645" t="s">
        <v>180</v>
      </c>
    </row>
    <row r="646" spans="1:48">
      <c r="A646" s="1">
        <f>HYPERLINK("https://cms.ls-nyc.org/matter/dynamic-profile/view/1880450","18-1880450")</f>
        <v>0</v>
      </c>
      <c r="B646" t="s">
        <v>108</v>
      </c>
      <c r="C646" t="s">
        <v>307</v>
      </c>
      <c r="E646" t="s">
        <v>1009</v>
      </c>
      <c r="F646" t="s">
        <v>2463</v>
      </c>
      <c r="G646" t="s">
        <v>3936</v>
      </c>
      <c r="H646" t="s">
        <v>5495</v>
      </c>
      <c r="I646" t="s">
        <v>6047</v>
      </c>
      <c r="J646">
        <v>10452</v>
      </c>
      <c r="K646" t="s">
        <v>6074</v>
      </c>
      <c r="L646" t="s">
        <v>6074</v>
      </c>
      <c r="N646" t="s">
        <v>7278</v>
      </c>
      <c r="O646" t="s">
        <v>7306</v>
      </c>
      <c r="Q646" t="s">
        <v>7322</v>
      </c>
      <c r="R646" t="s">
        <v>6074</v>
      </c>
      <c r="S646" t="s">
        <v>7324</v>
      </c>
      <c r="U646" t="s">
        <v>472</v>
      </c>
      <c r="V646">
        <v>1268</v>
      </c>
      <c r="W646" t="s">
        <v>7363</v>
      </c>
      <c r="X646" t="s">
        <v>7376</v>
      </c>
      <c r="Z646" t="s">
        <v>7929</v>
      </c>
      <c r="AB646" t="s">
        <v>10732</v>
      </c>
      <c r="AC646">
        <v>53</v>
      </c>
      <c r="AD646" t="s">
        <v>12422</v>
      </c>
      <c r="AE646" t="s">
        <v>12435</v>
      </c>
      <c r="AF646">
        <v>3</v>
      </c>
      <c r="AG646">
        <v>1</v>
      </c>
      <c r="AH646">
        <v>1</v>
      </c>
      <c r="AI646">
        <v>43.74</v>
      </c>
      <c r="AL646" t="s">
        <v>12460</v>
      </c>
      <c r="AM646">
        <v>7200</v>
      </c>
      <c r="AS646">
        <v>0</v>
      </c>
      <c r="AU646" t="s">
        <v>13099</v>
      </c>
    </row>
    <row r="647" spans="1:48">
      <c r="A647" s="1">
        <f>HYPERLINK("https://cms.ls-nyc.org/matter/dynamic-profile/view/1884535","18-1884535")</f>
        <v>0</v>
      </c>
      <c r="B647" t="s">
        <v>103</v>
      </c>
      <c r="C647" t="s">
        <v>291</v>
      </c>
      <c r="E647" t="s">
        <v>586</v>
      </c>
      <c r="F647" t="s">
        <v>2356</v>
      </c>
      <c r="G647" t="s">
        <v>3810</v>
      </c>
      <c r="H647" t="s">
        <v>5560</v>
      </c>
      <c r="I647" t="s">
        <v>6047</v>
      </c>
      <c r="J647">
        <v>10451</v>
      </c>
      <c r="K647" t="s">
        <v>6074</v>
      </c>
      <c r="L647" t="s">
        <v>6074</v>
      </c>
      <c r="M647" t="s">
        <v>6201</v>
      </c>
      <c r="N647" t="s">
        <v>7273</v>
      </c>
      <c r="O647" t="s">
        <v>7308</v>
      </c>
      <c r="Q647" t="s">
        <v>7322</v>
      </c>
      <c r="R647" t="s">
        <v>6074</v>
      </c>
      <c r="S647" t="s">
        <v>7324</v>
      </c>
      <c r="U647" t="s">
        <v>472</v>
      </c>
      <c r="V647">
        <v>1100</v>
      </c>
      <c r="W647" t="s">
        <v>7363</v>
      </c>
      <c r="X647" t="s">
        <v>7376</v>
      </c>
      <c r="Z647" t="s">
        <v>7930</v>
      </c>
      <c r="AB647" t="s">
        <v>10733</v>
      </c>
      <c r="AC647">
        <v>100</v>
      </c>
      <c r="AD647" t="s">
        <v>12425</v>
      </c>
      <c r="AE647" t="s">
        <v>12435</v>
      </c>
      <c r="AF647">
        <v>16</v>
      </c>
      <c r="AG647">
        <v>2</v>
      </c>
      <c r="AH647">
        <v>0</v>
      </c>
      <c r="AI647">
        <v>43.74</v>
      </c>
      <c r="AL647" t="s">
        <v>12461</v>
      </c>
      <c r="AM647">
        <v>7200</v>
      </c>
      <c r="AS647">
        <v>0</v>
      </c>
      <c r="AU647" t="s">
        <v>13095</v>
      </c>
    </row>
    <row r="648" spans="1:48">
      <c r="A648" s="1">
        <f>HYPERLINK("https://cms.ls-nyc.org/matter/dynamic-profile/view/1863486","18-1863486")</f>
        <v>0</v>
      </c>
      <c r="B648" t="s">
        <v>82</v>
      </c>
      <c r="C648" t="s">
        <v>308</v>
      </c>
      <c r="E648" t="s">
        <v>1010</v>
      </c>
      <c r="F648" t="s">
        <v>2354</v>
      </c>
      <c r="G648" t="s">
        <v>3728</v>
      </c>
      <c r="H648" t="s">
        <v>5561</v>
      </c>
      <c r="I648" t="s">
        <v>6043</v>
      </c>
      <c r="J648">
        <v>11226</v>
      </c>
      <c r="K648" t="s">
        <v>6074</v>
      </c>
      <c r="L648" t="s">
        <v>6074</v>
      </c>
      <c r="N648" t="s">
        <v>7278</v>
      </c>
      <c r="O648" t="s">
        <v>7309</v>
      </c>
      <c r="Q648" t="s">
        <v>7322</v>
      </c>
      <c r="R648" t="s">
        <v>6074</v>
      </c>
      <c r="S648" t="s">
        <v>7324</v>
      </c>
      <c r="U648" t="s">
        <v>333</v>
      </c>
      <c r="V648">
        <v>1324</v>
      </c>
      <c r="W648" t="s">
        <v>7362</v>
      </c>
      <c r="X648" t="s">
        <v>7368</v>
      </c>
      <c r="Z648" t="s">
        <v>7931</v>
      </c>
      <c r="AA648" t="s">
        <v>10014</v>
      </c>
      <c r="AB648" t="s">
        <v>10734</v>
      </c>
      <c r="AC648">
        <v>65</v>
      </c>
      <c r="AE648" t="s">
        <v>12435</v>
      </c>
      <c r="AF648">
        <v>12</v>
      </c>
      <c r="AG648">
        <v>2</v>
      </c>
      <c r="AH648">
        <v>3</v>
      </c>
      <c r="AI648">
        <v>43.81</v>
      </c>
      <c r="AL648" t="s">
        <v>12460</v>
      </c>
      <c r="AM648">
        <v>13357.44</v>
      </c>
      <c r="AS648">
        <v>0.5</v>
      </c>
      <c r="AT648" t="s">
        <v>308</v>
      </c>
      <c r="AU648" t="s">
        <v>13087</v>
      </c>
    </row>
    <row r="649" spans="1:48">
      <c r="A649" s="1">
        <f>HYPERLINK("https://cms.ls-nyc.org/matter/dynamic-profile/view/1879352","18-1879352")</f>
        <v>0</v>
      </c>
      <c r="B649" t="s">
        <v>52</v>
      </c>
      <c r="C649" t="s">
        <v>249</v>
      </c>
      <c r="D649" t="s">
        <v>265</v>
      </c>
      <c r="E649" t="s">
        <v>1011</v>
      </c>
      <c r="F649" t="s">
        <v>2309</v>
      </c>
      <c r="G649" t="s">
        <v>3905</v>
      </c>
      <c r="H649" t="s">
        <v>5382</v>
      </c>
      <c r="I649" t="s">
        <v>6025</v>
      </c>
      <c r="J649">
        <v>11691</v>
      </c>
      <c r="K649" t="s">
        <v>6074</v>
      </c>
      <c r="L649" t="s">
        <v>6074</v>
      </c>
      <c r="M649" t="s">
        <v>6417</v>
      </c>
      <c r="N649" t="s">
        <v>7276</v>
      </c>
      <c r="O649" t="s">
        <v>7308</v>
      </c>
      <c r="P649" t="s">
        <v>7316</v>
      </c>
      <c r="Q649" t="s">
        <v>7322</v>
      </c>
      <c r="R649" t="s">
        <v>6076</v>
      </c>
      <c r="S649" t="s">
        <v>7324</v>
      </c>
      <c r="T649" t="s">
        <v>7336</v>
      </c>
      <c r="U649" t="s">
        <v>249</v>
      </c>
      <c r="V649">
        <v>1515</v>
      </c>
      <c r="W649" t="s">
        <v>7361</v>
      </c>
      <c r="X649" t="s">
        <v>7366</v>
      </c>
      <c r="Y649" t="s">
        <v>7388</v>
      </c>
      <c r="Z649" t="s">
        <v>7932</v>
      </c>
      <c r="AA649" t="s">
        <v>10015</v>
      </c>
      <c r="AB649" t="s">
        <v>10735</v>
      </c>
      <c r="AC649">
        <v>28</v>
      </c>
      <c r="AD649" t="s">
        <v>12422</v>
      </c>
      <c r="AE649" t="s">
        <v>12438</v>
      </c>
      <c r="AF649">
        <v>1</v>
      </c>
      <c r="AG649">
        <v>1</v>
      </c>
      <c r="AH649">
        <v>3</v>
      </c>
      <c r="AI649">
        <v>44.02</v>
      </c>
      <c r="AL649" t="s">
        <v>12460</v>
      </c>
      <c r="AM649">
        <v>11050</v>
      </c>
      <c r="AO649" t="s">
        <v>12848</v>
      </c>
      <c r="AP649" t="s">
        <v>12875</v>
      </c>
      <c r="AQ649" t="s">
        <v>12909</v>
      </c>
      <c r="AR649" t="s">
        <v>12973</v>
      </c>
      <c r="AS649">
        <v>44.95</v>
      </c>
      <c r="AT649" t="s">
        <v>252</v>
      </c>
      <c r="AU649" t="s">
        <v>189</v>
      </c>
      <c r="AV649" t="s">
        <v>13145</v>
      </c>
    </row>
    <row r="650" spans="1:48">
      <c r="A650" s="1">
        <f>HYPERLINK("https://cms.ls-nyc.org/matter/dynamic-profile/view/1882145","18-1882145")</f>
        <v>0</v>
      </c>
      <c r="B650" t="s">
        <v>132</v>
      </c>
      <c r="C650" t="s">
        <v>442</v>
      </c>
      <c r="E650" t="s">
        <v>1012</v>
      </c>
      <c r="F650" t="s">
        <v>2464</v>
      </c>
      <c r="G650" t="s">
        <v>4110</v>
      </c>
      <c r="H650" t="s">
        <v>5562</v>
      </c>
      <c r="I650" t="s">
        <v>6049</v>
      </c>
      <c r="J650">
        <v>10032</v>
      </c>
      <c r="K650" t="s">
        <v>6074</v>
      </c>
      <c r="L650" t="s">
        <v>6074</v>
      </c>
      <c r="O650" t="s">
        <v>7307</v>
      </c>
      <c r="Q650" t="s">
        <v>7322</v>
      </c>
      <c r="R650" t="s">
        <v>6076</v>
      </c>
      <c r="S650" t="s">
        <v>7324</v>
      </c>
      <c r="U650" t="s">
        <v>442</v>
      </c>
      <c r="V650">
        <v>850</v>
      </c>
      <c r="W650" t="s">
        <v>7365</v>
      </c>
      <c r="X650" t="s">
        <v>7367</v>
      </c>
      <c r="Z650" t="s">
        <v>7933</v>
      </c>
      <c r="AB650" t="s">
        <v>10736</v>
      </c>
      <c r="AC650">
        <v>68</v>
      </c>
      <c r="AD650" t="s">
        <v>12422</v>
      </c>
      <c r="AE650" t="s">
        <v>6110</v>
      </c>
      <c r="AF650">
        <v>18</v>
      </c>
      <c r="AG650">
        <v>3</v>
      </c>
      <c r="AH650">
        <v>0</v>
      </c>
      <c r="AI650">
        <v>44.47</v>
      </c>
      <c r="AL650" t="s">
        <v>12461</v>
      </c>
      <c r="AM650">
        <v>9240</v>
      </c>
      <c r="AS650">
        <v>0.25</v>
      </c>
      <c r="AT650" t="s">
        <v>468</v>
      </c>
      <c r="AU650" t="s">
        <v>13106</v>
      </c>
    </row>
    <row r="651" spans="1:48">
      <c r="A651" s="1">
        <f>HYPERLINK("https://cms.ls-nyc.org/matter/dynamic-profile/view/1875618","18-1875618")</f>
        <v>0</v>
      </c>
      <c r="B651" t="s">
        <v>78</v>
      </c>
      <c r="C651" t="s">
        <v>233</v>
      </c>
      <c r="D651" t="s">
        <v>344</v>
      </c>
      <c r="E651" t="s">
        <v>570</v>
      </c>
      <c r="F651" t="s">
        <v>2465</v>
      </c>
      <c r="G651" t="s">
        <v>4111</v>
      </c>
      <c r="H651">
        <v>3</v>
      </c>
      <c r="I651" t="s">
        <v>6043</v>
      </c>
      <c r="J651">
        <v>11212</v>
      </c>
      <c r="K651" t="s">
        <v>6074</v>
      </c>
      <c r="L651" t="s">
        <v>6074</v>
      </c>
      <c r="N651" t="s">
        <v>7296</v>
      </c>
      <c r="O651" t="s">
        <v>7307</v>
      </c>
      <c r="P651" t="s">
        <v>7315</v>
      </c>
      <c r="Q651" t="s">
        <v>7322</v>
      </c>
      <c r="R651" t="s">
        <v>6076</v>
      </c>
      <c r="S651" t="s">
        <v>7324</v>
      </c>
      <c r="T651" t="s">
        <v>7336</v>
      </c>
      <c r="U651" t="s">
        <v>233</v>
      </c>
      <c r="V651">
        <v>1446.65</v>
      </c>
      <c r="W651" t="s">
        <v>7362</v>
      </c>
      <c r="X651" t="s">
        <v>7368</v>
      </c>
      <c r="Y651" t="s">
        <v>7390</v>
      </c>
      <c r="Z651" t="s">
        <v>7934</v>
      </c>
      <c r="AB651" t="s">
        <v>10737</v>
      </c>
      <c r="AC651">
        <v>16</v>
      </c>
      <c r="AD651" t="s">
        <v>12422</v>
      </c>
      <c r="AE651" t="s">
        <v>12434</v>
      </c>
      <c r="AF651">
        <v>12</v>
      </c>
      <c r="AG651">
        <v>1</v>
      </c>
      <c r="AH651">
        <v>0</v>
      </c>
      <c r="AI651">
        <v>44.48</v>
      </c>
      <c r="AL651" t="s">
        <v>12460</v>
      </c>
      <c r="AM651">
        <v>5400</v>
      </c>
      <c r="AP651" t="s">
        <v>12870</v>
      </c>
      <c r="AS651">
        <v>1.4</v>
      </c>
      <c r="AT651" t="s">
        <v>344</v>
      </c>
      <c r="AU651" t="s">
        <v>78</v>
      </c>
    </row>
    <row r="652" spans="1:48">
      <c r="A652" s="1">
        <f>HYPERLINK("https://cms.ls-nyc.org/matter/dynamic-profile/view/1885400","18-1885400")</f>
        <v>0</v>
      </c>
      <c r="B652" t="s">
        <v>77</v>
      </c>
      <c r="C652" t="s">
        <v>250</v>
      </c>
      <c r="D652" t="s">
        <v>429</v>
      </c>
      <c r="E652" t="s">
        <v>1013</v>
      </c>
      <c r="F652" t="s">
        <v>2466</v>
      </c>
      <c r="G652" t="s">
        <v>4112</v>
      </c>
      <c r="H652">
        <v>1</v>
      </c>
      <c r="I652" t="s">
        <v>6043</v>
      </c>
      <c r="J652">
        <v>11207</v>
      </c>
      <c r="K652" t="s">
        <v>6074</v>
      </c>
      <c r="L652" t="s">
        <v>6074</v>
      </c>
      <c r="O652" t="s">
        <v>7306</v>
      </c>
      <c r="P652" t="s">
        <v>7314</v>
      </c>
      <c r="Q652" t="s">
        <v>7322</v>
      </c>
      <c r="S652" t="s">
        <v>7324</v>
      </c>
      <c r="U652" t="s">
        <v>250</v>
      </c>
      <c r="V652">
        <v>0</v>
      </c>
      <c r="W652" t="s">
        <v>7362</v>
      </c>
      <c r="Y652" t="s">
        <v>7386</v>
      </c>
      <c r="Z652" t="s">
        <v>7935</v>
      </c>
      <c r="AB652" t="s">
        <v>10738</v>
      </c>
      <c r="AC652">
        <v>0</v>
      </c>
      <c r="AF652">
        <v>0</v>
      </c>
      <c r="AG652">
        <v>1</v>
      </c>
      <c r="AH652">
        <v>2</v>
      </c>
      <c r="AI652">
        <v>44.52</v>
      </c>
      <c r="AM652">
        <v>9252</v>
      </c>
      <c r="AS652">
        <v>0.75</v>
      </c>
      <c r="AT652" t="s">
        <v>250</v>
      </c>
      <c r="AU652" t="s">
        <v>77</v>
      </c>
    </row>
    <row r="653" spans="1:48">
      <c r="A653" s="1">
        <f>HYPERLINK("https://cms.ls-nyc.org/matter/dynamic-profile/view/1887178","19-1887178")</f>
        <v>0</v>
      </c>
      <c r="B653" t="s">
        <v>98</v>
      </c>
      <c r="C653" t="s">
        <v>452</v>
      </c>
      <c r="D653" t="s">
        <v>335</v>
      </c>
      <c r="E653" t="s">
        <v>1014</v>
      </c>
      <c r="F653" t="s">
        <v>2467</v>
      </c>
      <c r="G653" t="s">
        <v>4113</v>
      </c>
      <c r="H653" t="s">
        <v>5390</v>
      </c>
      <c r="I653" t="s">
        <v>6047</v>
      </c>
      <c r="J653">
        <v>10453</v>
      </c>
      <c r="K653" t="s">
        <v>6074</v>
      </c>
      <c r="L653" t="s">
        <v>6074</v>
      </c>
      <c r="M653" t="s">
        <v>6418</v>
      </c>
      <c r="N653" t="s">
        <v>7276</v>
      </c>
      <c r="O653" t="s">
        <v>7308</v>
      </c>
      <c r="P653" t="s">
        <v>7316</v>
      </c>
      <c r="Q653" t="s">
        <v>7322</v>
      </c>
      <c r="R653" t="s">
        <v>6076</v>
      </c>
      <c r="S653" t="s">
        <v>7324</v>
      </c>
      <c r="T653" t="s">
        <v>7336</v>
      </c>
      <c r="U653" t="s">
        <v>452</v>
      </c>
      <c r="V653">
        <v>851</v>
      </c>
      <c r="W653" t="s">
        <v>7363</v>
      </c>
      <c r="X653" t="s">
        <v>7368</v>
      </c>
      <c r="Y653" t="s">
        <v>7388</v>
      </c>
      <c r="Z653" t="s">
        <v>7561</v>
      </c>
      <c r="AA653" t="s">
        <v>10016</v>
      </c>
      <c r="AB653" t="s">
        <v>10739</v>
      </c>
      <c r="AC653">
        <v>16</v>
      </c>
      <c r="AD653" t="s">
        <v>12422</v>
      </c>
      <c r="AE653" t="s">
        <v>12438</v>
      </c>
      <c r="AF653">
        <v>28</v>
      </c>
      <c r="AG653">
        <v>3</v>
      </c>
      <c r="AH653">
        <v>1</v>
      </c>
      <c r="AI653">
        <v>44.53</v>
      </c>
      <c r="AL653" t="s">
        <v>12460</v>
      </c>
      <c r="AM653">
        <v>11176</v>
      </c>
      <c r="AO653" t="s">
        <v>12846</v>
      </c>
      <c r="AP653" t="s">
        <v>12879</v>
      </c>
      <c r="AQ653" t="s">
        <v>12909</v>
      </c>
      <c r="AR653" t="s">
        <v>12929</v>
      </c>
      <c r="AS653">
        <v>3.2</v>
      </c>
      <c r="AT653" t="s">
        <v>285</v>
      </c>
      <c r="AU653" t="s">
        <v>13092</v>
      </c>
    </row>
    <row r="654" spans="1:48">
      <c r="A654" s="1">
        <f>HYPERLINK("https://cms.ls-nyc.org/matter/dynamic-profile/view/1872836","18-1872836")</f>
        <v>0</v>
      </c>
      <c r="B654" t="s">
        <v>111</v>
      </c>
      <c r="C654" t="s">
        <v>368</v>
      </c>
      <c r="D654" t="s">
        <v>472</v>
      </c>
      <c r="E654" t="s">
        <v>1015</v>
      </c>
      <c r="F654" t="s">
        <v>2468</v>
      </c>
      <c r="G654" t="s">
        <v>4114</v>
      </c>
      <c r="I654" t="s">
        <v>6047</v>
      </c>
      <c r="J654">
        <v>10459</v>
      </c>
      <c r="K654" t="s">
        <v>6074</v>
      </c>
      <c r="L654" t="s">
        <v>6074</v>
      </c>
      <c r="M654" t="s">
        <v>6419</v>
      </c>
      <c r="N654" t="s">
        <v>7273</v>
      </c>
      <c r="O654" t="s">
        <v>7306</v>
      </c>
      <c r="P654" t="s">
        <v>7314</v>
      </c>
      <c r="Q654" t="s">
        <v>7322</v>
      </c>
      <c r="R654" t="s">
        <v>6076</v>
      </c>
      <c r="S654" t="s">
        <v>7324</v>
      </c>
      <c r="U654" t="s">
        <v>368</v>
      </c>
      <c r="V654">
        <v>1032</v>
      </c>
      <c r="W654" t="s">
        <v>7363</v>
      </c>
      <c r="X654" t="s">
        <v>7376</v>
      </c>
      <c r="Y654" t="s">
        <v>7386</v>
      </c>
      <c r="Z654" t="s">
        <v>7936</v>
      </c>
      <c r="AB654" t="s">
        <v>10740</v>
      </c>
      <c r="AC654">
        <v>11</v>
      </c>
      <c r="AD654" t="s">
        <v>12422</v>
      </c>
      <c r="AE654" t="s">
        <v>12441</v>
      </c>
      <c r="AF654">
        <v>27</v>
      </c>
      <c r="AG654">
        <v>3</v>
      </c>
      <c r="AH654">
        <v>0</v>
      </c>
      <c r="AI654">
        <v>44.64</v>
      </c>
      <c r="AL654" t="s">
        <v>12461</v>
      </c>
      <c r="AM654">
        <v>9276</v>
      </c>
      <c r="AS654">
        <v>1</v>
      </c>
      <c r="AT654" t="s">
        <v>368</v>
      </c>
      <c r="AU654" t="s">
        <v>204</v>
      </c>
    </row>
    <row r="655" spans="1:48">
      <c r="A655" s="1">
        <f>HYPERLINK("https://cms.ls-nyc.org/matter/dynamic-profile/view/1893217","19-1893217")</f>
        <v>0</v>
      </c>
      <c r="B655" t="s">
        <v>129</v>
      </c>
      <c r="C655" t="s">
        <v>293</v>
      </c>
      <c r="E655" t="s">
        <v>1016</v>
      </c>
      <c r="F655" t="s">
        <v>2469</v>
      </c>
      <c r="G655" t="s">
        <v>4115</v>
      </c>
      <c r="H655" t="s">
        <v>5446</v>
      </c>
      <c r="I655" t="s">
        <v>6049</v>
      </c>
      <c r="J655">
        <v>10033</v>
      </c>
      <c r="K655" t="s">
        <v>6074</v>
      </c>
      <c r="L655" t="s">
        <v>6074</v>
      </c>
      <c r="O655" t="s">
        <v>7306</v>
      </c>
      <c r="Q655" t="s">
        <v>7322</v>
      </c>
      <c r="R655" t="s">
        <v>6076</v>
      </c>
      <c r="S655" t="s">
        <v>7324</v>
      </c>
      <c r="U655" t="s">
        <v>293</v>
      </c>
      <c r="V655">
        <v>990</v>
      </c>
      <c r="W655" t="s">
        <v>7365</v>
      </c>
      <c r="X655" t="s">
        <v>7367</v>
      </c>
      <c r="Z655" t="s">
        <v>7937</v>
      </c>
      <c r="AB655" t="s">
        <v>10741</v>
      </c>
      <c r="AC655">
        <v>47</v>
      </c>
      <c r="AD655" t="s">
        <v>12422</v>
      </c>
      <c r="AE655" t="s">
        <v>6110</v>
      </c>
      <c r="AF655">
        <v>40</v>
      </c>
      <c r="AG655">
        <v>1</v>
      </c>
      <c r="AH655">
        <v>0</v>
      </c>
      <c r="AI655">
        <v>44.76</v>
      </c>
      <c r="AL655" t="s">
        <v>12460</v>
      </c>
      <c r="AM655">
        <v>5590</v>
      </c>
      <c r="AS655">
        <v>26.75</v>
      </c>
      <c r="AT655" t="s">
        <v>260</v>
      </c>
      <c r="AU655" t="s">
        <v>13106</v>
      </c>
    </row>
    <row r="656" spans="1:48">
      <c r="A656" s="1">
        <f>HYPERLINK("https://cms.ls-nyc.org/matter/dynamic-profile/view/1882561","18-1882561")</f>
        <v>0</v>
      </c>
      <c r="B656" t="s">
        <v>76</v>
      </c>
      <c r="C656" t="s">
        <v>283</v>
      </c>
      <c r="D656" t="s">
        <v>472</v>
      </c>
      <c r="E656" t="s">
        <v>1017</v>
      </c>
      <c r="F656" t="s">
        <v>2470</v>
      </c>
      <c r="G656" t="s">
        <v>4116</v>
      </c>
      <c r="H656" t="s">
        <v>5439</v>
      </c>
      <c r="I656" t="s">
        <v>6043</v>
      </c>
      <c r="J656">
        <v>11206</v>
      </c>
      <c r="K656" t="s">
        <v>6074</v>
      </c>
      <c r="L656" t="s">
        <v>6074</v>
      </c>
      <c r="M656" t="s">
        <v>6420</v>
      </c>
      <c r="N656" t="s">
        <v>7274</v>
      </c>
      <c r="O656" t="s">
        <v>7306</v>
      </c>
      <c r="P656" t="s">
        <v>7314</v>
      </c>
      <c r="Q656" t="s">
        <v>7322</v>
      </c>
      <c r="S656" t="s">
        <v>7324</v>
      </c>
      <c r="U656" t="s">
        <v>472</v>
      </c>
      <c r="V656">
        <v>1750</v>
      </c>
      <c r="W656" t="s">
        <v>7362</v>
      </c>
      <c r="X656" t="s">
        <v>7366</v>
      </c>
      <c r="Y656" t="s">
        <v>7386</v>
      </c>
      <c r="Z656" t="s">
        <v>7938</v>
      </c>
      <c r="AA656" t="s">
        <v>10017</v>
      </c>
      <c r="AB656" t="s">
        <v>10742</v>
      </c>
      <c r="AC656">
        <v>4</v>
      </c>
      <c r="AE656" t="s">
        <v>6110</v>
      </c>
      <c r="AF656">
        <v>11</v>
      </c>
      <c r="AG656">
        <v>3</v>
      </c>
      <c r="AH656">
        <v>9</v>
      </c>
      <c r="AI656">
        <v>45.34</v>
      </c>
      <c r="AL656" t="s">
        <v>12460</v>
      </c>
      <c r="AM656">
        <v>27048</v>
      </c>
      <c r="AS656">
        <v>2.3</v>
      </c>
      <c r="AT656" t="s">
        <v>403</v>
      </c>
      <c r="AU656" t="s">
        <v>13082</v>
      </c>
    </row>
    <row r="657" spans="1:47">
      <c r="A657" s="1">
        <f>HYPERLINK("https://cms.ls-nyc.org/matter/dynamic-profile/view/1880858","18-1880858")</f>
        <v>0</v>
      </c>
      <c r="B657" t="s">
        <v>96</v>
      </c>
      <c r="C657" t="s">
        <v>333</v>
      </c>
      <c r="E657" t="s">
        <v>1018</v>
      </c>
      <c r="F657" t="s">
        <v>2471</v>
      </c>
      <c r="G657" t="s">
        <v>4117</v>
      </c>
      <c r="H657" t="s">
        <v>5382</v>
      </c>
      <c r="I657" t="s">
        <v>6047</v>
      </c>
      <c r="J657">
        <v>10468</v>
      </c>
      <c r="K657" t="s">
        <v>6074</v>
      </c>
      <c r="L657" t="s">
        <v>6074</v>
      </c>
      <c r="N657" t="s">
        <v>7276</v>
      </c>
      <c r="O657" t="s">
        <v>7306</v>
      </c>
      <c r="Q657" t="s">
        <v>7322</v>
      </c>
      <c r="S657" t="s">
        <v>7324</v>
      </c>
      <c r="U657" t="s">
        <v>333</v>
      </c>
      <c r="V657">
        <v>0</v>
      </c>
      <c r="W657" t="s">
        <v>7363</v>
      </c>
      <c r="Z657" t="s">
        <v>7939</v>
      </c>
      <c r="AB657" t="s">
        <v>10743</v>
      </c>
      <c r="AC657">
        <v>0</v>
      </c>
      <c r="AF657">
        <v>0</v>
      </c>
      <c r="AG657">
        <v>1</v>
      </c>
      <c r="AH657">
        <v>2</v>
      </c>
      <c r="AI657">
        <v>45.51</v>
      </c>
      <c r="AL657" t="s">
        <v>12460</v>
      </c>
      <c r="AM657">
        <v>9456</v>
      </c>
      <c r="AS657">
        <v>0.5</v>
      </c>
      <c r="AT657" t="s">
        <v>333</v>
      </c>
      <c r="AU657" t="s">
        <v>99</v>
      </c>
    </row>
    <row r="658" spans="1:47">
      <c r="A658" s="1">
        <f>HYPERLINK("https://cms.ls-nyc.org/matter/dynamic-profile/view/1879912","18-1879912")</f>
        <v>0</v>
      </c>
      <c r="B658" t="s">
        <v>89</v>
      </c>
      <c r="C658" t="s">
        <v>271</v>
      </c>
      <c r="E658" t="s">
        <v>1019</v>
      </c>
      <c r="F658" t="s">
        <v>1778</v>
      </c>
      <c r="G658" t="s">
        <v>4085</v>
      </c>
      <c r="H658" t="s">
        <v>5385</v>
      </c>
      <c r="I658" t="s">
        <v>6043</v>
      </c>
      <c r="J658">
        <v>11207</v>
      </c>
      <c r="K658" t="s">
        <v>6074</v>
      </c>
      <c r="L658" t="s">
        <v>6074</v>
      </c>
      <c r="N658" t="s">
        <v>7295</v>
      </c>
      <c r="O658" t="s">
        <v>7308</v>
      </c>
      <c r="Q658" t="s">
        <v>7322</v>
      </c>
      <c r="R658" t="s">
        <v>6074</v>
      </c>
      <c r="S658" t="s">
        <v>7324</v>
      </c>
      <c r="T658" t="s">
        <v>7336</v>
      </c>
      <c r="U658" t="s">
        <v>442</v>
      </c>
      <c r="V658">
        <v>1250</v>
      </c>
      <c r="W658" t="s">
        <v>7362</v>
      </c>
      <c r="X658" t="s">
        <v>7375</v>
      </c>
      <c r="Z658" t="s">
        <v>7818</v>
      </c>
      <c r="AA658" t="s">
        <v>9871</v>
      </c>
      <c r="AB658" t="s">
        <v>10744</v>
      </c>
      <c r="AC658">
        <v>6</v>
      </c>
      <c r="AD658" t="s">
        <v>12422</v>
      </c>
      <c r="AE658" t="s">
        <v>12440</v>
      </c>
      <c r="AF658">
        <v>7</v>
      </c>
      <c r="AG658">
        <v>1</v>
      </c>
      <c r="AH658">
        <v>1</v>
      </c>
      <c r="AI658">
        <v>45.52</v>
      </c>
      <c r="AL658" t="s">
        <v>12460</v>
      </c>
      <c r="AM658">
        <v>7492</v>
      </c>
      <c r="AN658" t="s">
        <v>12554</v>
      </c>
      <c r="AS658">
        <v>0.25</v>
      </c>
      <c r="AT658" t="s">
        <v>462</v>
      </c>
      <c r="AU658" t="s">
        <v>218</v>
      </c>
    </row>
    <row r="659" spans="1:47">
      <c r="A659" s="1">
        <f>HYPERLINK("https://cms.ls-nyc.org/matter/dynamic-profile/view/1879917","18-1879917")</f>
        <v>0</v>
      </c>
      <c r="B659" t="s">
        <v>89</v>
      </c>
      <c r="C659" t="s">
        <v>271</v>
      </c>
      <c r="E659" t="s">
        <v>1019</v>
      </c>
      <c r="F659" t="s">
        <v>1778</v>
      </c>
      <c r="G659" t="s">
        <v>4085</v>
      </c>
      <c r="H659" t="s">
        <v>5385</v>
      </c>
      <c r="I659" t="s">
        <v>6043</v>
      </c>
      <c r="J659">
        <v>11207</v>
      </c>
      <c r="K659" t="s">
        <v>6074</v>
      </c>
      <c r="L659" t="s">
        <v>6074</v>
      </c>
      <c r="N659" t="s">
        <v>7282</v>
      </c>
      <c r="O659" t="s">
        <v>7308</v>
      </c>
      <c r="Q659" t="s">
        <v>7322</v>
      </c>
      <c r="R659" t="s">
        <v>6074</v>
      </c>
      <c r="S659" t="s">
        <v>7324</v>
      </c>
      <c r="T659" t="s">
        <v>7336</v>
      </c>
      <c r="U659" t="s">
        <v>307</v>
      </c>
      <c r="V659">
        <v>1250</v>
      </c>
      <c r="W659" t="s">
        <v>7362</v>
      </c>
      <c r="X659" t="s">
        <v>7375</v>
      </c>
      <c r="Z659" t="s">
        <v>7818</v>
      </c>
      <c r="AA659" t="s">
        <v>9871</v>
      </c>
      <c r="AB659" t="s">
        <v>10744</v>
      </c>
      <c r="AC659">
        <v>6</v>
      </c>
      <c r="AD659" t="s">
        <v>12422</v>
      </c>
      <c r="AE659" t="s">
        <v>12440</v>
      </c>
      <c r="AF659">
        <v>7</v>
      </c>
      <c r="AG659">
        <v>1</v>
      </c>
      <c r="AH659">
        <v>1</v>
      </c>
      <c r="AI659">
        <v>45.52</v>
      </c>
      <c r="AL659" t="s">
        <v>12460</v>
      </c>
      <c r="AM659">
        <v>7492</v>
      </c>
      <c r="AN659" t="s">
        <v>12554</v>
      </c>
      <c r="AS659">
        <v>0.12</v>
      </c>
      <c r="AT659" t="s">
        <v>462</v>
      </c>
      <c r="AU659" t="s">
        <v>218</v>
      </c>
    </row>
    <row r="660" spans="1:47">
      <c r="A660" s="1">
        <f>HYPERLINK("https://cms.ls-nyc.org/matter/dynamic-profile/view/1879904","18-1879904")</f>
        <v>0</v>
      </c>
      <c r="B660" t="s">
        <v>89</v>
      </c>
      <c r="C660" t="s">
        <v>271</v>
      </c>
      <c r="E660" t="s">
        <v>1019</v>
      </c>
      <c r="F660" t="s">
        <v>1778</v>
      </c>
      <c r="G660" t="s">
        <v>4085</v>
      </c>
      <c r="H660" t="s">
        <v>5385</v>
      </c>
      <c r="I660" t="s">
        <v>6043</v>
      </c>
      <c r="J660">
        <v>11207</v>
      </c>
      <c r="K660" t="s">
        <v>6074</v>
      </c>
      <c r="L660" t="s">
        <v>6074</v>
      </c>
      <c r="N660" t="s">
        <v>7279</v>
      </c>
      <c r="O660" t="s">
        <v>7311</v>
      </c>
      <c r="Q660" t="s">
        <v>7322</v>
      </c>
      <c r="R660" t="s">
        <v>6074</v>
      </c>
      <c r="S660" t="s">
        <v>7324</v>
      </c>
      <c r="T660" t="s">
        <v>7336</v>
      </c>
      <c r="U660" t="s">
        <v>7344</v>
      </c>
      <c r="V660">
        <v>1250</v>
      </c>
      <c r="W660" t="s">
        <v>7362</v>
      </c>
      <c r="X660" t="s">
        <v>7375</v>
      </c>
      <c r="Z660" t="s">
        <v>7818</v>
      </c>
      <c r="AA660" t="s">
        <v>9871</v>
      </c>
      <c r="AB660" t="s">
        <v>10744</v>
      </c>
      <c r="AC660">
        <v>6</v>
      </c>
      <c r="AD660" t="s">
        <v>12422</v>
      </c>
      <c r="AE660" t="s">
        <v>12440</v>
      </c>
      <c r="AF660">
        <v>7</v>
      </c>
      <c r="AG660">
        <v>1</v>
      </c>
      <c r="AH660">
        <v>1</v>
      </c>
      <c r="AI660">
        <v>45.52</v>
      </c>
      <c r="AL660" t="s">
        <v>12460</v>
      </c>
      <c r="AM660">
        <v>7492</v>
      </c>
      <c r="AN660" t="s">
        <v>12554</v>
      </c>
      <c r="AS660">
        <v>0.25</v>
      </c>
      <c r="AT660" t="s">
        <v>462</v>
      </c>
      <c r="AU660" t="s">
        <v>218</v>
      </c>
    </row>
    <row r="661" spans="1:47">
      <c r="A661" s="1">
        <f>HYPERLINK("https://cms.ls-nyc.org/matter/dynamic-profile/view/1879910","18-1879910")</f>
        <v>0</v>
      </c>
      <c r="B661" t="s">
        <v>91</v>
      </c>
      <c r="C661" t="s">
        <v>271</v>
      </c>
      <c r="D661" t="s">
        <v>462</v>
      </c>
      <c r="E661" t="s">
        <v>1019</v>
      </c>
      <c r="F661" t="s">
        <v>1778</v>
      </c>
      <c r="G661" t="s">
        <v>4085</v>
      </c>
      <c r="H661" t="s">
        <v>5385</v>
      </c>
      <c r="I661" t="s">
        <v>6043</v>
      </c>
      <c r="J661">
        <v>11207</v>
      </c>
      <c r="K661" t="s">
        <v>6074</v>
      </c>
      <c r="L661" t="s">
        <v>6074</v>
      </c>
      <c r="N661" t="s">
        <v>7279</v>
      </c>
      <c r="O661" t="s">
        <v>7306</v>
      </c>
      <c r="P661" t="s">
        <v>7314</v>
      </c>
      <c r="Q661" t="s">
        <v>7322</v>
      </c>
      <c r="R661" t="s">
        <v>6074</v>
      </c>
      <c r="S661" t="s">
        <v>7324</v>
      </c>
      <c r="T661" t="s">
        <v>7336</v>
      </c>
      <c r="U661" t="s">
        <v>442</v>
      </c>
      <c r="V661">
        <v>1250</v>
      </c>
      <c r="W661" t="s">
        <v>7362</v>
      </c>
      <c r="X661" t="s">
        <v>7375</v>
      </c>
      <c r="Y661" t="s">
        <v>7386</v>
      </c>
      <c r="Z661" t="s">
        <v>7818</v>
      </c>
      <c r="AA661" t="s">
        <v>9871</v>
      </c>
      <c r="AB661" t="s">
        <v>10744</v>
      </c>
      <c r="AC661">
        <v>6</v>
      </c>
      <c r="AD661" t="s">
        <v>12422</v>
      </c>
      <c r="AE661" t="s">
        <v>12440</v>
      </c>
      <c r="AF661">
        <v>7</v>
      </c>
      <c r="AG661">
        <v>1</v>
      </c>
      <c r="AH661">
        <v>1</v>
      </c>
      <c r="AI661">
        <v>45.52</v>
      </c>
      <c r="AL661" t="s">
        <v>12460</v>
      </c>
      <c r="AM661">
        <v>7492</v>
      </c>
      <c r="AN661" t="s">
        <v>12554</v>
      </c>
      <c r="AS661">
        <v>0.25</v>
      </c>
      <c r="AT661" t="s">
        <v>462</v>
      </c>
      <c r="AU661" t="s">
        <v>218</v>
      </c>
    </row>
    <row r="662" spans="1:47">
      <c r="A662" s="1">
        <f>HYPERLINK("https://cms.ls-nyc.org/matter/dynamic-profile/view/1879893","18-1879893")</f>
        <v>0</v>
      </c>
      <c r="B662" t="s">
        <v>89</v>
      </c>
      <c r="C662" t="s">
        <v>271</v>
      </c>
      <c r="E662" t="s">
        <v>1019</v>
      </c>
      <c r="F662" t="s">
        <v>1778</v>
      </c>
      <c r="G662" t="s">
        <v>4085</v>
      </c>
      <c r="H662" t="s">
        <v>5385</v>
      </c>
      <c r="I662" t="s">
        <v>6043</v>
      </c>
      <c r="J662">
        <v>11207</v>
      </c>
      <c r="K662" t="s">
        <v>6074</v>
      </c>
      <c r="L662" t="s">
        <v>6074</v>
      </c>
      <c r="M662" t="s">
        <v>6104</v>
      </c>
      <c r="N662" t="s">
        <v>6104</v>
      </c>
      <c r="O662" t="s">
        <v>7307</v>
      </c>
      <c r="Q662" t="s">
        <v>7322</v>
      </c>
      <c r="R662" t="s">
        <v>6074</v>
      </c>
      <c r="S662" t="s">
        <v>7324</v>
      </c>
      <c r="T662" t="s">
        <v>7336</v>
      </c>
      <c r="U662" t="s">
        <v>442</v>
      </c>
      <c r="V662">
        <v>1250</v>
      </c>
      <c r="W662" t="s">
        <v>7362</v>
      </c>
      <c r="X662" t="s">
        <v>7375</v>
      </c>
      <c r="Z662" t="s">
        <v>7818</v>
      </c>
      <c r="AA662" t="s">
        <v>9871</v>
      </c>
      <c r="AB662" t="s">
        <v>10744</v>
      </c>
      <c r="AC662">
        <v>6</v>
      </c>
      <c r="AD662" t="s">
        <v>12422</v>
      </c>
      <c r="AE662" t="s">
        <v>12440</v>
      </c>
      <c r="AF662">
        <v>7</v>
      </c>
      <c r="AG662">
        <v>1</v>
      </c>
      <c r="AH662">
        <v>1</v>
      </c>
      <c r="AI662">
        <v>45.52</v>
      </c>
      <c r="AL662" t="s">
        <v>12460</v>
      </c>
      <c r="AM662">
        <v>7492</v>
      </c>
      <c r="AN662" t="s">
        <v>12554</v>
      </c>
      <c r="AS662">
        <v>0.18</v>
      </c>
      <c r="AT662" t="s">
        <v>462</v>
      </c>
      <c r="AU662" t="s">
        <v>218</v>
      </c>
    </row>
    <row r="663" spans="1:47">
      <c r="A663" s="1">
        <f>HYPERLINK("https://cms.ls-nyc.org/matter/dynamic-profile/view/1879900","18-1879900")</f>
        <v>0</v>
      </c>
      <c r="B663" t="s">
        <v>89</v>
      </c>
      <c r="C663" t="s">
        <v>271</v>
      </c>
      <c r="E663" t="s">
        <v>1019</v>
      </c>
      <c r="F663" t="s">
        <v>1778</v>
      </c>
      <c r="G663" t="s">
        <v>4085</v>
      </c>
      <c r="H663" t="s">
        <v>5385</v>
      </c>
      <c r="I663" t="s">
        <v>6043</v>
      </c>
      <c r="J663">
        <v>11207</v>
      </c>
      <c r="K663" t="s">
        <v>6074</v>
      </c>
      <c r="L663" t="s">
        <v>6074</v>
      </c>
      <c r="N663" t="s">
        <v>6104</v>
      </c>
      <c r="O663" t="s">
        <v>7309</v>
      </c>
      <c r="Q663" t="s">
        <v>7322</v>
      </c>
      <c r="R663" t="s">
        <v>6074</v>
      </c>
      <c r="S663" t="s">
        <v>7324</v>
      </c>
      <c r="T663" t="s">
        <v>7336</v>
      </c>
      <c r="U663" t="s">
        <v>7344</v>
      </c>
      <c r="V663">
        <v>1250</v>
      </c>
      <c r="W663" t="s">
        <v>7362</v>
      </c>
      <c r="X663" t="s">
        <v>7375</v>
      </c>
      <c r="Z663" t="s">
        <v>7818</v>
      </c>
      <c r="AA663" t="s">
        <v>9871</v>
      </c>
      <c r="AB663" t="s">
        <v>10744</v>
      </c>
      <c r="AC663">
        <v>6</v>
      </c>
      <c r="AD663" t="s">
        <v>12422</v>
      </c>
      <c r="AE663" t="s">
        <v>12440</v>
      </c>
      <c r="AF663">
        <v>7</v>
      </c>
      <c r="AG663">
        <v>1</v>
      </c>
      <c r="AH663">
        <v>1</v>
      </c>
      <c r="AI663">
        <v>45.52</v>
      </c>
      <c r="AL663" t="s">
        <v>12460</v>
      </c>
      <c r="AM663">
        <v>7492</v>
      </c>
      <c r="AN663" t="s">
        <v>12554</v>
      </c>
      <c r="AS663">
        <v>0.25</v>
      </c>
      <c r="AT663" t="s">
        <v>462</v>
      </c>
      <c r="AU663" t="s">
        <v>218</v>
      </c>
    </row>
    <row r="664" spans="1:47">
      <c r="A664" s="1">
        <f>HYPERLINK("https://cms.ls-nyc.org/matter/dynamic-profile/view/1868578","18-1868578")</f>
        <v>0</v>
      </c>
      <c r="B664" t="s">
        <v>60</v>
      </c>
      <c r="C664" t="s">
        <v>431</v>
      </c>
      <c r="D664" t="s">
        <v>250</v>
      </c>
      <c r="E664" t="s">
        <v>1020</v>
      </c>
      <c r="F664" t="s">
        <v>2472</v>
      </c>
      <c r="G664" t="s">
        <v>4118</v>
      </c>
      <c r="H664">
        <v>5</v>
      </c>
      <c r="I664" t="s">
        <v>6044</v>
      </c>
      <c r="J664">
        <v>11102</v>
      </c>
      <c r="K664" t="s">
        <v>6074</v>
      </c>
      <c r="L664" t="s">
        <v>6074</v>
      </c>
      <c r="M664" t="s">
        <v>6421</v>
      </c>
      <c r="N664" t="s">
        <v>7276</v>
      </c>
      <c r="O664" t="s">
        <v>7308</v>
      </c>
      <c r="P664" t="s">
        <v>7316</v>
      </c>
      <c r="Q664" t="s">
        <v>7322</v>
      </c>
      <c r="R664" t="s">
        <v>6076</v>
      </c>
      <c r="S664" t="s">
        <v>7324</v>
      </c>
      <c r="T664" t="s">
        <v>7336</v>
      </c>
      <c r="U664" t="s">
        <v>431</v>
      </c>
      <c r="V664">
        <v>1518.75</v>
      </c>
      <c r="W664" t="s">
        <v>7361</v>
      </c>
      <c r="X664" t="s">
        <v>7368</v>
      </c>
      <c r="Y664" t="s">
        <v>7388</v>
      </c>
      <c r="Z664" t="s">
        <v>7940</v>
      </c>
      <c r="AA664" t="s">
        <v>10018</v>
      </c>
      <c r="AB664" t="s">
        <v>10745</v>
      </c>
      <c r="AC664">
        <v>8</v>
      </c>
      <c r="AD664" t="s">
        <v>12422</v>
      </c>
      <c r="AE664" t="s">
        <v>6110</v>
      </c>
      <c r="AF664">
        <v>3</v>
      </c>
      <c r="AG664">
        <v>1</v>
      </c>
      <c r="AH664">
        <v>2</v>
      </c>
      <c r="AI664">
        <v>45.56</v>
      </c>
      <c r="AL664" t="s">
        <v>12462</v>
      </c>
      <c r="AM664">
        <v>9468</v>
      </c>
      <c r="AP664" t="s">
        <v>12868</v>
      </c>
      <c r="AQ664" t="s">
        <v>12909</v>
      </c>
      <c r="AR664" t="s">
        <v>12974</v>
      </c>
      <c r="AS664">
        <v>7.05</v>
      </c>
      <c r="AT664" t="s">
        <v>367</v>
      </c>
      <c r="AU664" t="s">
        <v>13124</v>
      </c>
    </row>
    <row r="665" spans="1:47">
      <c r="A665" s="1">
        <f>HYPERLINK("https://cms.ls-nyc.org/matter/dynamic-profile/view/1875102","18-1875102")</f>
        <v>0</v>
      </c>
      <c r="B665" t="s">
        <v>60</v>
      </c>
      <c r="C665" t="s">
        <v>427</v>
      </c>
      <c r="D665" t="s">
        <v>369</v>
      </c>
      <c r="E665" t="s">
        <v>1020</v>
      </c>
      <c r="F665" t="s">
        <v>2472</v>
      </c>
      <c r="G665" t="s">
        <v>4118</v>
      </c>
      <c r="H665">
        <v>5</v>
      </c>
      <c r="I665" t="s">
        <v>6044</v>
      </c>
      <c r="J665">
        <v>11102</v>
      </c>
      <c r="K665" t="s">
        <v>6074</v>
      </c>
      <c r="L665" t="s">
        <v>6074</v>
      </c>
      <c r="M665" t="s">
        <v>6422</v>
      </c>
      <c r="N665" t="s">
        <v>7276</v>
      </c>
      <c r="O665" t="s">
        <v>7308</v>
      </c>
      <c r="P665" t="s">
        <v>7316</v>
      </c>
      <c r="Q665" t="s">
        <v>7323</v>
      </c>
      <c r="R665" t="s">
        <v>6076</v>
      </c>
      <c r="S665" t="s">
        <v>7324</v>
      </c>
      <c r="T665" t="s">
        <v>7336</v>
      </c>
      <c r="U665" t="s">
        <v>427</v>
      </c>
      <c r="V665">
        <v>1518.75</v>
      </c>
      <c r="W665" t="s">
        <v>7361</v>
      </c>
      <c r="X665" t="s">
        <v>7369</v>
      </c>
      <c r="Y665" t="s">
        <v>7388</v>
      </c>
      <c r="Z665" t="s">
        <v>7940</v>
      </c>
      <c r="AA665" t="s">
        <v>10018</v>
      </c>
      <c r="AB665" t="s">
        <v>10745</v>
      </c>
      <c r="AC665">
        <v>8</v>
      </c>
      <c r="AD665" t="s">
        <v>12422</v>
      </c>
      <c r="AE665" t="s">
        <v>6110</v>
      </c>
      <c r="AF665">
        <v>3</v>
      </c>
      <c r="AG665">
        <v>1</v>
      </c>
      <c r="AH665">
        <v>2</v>
      </c>
      <c r="AI665">
        <v>45.56</v>
      </c>
      <c r="AJ665" t="s">
        <v>12443</v>
      </c>
      <c r="AK665" t="s">
        <v>12455</v>
      </c>
      <c r="AL665" t="s">
        <v>12462</v>
      </c>
      <c r="AM665">
        <v>9468</v>
      </c>
      <c r="AO665" t="s">
        <v>12845</v>
      </c>
      <c r="AP665" t="s">
        <v>12868</v>
      </c>
      <c r="AQ665" t="s">
        <v>12909</v>
      </c>
      <c r="AR665" t="s">
        <v>12975</v>
      </c>
      <c r="AS665">
        <v>20.18</v>
      </c>
      <c r="AT665" t="s">
        <v>369</v>
      </c>
      <c r="AU665" t="s">
        <v>52</v>
      </c>
    </row>
    <row r="666" spans="1:47">
      <c r="A666" s="1">
        <f>HYPERLINK("https://cms.ls-nyc.org/matter/dynamic-profile/view/1877592","18-1877592")</f>
        <v>0</v>
      </c>
      <c r="B666" t="s">
        <v>54</v>
      </c>
      <c r="C666" t="s">
        <v>372</v>
      </c>
      <c r="D666" t="s">
        <v>383</v>
      </c>
      <c r="E666" t="s">
        <v>577</v>
      </c>
      <c r="F666" t="s">
        <v>2473</v>
      </c>
      <c r="G666" t="s">
        <v>4119</v>
      </c>
      <c r="H666" t="s">
        <v>5563</v>
      </c>
      <c r="I666" t="s">
        <v>6056</v>
      </c>
      <c r="J666">
        <v>11375</v>
      </c>
      <c r="K666" t="s">
        <v>6074</v>
      </c>
      <c r="L666" t="s">
        <v>6074</v>
      </c>
      <c r="M666" t="s">
        <v>6423</v>
      </c>
      <c r="N666" t="s">
        <v>7274</v>
      </c>
      <c r="O666" t="s">
        <v>7306</v>
      </c>
      <c r="P666" t="s">
        <v>7314</v>
      </c>
      <c r="Q666" t="s">
        <v>7322</v>
      </c>
      <c r="R666" t="s">
        <v>6076</v>
      </c>
      <c r="S666" t="s">
        <v>7324</v>
      </c>
      <c r="T666" t="s">
        <v>7336</v>
      </c>
      <c r="U666" t="s">
        <v>383</v>
      </c>
      <c r="V666">
        <v>897.47</v>
      </c>
      <c r="W666" t="s">
        <v>7361</v>
      </c>
      <c r="X666" t="s">
        <v>7366</v>
      </c>
      <c r="Y666" t="s">
        <v>7386</v>
      </c>
      <c r="Z666" t="s">
        <v>7941</v>
      </c>
      <c r="AA666" t="s">
        <v>10019</v>
      </c>
      <c r="AB666" t="s">
        <v>10746</v>
      </c>
      <c r="AC666">
        <v>105</v>
      </c>
      <c r="AD666" t="s">
        <v>12422</v>
      </c>
      <c r="AE666" t="s">
        <v>6110</v>
      </c>
      <c r="AF666">
        <v>20</v>
      </c>
      <c r="AG666">
        <v>2</v>
      </c>
      <c r="AH666">
        <v>0</v>
      </c>
      <c r="AI666">
        <v>45.57</v>
      </c>
      <c r="AL666" t="s">
        <v>12460</v>
      </c>
      <c r="AM666">
        <v>7500</v>
      </c>
      <c r="AS666">
        <v>1.1</v>
      </c>
      <c r="AT666" t="s">
        <v>383</v>
      </c>
      <c r="AU666" t="s">
        <v>48</v>
      </c>
    </row>
    <row r="667" spans="1:47">
      <c r="A667" s="1">
        <f>HYPERLINK("https://cms.ls-nyc.org/matter/dynamic-profile/view/1874990","18-1874990")</f>
        <v>0</v>
      </c>
      <c r="B667" t="s">
        <v>130</v>
      </c>
      <c r="C667" t="s">
        <v>262</v>
      </c>
      <c r="E667" t="s">
        <v>767</v>
      </c>
      <c r="F667" t="s">
        <v>1647</v>
      </c>
      <c r="G667" t="s">
        <v>4120</v>
      </c>
      <c r="H667">
        <v>3</v>
      </c>
      <c r="I667" t="s">
        <v>6049</v>
      </c>
      <c r="J667">
        <v>10034</v>
      </c>
      <c r="K667" t="s">
        <v>6074</v>
      </c>
      <c r="L667" t="s">
        <v>6074</v>
      </c>
      <c r="N667" t="s">
        <v>7273</v>
      </c>
      <c r="O667" t="s">
        <v>7306</v>
      </c>
      <c r="Q667" t="s">
        <v>7322</v>
      </c>
      <c r="R667" t="s">
        <v>6076</v>
      </c>
      <c r="S667" t="s">
        <v>7324</v>
      </c>
      <c r="U667" t="s">
        <v>262</v>
      </c>
      <c r="V667">
        <v>865.62</v>
      </c>
      <c r="W667" t="s">
        <v>7365</v>
      </c>
      <c r="X667" t="s">
        <v>7368</v>
      </c>
      <c r="Z667" t="s">
        <v>7942</v>
      </c>
      <c r="AB667" t="s">
        <v>10747</v>
      </c>
      <c r="AC667">
        <v>29</v>
      </c>
      <c r="AD667" t="s">
        <v>12422</v>
      </c>
      <c r="AE667" t="s">
        <v>6110</v>
      </c>
      <c r="AF667">
        <v>38</v>
      </c>
      <c r="AG667">
        <v>3</v>
      </c>
      <c r="AH667">
        <v>0</v>
      </c>
      <c r="AI667">
        <v>45.62</v>
      </c>
      <c r="AL667" t="s">
        <v>12461</v>
      </c>
      <c r="AM667">
        <v>9480</v>
      </c>
      <c r="AS667">
        <v>0.9</v>
      </c>
      <c r="AT667" t="s">
        <v>245</v>
      </c>
      <c r="AU667" t="s">
        <v>13106</v>
      </c>
    </row>
    <row r="668" spans="1:47">
      <c r="A668" s="1">
        <f>HYPERLINK("https://cms.ls-nyc.org/matter/dynamic-profile/view/1881219","18-1881219")</f>
        <v>0</v>
      </c>
      <c r="B668" t="s">
        <v>130</v>
      </c>
      <c r="C668" t="s">
        <v>240</v>
      </c>
      <c r="E668" t="s">
        <v>767</v>
      </c>
      <c r="F668" t="s">
        <v>1647</v>
      </c>
      <c r="G668" t="s">
        <v>4120</v>
      </c>
      <c r="H668">
        <v>3</v>
      </c>
      <c r="I668" t="s">
        <v>6049</v>
      </c>
      <c r="J668">
        <v>10034</v>
      </c>
      <c r="K668" t="s">
        <v>6074</v>
      </c>
      <c r="L668" t="s">
        <v>6074</v>
      </c>
      <c r="N668" t="s">
        <v>7276</v>
      </c>
      <c r="O668" t="s">
        <v>7306</v>
      </c>
      <c r="Q668" t="s">
        <v>7322</v>
      </c>
      <c r="R668" t="s">
        <v>6076</v>
      </c>
      <c r="S668" t="s">
        <v>7324</v>
      </c>
      <c r="U668" t="s">
        <v>240</v>
      </c>
      <c r="V668">
        <v>865.62</v>
      </c>
      <c r="W668" t="s">
        <v>7365</v>
      </c>
      <c r="X668" t="s">
        <v>7368</v>
      </c>
      <c r="Z668" t="s">
        <v>7942</v>
      </c>
      <c r="AB668" t="s">
        <v>10747</v>
      </c>
      <c r="AC668">
        <v>29</v>
      </c>
      <c r="AD668" t="s">
        <v>12422</v>
      </c>
      <c r="AE668" t="s">
        <v>6110</v>
      </c>
      <c r="AF668">
        <v>38</v>
      </c>
      <c r="AG668">
        <v>3</v>
      </c>
      <c r="AH668">
        <v>0</v>
      </c>
      <c r="AI668">
        <v>45.62</v>
      </c>
      <c r="AL668" t="s">
        <v>12461</v>
      </c>
      <c r="AM668">
        <v>9480</v>
      </c>
      <c r="AS668">
        <v>0</v>
      </c>
      <c r="AU668" t="s">
        <v>13106</v>
      </c>
    </row>
    <row r="669" spans="1:47">
      <c r="A669" s="1">
        <f>HYPERLINK("https://cms.ls-nyc.org/matter/dynamic-profile/view/1880865","18-1880865")</f>
        <v>0</v>
      </c>
      <c r="B669" t="s">
        <v>96</v>
      </c>
      <c r="C669" t="s">
        <v>333</v>
      </c>
      <c r="E669" t="s">
        <v>800</v>
      </c>
      <c r="F669" t="s">
        <v>2474</v>
      </c>
      <c r="G669" t="s">
        <v>4121</v>
      </c>
      <c r="H669" t="s">
        <v>5564</v>
      </c>
      <c r="I669" t="s">
        <v>6047</v>
      </c>
      <c r="J669">
        <v>10463</v>
      </c>
      <c r="K669" t="s">
        <v>6074</v>
      </c>
      <c r="L669" t="s">
        <v>6074</v>
      </c>
      <c r="N669" t="s">
        <v>7279</v>
      </c>
      <c r="O669" t="s">
        <v>7307</v>
      </c>
      <c r="Q669" t="s">
        <v>7322</v>
      </c>
      <c r="S669" t="s">
        <v>7324</v>
      </c>
      <c r="U669" t="s">
        <v>333</v>
      </c>
      <c r="V669">
        <v>0</v>
      </c>
      <c r="W669" t="s">
        <v>7363</v>
      </c>
      <c r="Z669" t="s">
        <v>7943</v>
      </c>
      <c r="AB669" t="s">
        <v>10748</v>
      </c>
      <c r="AC669">
        <v>0</v>
      </c>
      <c r="AF669">
        <v>0</v>
      </c>
      <c r="AG669">
        <v>2</v>
      </c>
      <c r="AH669">
        <v>0</v>
      </c>
      <c r="AI669">
        <v>45.86</v>
      </c>
      <c r="AL669" t="s">
        <v>12460</v>
      </c>
      <c r="AM669">
        <v>7548</v>
      </c>
      <c r="AS669">
        <v>1</v>
      </c>
      <c r="AT669" t="s">
        <v>333</v>
      </c>
      <c r="AU669" t="s">
        <v>99</v>
      </c>
    </row>
    <row r="670" spans="1:47">
      <c r="A670" s="1">
        <f>HYPERLINK("https://cms.ls-nyc.org/matter/dynamic-profile/view/1890203","19-1890203")</f>
        <v>0</v>
      </c>
      <c r="B670" t="s">
        <v>78</v>
      </c>
      <c r="C670" t="s">
        <v>330</v>
      </c>
      <c r="D670" t="s">
        <v>395</v>
      </c>
      <c r="E670" t="s">
        <v>638</v>
      </c>
      <c r="F670" t="s">
        <v>2475</v>
      </c>
      <c r="G670" t="s">
        <v>4122</v>
      </c>
      <c r="H670">
        <v>1</v>
      </c>
      <c r="I670" t="s">
        <v>6043</v>
      </c>
      <c r="J670">
        <v>11233</v>
      </c>
      <c r="K670" t="s">
        <v>6074</v>
      </c>
      <c r="L670" t="s">
        <v>6074</v>
      </c>
      <c r="M670" t="s">
        <v>6424</v>
      </c>
      <c r="N670" t="s">
        <v>7274</v>
      </c>
      <c r="O670" t="s">
        <v>7307</v>
      </c>
      <c r="P670" t="s">
        <v>7315</v>
      </c>
      <c r="Q670" t="s">
        <v>7322</v>
      </c>
      <c r="R670" t="s">
        <v>6076</v>
      </c>
      <c r="S670" t="s">
        <v>7324</v>
      </c>
      <c r="T670" t="s">
        <v>7336</v>
      </c>
      <c r="U670" t="s">
        <v>359</v>
      </c>
      <c r="V670">
        <v>650</v>
      </c>
      <c r="W670" t="s">
        <v>7362</v>
      </c>
      <c r="X670" t="s">
        <v>7378</v>
      </c>
      <c r="Y670" t="s">
        <v>7390</v>
      </c>
      <c r="Z670" t="s">
        <v>7944</v>
      </c>
      <c r="AB670" t="s">
        <v>10749</v>
      </c>
      <c r="AC670">
        <v>5</v>
      </c>
      <c r="AD670" t="s">
        <v>12419</v>
      </c>
      <c r="AE670" t="s">
        <v>6110</v>
      </c>
      <c r="AF670">
        <v>3</v>
      </c>
      <c r="AG670">
        <v>2</v>
      </c>
      <c r="AH670">
        <v>0</v>
      </c>
      <c r="AI670">
        <v>46.13</v>
      </c>
      <c r="AL670" t="s">
        <v>12460</v>
      </c>
      <c r="AM670">
        <v>7800</v>
      </c>
      <c r="AR670" t="s">
        <v>12976</v>
      </c>
      <c r="AS670">
        <v>1.8</v>
      </c>
      <c r="AT670" t="s">
        <v>359</v>
      </c>
      <c r="AU670" t="s">
        <v>218</v>
      </c>
    </row>
    <row r="671" spans="1:47">
      <c r="A671" s="1">
        <f>HYPERLINK("https://cms.ls-nyc.org/matter/dynamic-profile/view/1890420","19-1890420")</f>
        <v>0</v>
      </c>
      <c r="B671" t="s">
        <v>112</v>
      </c>
      <c r="C671" t="s">
        <v>326</v>
      </c>
      <c r="E671" t="s">
        <v>1021</v>
      </c>
      <c r="F671" t="s">
        <v>2476</v>
      </c>
      <c r="G671" t="s">
        <v>3793</v>
      </c>
      <c r="H671" t="s">
        <v>5565</v>
      </c>
      <c r="I671" t="s">
        <v>6047</v>
      </c>
      <c r="J671">
        <v>10453</v>
      </c>
      <c r="K671" t="s">
        <v>6074</v>
      </c>
      <c r="L671" t="s">
        <v>6074</v>
      </c>
      <c r="M671" t="s">
        <v>6194</v>
      </c>
      <c r="N671" t="s">
        <v>7273</v>
      </c>
      <c r="O671" t="s">
        <v>7308</v>
      </c>
      <c r="Q671" t="s">
        <v>7322</v>
      </c>
      <c r="R671" t="s">
        <v>6074</v>
      </c>
      <c r="S671" t="s">
        <v>7324</v>
      </c>
      <c r="U671" t="s">
        <v>457</v>
      </c>
      <c r="V671">
        <v>713.8</v>
      </c>
      <c r="W671" t="s">
        <v>7363</v>
      </c>
      <c r="X671" t="s">
        <v>7376</v>
      </c>
      <c r="Z671" t="s">
        <v>7945</v>
      </c>
      <c r="AB671" t="s">
        <v>10750</v>
      </c>
      <c r="AC671">
        <v>44</v>
      </c>
      <c r="AD671" t="s">
        <v>12422</v>
      </c>
      <c r="AE671" t="s">
        <v>6110</v>
      </c>
      <c r="AF671">
        <v>28</v>
      </c>
      <c r="AG671">
        <v>2</v>
      </c>
      <c r="AH671">
        <v>0</v>
      </c>
      <c r="AI671">
        <v>46.13</v>
      </c>
      <c r="AL671" t="s">
        <v>12461</v>
      </c>
      <c r="AM671">
        <v>7800</v>
      </c>
      <c r="AS671">
        <v>0</v>
      </c>
      <c r="AU671" t="s">
        <v>13095</v>
      </c>
    </row>
    <row r="672" spans="1:47">
      <c r="A672" s="1">
        <f>HYPERLINK("https://cms.ls-nyc.org/matter/dynamic-profile/view/1890415","19-1890415")</f>
        <v>0</v>
      </c>
      <c r="B672" t="s">
        <v>112</v>
      </c>
      <c r="C672" t="s">
        <v>326</v>
      </c>
      <c r="E672" t="s">
        <v>1021</v>
      </c>
      <c r="F672" t="s">
        <v>2476</v>
      </c>
      <c r="G672" t="s">
        <v>3793</v>
      </c>
      <c r="H672" t="s">
        <v>5565</v>
      </c>
      <c r="I672" t="s">
        <v>6047</v>
      </c>
      <c r="J672">
        <v>10453</v>
      </c>
      <c r="K672" t="s">
        <v>6074</v>
      </c>
      <c r="L672" t="s">
        <v>6074</v>
      </c>
      <c r="N672" t="s">
        <v>6104</v>
      </c>
      <c r="O672" t="s">
        <v>7309</v>
      </c>
      <c r="Q672" t="s">
        <v>7322</v>
      </c>
      <c r="R672" t="s">
        <v>6074</v>
      </c>
      <c r="S672" t="s">
        <v>7324</v>
      </c>
      <c r="U672" t="s">
        <v>457</v>
      </c>
      <c r="V672">
        <v>713.8</v>
      </c>
      <c r="W672" t="s">
        <v>7363</v>
      </c>
      <c r="X672" t="s">
        <v>7376</v>
      </c>
      <c r="Z672" t="s">
        <v>7945</v>
      </c>
      <c r="AB672" t="s">
        <v>10750</v>
      </c>
      <c r="AC672">
        <v>44</v>
      </c>
      <c r="AD672" t="s">
        <v>12422</v>
      </c>
      <c r="AE672" t="s">
        <v>6110</v>
      </c>
      <c r="AF672">
        <v>28</v>
      </c>
      <c r="AG672">
        <v>2</v>
      </c>
      <c r="AH672">
        <v>0</v>
      </c>
      <c r="AI672">
        <v>46.13</v>
      </c>
      <c r="AL672" t="s">
        <v>12461</v>
      </c>
      <c r="AM672">
        <v>7800</v>
      </c>
      <c r="AS672">
        <v>0</v>
      </c>
      <c r="AU672" t="s">
        <v>13095</v>
      </c>
    </row>
    <row r="673" spans="1:48">
      <c r="A673" s="1">
        <f>HYPERLINK("https://cms.ls-nyc.org/matter/dynamic-profile/view/1878564","18-1878564")</f>
        <v>0</v>
      </c>
      <c r="B673" t="s">
        <v>172</v>
      </c>
      <c r="C673" t="s">
        <v>255</v>
      </c>
      <c r="D673" t="s">
        <v>326</v>
      </c>
      <c r="E673" t="s">
        <v>1022</v>
      </c>
      <c r="F673" t="s">
        <v>1843</v>
      </c>
      <c r="G673" t="s">
        <v>4123</v>
      </c>
      <c r="H673" t="s">
        <v>5418</v>
      </c>
      <c r="I673" t="s">
        <v>6047</v>
      </c>
      <c r="J673">
        <v>10468</v>
      </c>
      <c r="K673" t="s">
        <v>6074</v>
      </c>
      <c r="L673" t="s">
        <v>6074</v>
      </c>
      <c r="N673" t="s">
        <v>6104</v>
      </c>
      <c r="O673" t="s">
        <v>7306</v>
      </c>
      <c r="P673" t="s">
        <v>7314</v>
      </c>
      <c r="Q673" t="s">
        <v>7323</v>
      </c>
      <c r="R673" t="s">
        <v>6076</v>
      </c>
      <c r="S673" t="s">
        <v>7324</v>
      </c>
      <c r="U673" t="s">
        <v>255</v>
      </c>
      <c r="V673">
        <v>1175</v>
      </c>
      <c r="W673" t="s">
        <v>7363</v>
      </c>
      <c r="X673" t="s">
        <v>7369</v>
      </c>
      <c r="Y673" t="s">
        <v>7386</v>
      </c>
      <c r="Z673" t="s">
        <v>7946</v>
      </c>
      <c r="AB673" t="s">
        <v>10751</v>
      </c>
      <c r="AC673">
        <v>76</v>
      </c>
      <c r="AD673" t="s">
        <v>12422</v>
      </c>
      <c r="AE673" t="s">
        <v>6110</v>
      </c>
      <c r="AF673">
        <v>6</v>
      </c>
      <c r="AG673">
        <v>3</v>
      </c>
      <c r="AH673">
        <v>0</v>
      </c>
      <c r="AI673">
        <v>46.2</v>
      </c>
      <c r="AJ673" t="s">
        <v>12443</v>
      </c>
      <c r="AK673" t="s">
        <v>12455</v>
      </c>
      <c r="AL673" t="s">
        <v>12460</v>
      </c>
      <c r="AM673">
        <v>9600</v>
      </c>
      <c r="AS673">
        <v>1.5</v>
      </c>
      <c r="AT673" t="s">
        <v>462</v>
      </c>
      <c r="AU673" t="s">
        <v>172</v>
      </c>
    </row>
    <row r="674" spans="1:48">
      <c r="A674" s="1">
        <f>HYPERLINK("https://cms.ls-nyc.org/matter/dynamic-profile/view/1895214","19-1895214")</f>
        <v>0</v>
      </c>
      <c r="B674" t="s">
        <v>86</v>
      </c>
      <c r="C674" t="s">
        <v>322</v>
      </c>
      <c r="E674" t="s">
        <v>1023</v>
      </c>
      <c r="F674" t="s">
        <v>2477</v>
      </c>
      <c r="G674" t="s">
        <v>4124</v>
      </c>
      <c r="H674" t="s">
        <v>5436</v>
      </c>
      <c r="I674" t="s">
        <v>6043</v>
      </c>
      <c r="J674">
        <v>11233</v>
      </c>
      <c r="K674" t="s">
        <v>6074</v>
      </c>
      <c r="L674" t="s">
        <v>6074</v>
      </c>
      <c r="M674" t="s">
        <v>6110</v>
      </c>
      <c r="N674" t="s">
        <v>7280</v>
      </c>
      <c r="O674" t="s">
        <v>7309</v>
      </c>
      <c r="Q674" t="s">
        <v>7322</v>
      </c>
      <c r="R674" t="s">
        <v>6076</v>
      </c>
      <c r="S674" t="s">
        <v>7327</v>
      </c>
      <c r="T674" t="s">
        <v>7336</v>
      </c>
      <c r="U674" t="s">
        <v>234</v>
      </c>
      <c r="V674">
        <v>1113</v>
      </c>
      <c r="W674" t="s">
        <v>7362</v>
      </c>
      <c r="X674" t="s">
        <v>7368</v>
      </c>
      <c r="Z674" t="s">
        <v>7947</v>
      </c>
      <c r="AA674" t="s">
        <v>10020</v>
      </c>
      <c r="AB674" t="s">
        <v>10752</v>
      </c>
      <c r="AC674">
        <v>66</v>
      </c>
      <c r="AD674" t="s">
        <v>12431</v>
      </c>
      <c r="AE674" t="s">
        <v>12438</v>
      </c>
      <c r="AF674">
        <v>1</v>
      </c>
      <c r="AG674">
        <v>1</v>
      </c>
      <c r="AH674">
        <v>2</v>
      </c>
      <c r="AI674">
        <v>46.21</v>
      </c>
      <c r="AL674" t="s">
        <v>12460</v>
      </c>
      <c r="AM674">
        <v>9857</v>
      </c>
      <c r="AS674">
        <v>7.25</v>
      </c>
      <c r="AT674" t="s">
        <v>496</v>
      </c>
      <c r="AU674" t="s">
        <v>218</v>
      </c>
    </row>
    <row r="675" spans="1:48">
      <c r="A675" s="1">
        <f>HYPERLINK("https://cms.ls-nyc.org/matter/dynamic-profile/view/1874758","18-1874758")</f>
        <v>0</v>
      </c>
      <c r="B675" t="s">
        <v>161</v>
      </c>
      <c r="C675" t="s">
        <v>378</v>
      </c>
      <c r="D675" t="s">
        <v>337</v>
      </c>
      <c r="E675" t="s">
        <v>1024</v>
      </c>
      <c r="F675" t="s">
        <v>2190</v>
      </c>
      <c r="G675" t="s">
        <v>4125</v>
      </c>
      <c r="H675" t="s">
        <v>5566</v>
      </c>
      <c r="I675" t="s">
        <v>6049</v>
      </c>
      <c r="J675">
        <v>10035</v>
      </c>
      <c r="K675" t="s">
        <v>6074</v>
      </c>
      <c r="L675" t="s">
        <v>6074</v>
      </c>
      <c r="N675" t="s">
        <v>6104</v>
      </c>
      <c r="O675" t="s">
        <v>7306</v>
      </c>
      <c r="P675" t="s">
        <v>7314</v>
      </c>
      <c r="Q675" t="s">
        <v>7322</v>
      </c>
      <c r="R675" t="s">
        <v>6076</v>
      </c>
      <c r="S675" t="s">
        <v>7324</v>
      </c>
      <c r="T675" t="s">
        <v>7336</v>
      </c>
      <c r="U675" t="s">
        <v>290</v>
      </c>
      <c r="V675">
        <v>1600</v>
      </c>
      <c r="W675" t="s">
        <v>7365</v>
      </c>
      <c r="X675" t="s">
        <v>7368</v>
      </c>
      <c r="Y675" t="s">
        <v>7386</v>
      </c>
      <c r="Z675" t="s">
        <v>7873</v>
      </c>
      <c r="AC675">
        <v>3</v>
      </c>
      <c r="AD675" t="s">
        <v>6322</v>
      </c>
      <c r="AE675" t="s">
        <v>6110</v>
      </c>
      <c r="AF675">
        <v>7</v>
      </c>
      <c r="AG675">
        <v>4</v>
      </c>
      <c r="AH675">
        <v>2</v>
      </c>
      <c r="AI675">
        <v>46.24</v>
      </c>
      <c r="AL675" t="s">
        <v>12461</v>
      </c>
      <c r="AM675">
        <v>15600</v>
      </c>
      <c r="AS675">
        <v>2.6</v>
      </c>
      <c r="AT675" t="s">
        <v>250</v>
      </c>
      <c r="AU675" t="s">
        <v>13091</v>
      </c>
    </row>
    <row r="676" spans="1:48">
      <c r="A676" s="1">
        <f>HYPERLINK("https://cms.ls-nyc.org/matter/dynamic-profile/view/1884676","18-1884676")</f>
        <v>0</v>
      </c>
      <c r="B676" t="s">
        <v>119</v>
      </c>
      <c r="C676" t="s">
        <v>456</v>
      </c>
      <c r="E676" t="s">
        <v>1025</v>
      </c>
      <c r="F676" t="s">
        <v>2478</v>
      </c>
      <c r="G676" t="s">
        <v>4126</v>
      </c>
      <c r="H676" t="s">
        <v>5373</v>
      </c>
      <c r="I676" t="s">
        <v>6048</v>
      </c>
      <c r="J676">
        <v>10304</v>
      </c>
      <c r="K676" t="s">
        <v>6074</v>
      </c>
      <c r="L676" t="s">
        <v>6074</v>
      </c>
      <c r="M676" t="s">
        <v>6425</v>
      </c>
      <c r="N676" t="s">
        <v>7276</v>
      </c>
      <c r="O676" t="s">
        <v>7308</v>
      </c>
      <c r="Q676" t="s">
        <v>7322</v>
      </c>
      <c r="R676" t="s">
        <v>6076</v>
      </c>
      <c r="S676" t="s">
        <v>7331</v>
      </c>
      <c r="T676" t="s">
        <v>7338</v>
      </c>
      <c r="U676" t="s">
        <v>456</v>
      </c>
      <c r="V676">
        <v>1300</v>
      </c>
      <c r="W676" t="s">
        <v>7364</v>
      </c>
      <c r="X676" t="s">
        <v>7373</v>
      </c>
      <c r="Z676" t="s">
        <v>7948</v>
      </c>
      <c r="AB676" t="s">
        <v>10753</v>
      </c>
      <c r="AC676">
        <v>115</v>
      </c>
      <c r="AD676" t="s">
        <v>12420</v>
      </c>
      <c r="AE676" t="s">
        <v>12434</v>
      </c>
      <c r="AF676">
        <v>18</v>
      </c>
      <c r="AG676">
        <v>2</v>
      </c>
      <c r="AH676">
        <v>0</v>
      </c>
      <c r="AI676">
        <v>46.29</v>
      </c>
      <c r="AL676" t="s">
        <v>12460</v>
      </c>
      <c r="AM676">
        <v>7620</v>
      </c>
      <c r="AS676">
        <v>4.75</v>
      </c>
      <c r="AT676" t="s">
        <v>252</v>
      </c>
      <c r="AU676" t="s">
        <v>188</v>
      </c>
    </row>
    <row r="677" spans="1:48">
      <c r="A677" s="1">
        <f>HYPERLINK("https://cms.ls-nyc.org/matter/dynamic-profile/view/1878616","18-1878616")</f>
        <v>0</v>
      </c>
      <c r="B677" t="s">
        <v>77</v>
      </c>
      <c r="C677" t="s">
        <v>299</v>
      </c>
      <c r="D677" t="s">
        <v>266</v>
      </c>
      <c r="E677" t="s">
        <v>1026</v>
      </c>
      <c r="F677" t="s">
        <v>1209</v>
      </c>
      <c r="G677" t="s">
        <v>4127</v>
      </c>
      <c r="H677">
        <v>2</v>
      </c>
      <c r="I677" t="s">
        <v>6043</v>
      </c>
      <c r="J677">
        <v>11212</v>
      </c>
      <c r="K677" t="s">
        <v>6074</v>
      </c>
      <c r="L677" t="s">
        <v>6074</v>
      </c>
      <c r="M677" t="s">
        <v>6426</v>
      </c>
      <c r="N677" t="s">
        <v>7276</v>
      </c>
      <c r="O677" t="s">
        <v>7306</v>
      </c>
      <c r="P677" t="s">
        <v>7314</v>
      </c>
      <c r="Q677" t="s">
        <v>7322</v>
      </c>
      <c r="R677" t="s">
        <v>6076</v>
      </c>
      <c r="S677" t="s">
        <v>7324</v>
      </c>
      <c r="U677" t="s">
        <v>299</v>
      </c>
      <c r="V677">
        <v>1956</v>
      </c>
      <c r="W677" t="s">
        <v>7362</v>
      </c>
      <c r="X677" t="s">
        <v>7383</v>
      </c>
      <c r="Y677" t="s">
        <v>7386</v>
      </c>
      <c r="Z677" t="s">
        <v>7949</v>
      </c>
      <c r="AA677" t="s">
        <v>10021</v>
      </c>
      <c r="AB677" t="s">
        <v>10754</v>
      </c>
      <c r="AC677">
        <v>3</v>
      </c>
      <c r="AD677" t="s">
        <v>6322</v>
      </c>
      <c r="AE677" t="s">
        <v>12438</v>
      </c>
      <c r="AF677">
        <v>2</v>
      </c>
      <c r="AG677">
        <v>1</v>
      </c>
      <c r="AH677">
        <v>3</v>
      </c>
      <c r="AI677">
        <v>46.37</v>
      </c>
      <c r="AL677" t="s">
        <v>12460</v>
      </c>
      <c r="AM677">
        <v>11640</v>
      </c>
      <c r="AS677">
        <v>3.5</v>
      </c>
      <c r="AT677" t="s">
        <v>426</v>
      </c>
      <c r="AU677" t="s">
        <v>13079</v>
      </c>
    </row>
    <row r="678" spans="1:48">
      <c r="A678" s="1">
        <f>HYPERLINK("https://cms.ls-nyc.org/matter/dynamic-profile/view/1878934","18-1878934")</f>
        <v>0</v>
      </c>
      <c r="B678" t="s">
        <v>133</v>
      </c>
      <c r="C678" t="s">
        <v>438</v>
      </c>
      <c r="E678" t="s">
        <v>586</v>
      </c>
      <c r="F678" t="s">
        <v>2173</v>
      </c>
      <c r="G678" t="s">
        <v>4128</v>
      </c>
      <c r="H678" t="s">
        <v>5567</v>
      </c>
      <c r="I678" t="s">
        <v>6049</v>
      </c>
      <c r="J678">
        <v>10040</v>
      </c>
      <c r="K678" t="s">
        <v>6074</v>
      </c>
      <c r="L678" t="s">
        <v>6074</v>
      </c>
      <c r="N678" t="s">
        <v>7279</v>
      </c>
      <c r="O678" t="s">
        <v>7308</v>
      </c>
      <c r="Q678" t="s">
        <v>7322</v>
      </c>
      <c r="R678" t="s">
        <v>6074</v>
      </c>
      <c r="S678" t="s">
        <v>7324</v>
      </c>
      <c r="U678" t="s">
        <v>438</v>
      </c>
      <c r="V678">
        <v>102536</v>
      </c>
      <c r="W678" t="s">
        <v>7365</v>
      </c>
      <c r="X678" t="s">
        <v>7375</v>
      </c>
      <c r="Z678" t="s">
        <v>7950</v>
      </c>
      <c r="AB678" t="s">
        <v>10755</v>
      </c>
      <c r="AC678">
        <v>88</v>
      </c>
      <c r="AD678" t="s">
        <v>12422</v>
      </c>
      <c r="AE678" t="s">
        <v>12441</v>
      </c>
      <c r="AF678">
        <v>26</v>
      </c>
      <c r="AG678">
        <v>1</v>
      </c>
      <c r="AH678">
        <v>0</v>
      </c>
      <c r="AI678">
        <v>46.46</v>
      </c>
      <c r="AL678" t="s">
        <v>12461</v>
      </c>
      <c r="AM678">
        <v>5640</v>
      </c>
      <c r="AS678">
        <v>0</v>
      </c>
      <c r="AU678" t="s">
        <v>13106</v>
      </c>
    </row>
    <row r="679" spans="1:48">
      <c r="A679" s="1">
        <f>HYPERLINK("https://cms.ls-nyc.org/matter/dynamic-profile/view/1887372","19-1887372")</f>
        <v>0</v>
      </c>
      <c r="B679" t="s">
        <v>128</v>
      </c>
      <c r="C679" t="s">
        <v>267</v>
      </c>
      <c r="D679" t="s">
        <v>267</v>
      </c>
      <c r="E679" t="s">
        <v>1027</v>
      </c>
      <c r="F679" t="s">
        <v>2479</v>
      </c>
      <c r="G679" t="s">
        <v>4129</v>
      </c>
      <c r="H679">
        <v>25</v>
      </c>
      <c r="I679" t="s">
        <v>6049</v>
      </c>
      <c r="J679">
        <v>10034</v>
      </c>
      <c r="K679" t="s">
        <v>6074</v>
      </c>
      <c r="L679" t="s">
        <v>6074</v>
      </c>
      <c r="N679" t="s">
        <v>7278</v>
      </c>
      <c r="O679" t="s">
        <v>7306</v>
      </c>
      <c r="P679" t="s">
        <v>7314</v>
      </c>
      <c r="Q679" t="s">
        <v>7322</v>
      </c>
      <c r="R679" t="s">
        <v>6076</v>
      </c>
      <c r="S679" t="s">
        <v>7324</v>
      </c>
      <c r="U679" t="s">
        <v>267</v>
      </c>
      <c r="V679">
        <v>1008.29</v>
      </c>
      <c r="W679" t="s">
        <v>7365</v>
      </c>
      <c r="X679" t="s">
        <v>7367</v>
      </c>
      <c r="Y679" t="s">
        <v>7386</v>
      </c>
      <c r="Z679" t="s">
        <v>7951</v>
      </c>
      <c r="AB679" t="s">
        <v>10756</v>
      </c>
      <c r="AC679">
        <v>25</v>
      </c>
      <c r="AD679" t="s">
        <v>12422</v>
      </c>
      <c r="AE679" t="s">
        <v>6110</v>
      </c>
      <c r="AF679">
        <v>25</v>
      </c>
      <c r="AG679">
        <v>4</v>
      </c>
      <c r="AH679">
        <v>0</v>
      </c>
      <c r="AI679">
        <v>46.49</v>
      </c>
      <c r="AL679" t="s">
        <v>12461</v>
      </c>
      <c r="AM679">
        <v>11668.28</v>
      </c>
      <c r="AS679">
        <v>1.82</v>
      </c>
      <c r="AT679" t="s">
        <v>267</v>
      </c>
      <c r="AU679" t="s">
        <v>13106</v>
      </c>
    </row>
    <row r="680" spans="1:48">
      <c r="A680" s="1">
        <f>HYPERLINK("https://cms.ls-nyc.org/matter/dynamic-profile/view/1889042","19-1889042")</f>
        <v>0</v>
      </c>
      <c r="B680" t="s">
        <v>133</v>
      </c>
      <c r="C680" t="s">
        <v>379</v>
      </c>
      <c r="E680" t="s">
        <v>1028</v>
      </c>
      <c r="F680" t="s">
        <v>2480</v>
      </c>
      <c r="G680" t="s">
        <v>3853</v>
      </c>
      <c r="H680">
        <v>63</v>
      </c>
      <c r="I680" t="s">
        <v>6049</v>
      </c>
      <c r="J680">
        <v>10032</v>
      </c>
      <c r="K680" t="s">
        <v>6074</v>
      </c>
      <c r="L680" t="s">
        <v>6074</v>
      </c>
      <c r="M680" t="s">
        <v>6427</v>
      </c>
      <c r="N680" t="s">
        <v>7276</v>
      </c>
      <c r="O680" t="s">
        <v>7308</v>
      </c>
      <c r="Q680" t="s">
        <v>7322</v>
      </c>
      <c r="R680" t="s">
        <v>6076</v>
      </c>
      <c r="S680" t="s">
        <v>7324</v>
      </c>
      <c r="T680" t="s">
        <v>7336</v>
      </c>
      <c r="U680" t="s">
        <v>456</v>
      </c>
      <c r="V680">
        <v>481</v>
      </c>
      <c r="W680" t="s">
        <v>7365</v>
      </c>
      <c r="X680" t="s">
        <v>7367</v>
      </c>
      <c r="Z680" t="s">
        <v>7952</v>
      </c>
      <c r="AB680" t="s">
        <v>10757</v>
      </c>
      <c r="AC680">
        <v>35</v>
      </c>
      <c r="AD680" t="s">
        <v>12425</v>
      </c>
      <c r="AF680">
        <v>50</v>
      </c>
      <c r="AG680">
        <v>2</v>
      </c>
      <c r="AH680">
        <v>0</v>
      </c>
      <c r="AI680">
        <v>46.49</v>
      </c>
      <c r="AL680" t="s">
        <v>12460</v>
      </c>
      <c r="AM680">
        <v>7860.96</v>
      </c>
      <c r="AS680">
        <v>13.9</v>
      </c>
      <c r="AT680" t="s">
        <v>280</v>
      </c>
      <c r="AU680" t="s">
        <v>133</v>
      </c>
    </row>
    <row r="681" spans="1:48">
      <c r="A681" s="1">
        <f>HYPERLINK("https://cms.ls-nyc.org/matter/dynamic-profile/view/1872107","18-1872107")</f>
        <v>0</v>
      </c>
      <c r="B681" t="s">
        <v>94</v>
      </c>
      <c r="C681" t="s">
        <v>304</v>
      </c>
      <c r="E681" t="s">
        <v>933</v>
      </c>
      <c r="F681" t="s">
        <v>2481</v>
      </c>
      <c r="G681" t="s">
        <v>4130</v>
      </c>
      <c r="H681" t="s">
        <v>5568</v>
      </c>
      <c r="I681" t="s">
        <v>6040</v>
      </c>
      <c r="J681">
        <v>11358</v>
      </c>
      <c r="K681" t="s">
        <v>6074</v>
      </c>
      <c r="L681" t="s">
        <v>6074</v>
      </c>
      <c r="M681" t="s">
        <v>6428</v>
      </c>
      <c r="N681" t="s">
        <v>7274</v>
      </c>
      <c r="O681" t="s">
        <v>7308</v>
      </c>
      <c r="Q681" t="s">
        <v>7322</v>
      </c>
      <c r="R681" t="s">
        <v>6076</v>
      </c>
      <c r="S681" t="s">
        <v>7324</v>
      </c>
      <c r="T681" t="s">
        <v>7336</v>
      </c>
      <c r="U681" t="s">
        <v>388</v>
      </c>
      <c r="V681">
        <v>2000</v>
      </c>
      <c r="W681" t="s">
        <v>7361</v>
      </c>
      <c r="X681" t="s">
        <v>7366</v>
      </c>
      <c r="Z681" t="s">
        <v>7953</v>
      </c>
      <c r="AA681" t="s">
        <v>10022</v>
      </c>
      <c r="AB681" t="s">
        <v>10758</v>
      </c>
      <c r="AC681">
        <v>2</v>
      </c>
      <c r="AD681" t="s">
        <v>12419</v>
      </c>
      <c r="AE681" t="s">
        <v>6110</v>
      </c>
      <c r="AF681">
        <v>13</v>
      </c>
      <c r="AG681">
        <v>2</v>
      </c>
      <c r="AH681">
        <v>0</v>
      </c>
      <c r="AI681">
        <v>46.59</v>
      </c>
      <c r="AL681" t="s">
        <v>12461</v>
      </c>
      <c r="AM681">
        <v>7668</v>
      </c>
      <c r="AO681" t="s">
        <v>12846</v>
      </c>
      <c r="AP681" t="s">
        <v>7305</v>
      </c>
      <c r="AQ681" t="s">
        <v>12910</v>
      </c>
      <c r="AR681" t="s">
        <v>12977</v>
      </c>
      <c r="AS681">
        <v>2.4</v>
      </c>
      <c r="AT681" t="s">
        <v>546</v>
      </c>
      <c r="AU681" t="s">
        <v>189</v>
      </c>
    </row>
    <row r="682" spans="1:48">
      <c r="A682" s="1">
        <f>HYPERLINK("https://cms.ls-nyc.org/matter/dynamic-profile/view/1890555","19-1890555")</f>
        <v>0</v>
      </c>
      <c r="B682" t="s">
        <v>72</v>
      </c>
      <c r="C682" t="s">
        <v>448</v>
      </c>
      <c r="E682" t="s">
        <v>1029</v>
      </c>
      <c r="F682" t="s">
        <v>2482</v>
      </c>
      <c r="G682" t="s">
        <v>3700</v>
      </c>
      <c r="H682" t="s">
        <v>5569</v>
      </c>
      <c r="I682" t="s">
        <v>6043</v>
      </c>
      <c r="J682">
        <v>11233</v>
      </c>
      <c r="K682" t="s">
        <v>6074</v>
      </c>
      <c r="L682" t="s">
        <v>6076</v>
      </c>
      <c r="N682" t="s">
        <v>7279</v>
      </c>
      <c r="O682" t="s">
        <v>7311</v>
      </c>
      <c r="Q682" t="s">
        <v>7322</v>
      </c>
      <c r="R682" t="s">
        <v>6074</v>
      </c>
      <c r="S682" t="s">
        <v>7324</v>
      </c>
      <c r="T682" t="s">
        <v>7336</v>
      </c>
      <c r="U682" t="s">
        <v>330</v>
      </c>
      <c r="V682">
        <v>915</v>
      </c>
      <c r="W682" t="s">
        <v>7362</v>
      </c>
      <c r="X682" t="s">
        <v>7305</v>
      </c>
      <c r="Z682" t="s">
        <v>7954</v>
      </c>
      <c r="AC682">
        <v>359</v>
      </c>
      <c r="AD682" t="s">
        <v>12422</v>
      </c>
      <c r="AE682" t="s">
        <v>6110</v>
      </c>
      <c r="AF682">
        <v>6</v>
      </c>
      <c r="AG682">
        <v>2</v>
      </c>
      <c r="AH682">
        <v>2</v>
      </c>
      <c r="AI682">
        <v>46.6</v>
      </c>
      <c r="AL682" t="s">
        <v>12460</v>
      </c>
      <c r="AM682">
        <v>12000</v>
      </c>
      <c r="AN682" t="s">
        <v>12555</v>
      </c>
      <c r="AS682">
        <v>0</v>
      </c>
      <c r="AU682" t="s">
        <v>180</v>
      </c>
    </row>
    <row r="683" spans="1:48">
      <c r="A683" s="1">
        <f>HYPERLINK("https://cms.ls-nyc.org/matter/dynamic-profile/view/1895048","19-1895048")</f>
        <v>0</v>
      </c>
      <c r="B683" t="s">
        <v>118</v>
      </c>
      <c r="C683" t="s">
        <v>302</v>
      </c>
      <c r="E683" t="s">
        <v>1030</v>
      </c>
      <c r="F683" t="s">
        <v>2483</v>
      </c>
      <c r="G683" t="s">
        <v>4131</v>
      </c>
      <c r="H683">
        <v>1</v>
      </c>
      <c r="I683" t="s">
        <v>6048</v>
      </c>
      <c r="J683">
        <v>10304</v>
      </c>
      <c r="K683" t="s">
        <v>6074</v>
      </c>
      <c r="L683" t="s">
        <v>6075</v>
      </c>
      <c r="M683" t="s">
        <v>6429</v>
      </c>
      <c r="N683" t="s">
        <v>7274</v>
      </c>
      <c r="O683" t="s">
        <v>7308</v>
      </c>
      <c r="Q683" t="s">
        <v>7322</v>
      </c>
      <c r="R683" t="s">
        <v>6076</v>
      </c>
      <c r="S683" t="s">
        <v>7324</v>
      </c>
      <c r="T683" t="s">
        <v>7336</v>
      </c>
      <c r="U683" t="s">
        <v>302</v>
      </c>
      <c r="V683">
        <v>2200</v>
      </c>
      <c r="W683" t="s">
        <v>7364</v>
      </c>
      <c r="X683" t="s">
        <v>7373</v>
      </c>
      <c r="Y683" t="s">
        <v>7391</v>
      </c>
      <c r="Z683" t="s">
        <v>7955</v>
      </c>
      <c r="AB683" t="s">
        <v>10759</v>
      </c>
      <c r="AC683">
        <v>3</v>
      </c>
      <c r="AE683" t="s">
        <v>12434</v>
      </c>
      <c r="AF683">
        <v>4</v>
      </c>
      <c r="AG683">
        <v>4</v>
      </c>
      <c r="AH683">
        <v>0</v>
      </c>
      <c r="AI683">
        <v>46.6</v>
      </c>
      <c r="AL683" t="s">
        <v>12460</v>
      </c>
      <c r="AM683">
        <v>12000</v>
      </c>
      <c r="AS683">
        <v>10.1</v>
      </c>
      <c r="AT683" t="s">
        <v>423</v>
      </c>
      <c r="AU683" t="s">
        <v>13101</v>
      </c>
      <c r="AV683" t="s">
        <v>13145</v>
      </c>
    </row>
    <row r="684" spans="1:48">
      <c r="A684" s="1">
        <f>HYPERLINK("https://cms.ls-nyc.org/matter/dynamic-profile/view/1885321","18-1885321")</f>
        <v>0</v>
      </c>
      <c r="B684" t="s">
        <v>115</v>
      </c>
      <c r="C684" t="s">
        <v>341</v>
      </c>
      <c r="E684" t="s">
        <v>1031</v>
      </c>
      <c r="F684" t="s">
        <v>2052</v>
      </c>
      <c r="G684" t="s">
        <v>4132</v>
      </c>
      <c r="H684" t="s">
        <v>5363</v>
      </c>
      <c r="I684" t="s">
        <v>6047</v>
      </c>
      <c r="J684">
        <v>10463</v>
      </c>
      <c r="K684" t="s">
        <v>6074</v>
      </c>
      <c r="L684" t="s">
        <v>6074</v>
      </c>
      <c r="M684" t="s">
        <v>6430</v>
      </c>
      <c r="N684" t="s">
        <v>7273</v>
      </c>
      <c r="O684" t="s">
        <v>7308</v>
      </c>
      <c r="Q684" t="s">
        <v>7322</v>
      </c>
      <c r="R684" t="s">
        <v>6074</v>
      </c>
      <c r="S684" t="s">
        <v>7324</v>
      </c>
      <c r="U684" t="s">
        <v>472</v>
      </c>
      <c r="V684">
        <v>958.35</v>
      </c>
      <c r="W684" t="s">
        <v>7363</v>
      </c>
      <c r="X684" t="s">
        <v>7376</v>
      </c>
      <c r="Z684" t="s">
        <v>7956</v>
      </c>
      <c r="AB684" t="s">
        <v>10760</v>
      </c>
      <c r="AC684">
        <v>55</v>
      </c>
      <c r="AD684" t="s">
        <v>12422</v>
      </c>
      <c r="AE684" t="s">
        <v>6110</v>
      </c>
      <c r="AF684">
        <v>14</v>
      </c>
      <c r="AG684">
        <v>2</v>
      </c>
      <c r="AH684">
        <v>2</v>
      </c>
      <c r="AI684">
        <v>46.61</v>
      </c>
      <c r="AL684" t="s">
        <v>12461</v>
      </c>
      <c r="AM684">
        <v>11700</v>
      </c>
      <c r="AS684">
        <v>0</v>
      </c>
      <c r="AU684" t="s">
        <v>13099</v>
      </c>
    </row>
    <row r="685" spans="1:48">
      <c r="A685" s="1">
        <f>HYPERLINK("https://cms.ls-nyc.org/matter/dynamic-profile/view/1875830","18-1875830")</f>
        <v>0</v>
      </c>
      <c r="B685" t="s">
        <v>173</v>
      </c>
      <c r="C685" t="s">
        <v>281</v>
      </c>
      <c r="E685" t="s">
        <v>1032</v>
      </c>
      <c r="F685" t="s">
        <v>2484</v>
      </c>
      <c r="G685" t="s">
        <v>4133</v>
      </c>
      <c r="H685" t="s">
        <v>5570</v>
      </c>
      <c r="I685" t="s">
        <v>6047</v>
      </c>
      <c r="J685">
        <v>10455</v>
      </c>
      <c r="K685" t="s">
        <v>6074</v>
      </c>
      <c r="L685" t="s">
        <v>6074</v>
      </c>
      <c r="N685" t="s">
        <v>7283</v>
      </c>
      <c r="O685" t="s">
        <v>7309</v>
      </c>
      <c r="Q685" t="s">
        <v>7322</v>
      </c>
      <c r="R685" t="s">
        <v>6076</v>
      </c>
      <c r="S685" t="s">
        <v>7326</v>
      </c>
      <c r="U685" t="s">
        <v>281</v>
      </c>
      <c r="V685">
        <v>1172.53</v>
      </c>
      <c r="W685" t="s">
        <v>7363</v>
      </c>
      <c r="X685" t="s">
        <v>7368</v>
      </c>
      <c r="Z685" t="s">
        <v>7957</v>
      </c>
      <c r="AA685" t="s">
        <v>10023</v>
      </c>
      <c r="AB685" t="s">
        <v>10761</v>
      </c>
      <c r="AC685">
        <v>44</v>
      </c>
      <c r="AD685" t="s">
        <v>12422</v>
      </c>
      <c r="AE685" t="s">
        <v>6110</v>
      </c>
      <c r="AF685">
        <v>18</v>
      </c>
      <c r="AG685">
        <v>2</v>
      </c>
      <c r="AH685">
        <v>4</v>
      </c>
      <c r="AI685">
        <v>46.85</v>
      </c>
      <c r="AL685" t="s">
        <v>12460</v>
      </c>
      <c r="AM685">
        <v>15808</v>
      </c>
      <c r="AS685">
        <v>2.25</v>
      </c>
      <c r="AT685" t="s">
        <v>424</v>
      </c>
      <c r="AU685" t="s">
        <v>13092</v>
      </c>
    </row>
    <row r="686" spans="1:48">
      <c r="A686" s="1">
        <f>HYPERLINK("https://cms.ls-nyc.org/matter/dynamic-profile/view/1895229","19-1895229")</f>
        <v>0</v>
      </c>
      <c r="B686" t="s">
        <v>66</v>
      </c>
      <c r="C686" t="s">
        <v>322</v>
      </c>
      <c r="E686" t="s">
        <v>585</v>
      </c>
      <c r="F686" t="s">
        <v>2134</v>
      </c>
      <c r="G686" t="s">
        <v>4134</v>
      </c>
      <c r="I686" t="s">
        <v>6030</v>
      </c>
      <c r="J686">
        <v>11421</v>
      </c>
      <c r="K686" t="s">
        <v>6074</v>
      </c>
      <c r="L686" t="s">
        <v>6074</v>
      </c>
      <c r="M686" t="s">
        <v>6431</v>
      </c>
      <c r="N686" t="s">
        <v>7276</v>
      </c>
      <c r="O686" t="s">
        <v>7308</v>
      </c>
      <c r="Q686" t="s">
        <v>7322</v>
      </c>
      <c r="S686" t="s">
        <v>7324</v>
      </c>
      <c r="T686" t="s">
        <v>7336</v>
      </c>
      <c r="U686" t="s">
        <v>322</v>
      </c>
      <c r="V686">
        <v>1600</v>
      </c>
      <c r="W686" t="s">
        <v>7361</v>
      </c>
      <c r="X686" t="s">
        <v>7366</v>
      </c>
      <c r="Z686" t="s">
        <v>7958</v>
      </c>
      <c r="AA686" t="s">
        <v>10024</v>
      </c>
      <c r="AB686" t="s">
        <v>10762</v>
      </c>
      <c r="AC686">
        <v>15</v>
      </c>
      <c r="AD686" t="s">
        <v>12419</v>
      </c>
      <c r="AE686" t="s">
        <v>6110</v>
      </c>
      <c r="AF686">
        <v>1</v>
      </c>
      <c r="AG686">
        <v>2</v>
      </c>
      <c r="AH686">
        <v>1</v>
      </c>
      <c r="AI686">
        <v>46.88</v>
      </c>
      <c r="AL686" t="s">
        <v>12460</v>
      </c>
      <c r="AM686">
        <v>10000</v>
      </c>
      <c r="AS686">
        <v>23.6</v>
      </c>
      <c r="AT686" t="s">
        <v>446</v>
      </c>
      <c r="AU686" t="s">
        <v>13078</v>
      </c>
      <c r="AV686" t="s">
        <v>13146</v>
      </c>
    </row>
    <row r="687" spans="1:48">
      <c r="A687" s="1">
        <f>HYPERLINK("https://cms.ls-nyc.org/matter/dynamic-profile/view/1894728","19-1894728")</f>
        <v>0</v>
      </c>
      <c r="B687" t="s">
        <v>83</v>
      </c>
      <c r="C687" t="s">
        <v>235</v>
      </c>
      <c r="E687" t="s">
        <v>966</v>
      </c>
      <c r="F687" t="s">
        <v>2485</v>
      </c>
      <c r="G687" t="s">
        <v>4135</v>
      </c>
      <c r="I687" t="s">
        <v>6043</v>
      </c>
      <c r="J687">
        <v>11217</v>
      </c>
      <c r="K687" t="s">
        <v>6074</v>
      </c>
      <c r="L687" t="s">
        <v>6074</v>
      </c>
      <c r="O687" t="s">
        <v>7309</v>
      </c>
      <c r="Q687" t="s">
        <v>7322</v>
      </c>
      <c r="S687" t="s">
        <v>7324</v>
      </c>
      <c r="U687" t="s">
        <v>338</v>
      </c>
      <c r="V687">
        <v>1104</v>
      </c>
      <c r="W687" t="s">
        <v>7362</v>
      </c>
      <c r="Z687" t="s">
        <v>7959</v>
      </c>
      <c r="AA687">
        <v>9122791</v>
      </c>
      <c r="AB687" t="s">
        <v>10763</v>
      </c>
      <c r="AC687">
        <v>0</v>
      </c>
      <c r="AF687">
        <v>-1</v>
      </c>
      <c r="AG687">
        <v>2</v>
      </c>
      <c r="AH687">
        <v>1</v>
      </c>
      <c r="AI687">
        <v>46.98</v>
      </c>
      <c r="AL687" t="s">
        <v>12460</v>
      </c>
      <c r="AM687">
        <v>10020</v>
      </c>
      <c r="AS687">
        <v>1.5</v>
      </c>
      <c r="AT687" t="s">
        <v>375</v>
      </c>
      <c r="AU687" t="s">
        <v>88</v>
      </c>
    </row>
    <row r="688" spans="1:48">
      <c r="A688" s="1">
        <f>HYPERLINK("https://cms.ls-nyc.org/matter/dynamic-profile/view/1899724","19-1899724")</f>
        <v>0</v>
      </c>
      <c r="B688" t="s">
        <v>125</v>
      </c>
      <c r="C688" t="s">
        <v>316</v>
      </c>
      <c r="E688" t="s">
        <v>1033</v>
      </c>
      <c r="F688" t="s">
        <v>2486</v>
      </c>
      <c r="G688" t="s">
        <v>4136</v>
      </c>
      <c r="H688" t="s">
        <v>5495</v>
      </c>
      <c r="I688" t="s">
        <v>6049</v>
      </c>
      <c r="J688">
        <v>10034</v>
      </c>
      <c r="K688" t="s">
        <v>6074</v>
      </c>
      <c r="L688" t="s">
        <v>6075</v>
      </c>
      <c r="O688" t="s">
        <v>7306</v>
      </c>
      <c r="Q688" t="s">
        <v>7322</v>
      </c>
      <c r="R688" t="s">
        <v>6076</v>
      </c>
      <c r="S688" t="s">
        <v>7324</v>
      </c>
      <c r="U688" t="s">
        <v>316</v>
      </c>
      <c r="V688">
        <v>149</v>
      </c>
      <c r="W688" t="s">
        <v>7365</v>
      </c>
      <c r="X688" t="s">
        <v>7368</v>
      </c>
      <c r="Z688" t="s">
        <v>7960</v>
      </c>
      <c r="AB688" t="s">
        <v>10764</v>
      </c>
      <c r="AC688">
        <v>95</v>
      </c>
      <c r="AD688" t="s">
        <v>12422</v>
      </c>
      <c r="AE688" t="s">
        <v>6110</v>
      </c>
      <c r="AF688">
        <v>5</v>
      </c>
      <c r="AG688">
        <v>2</v>
      </c>
      <c r="AH688">
        <v>0</v>
      </c>
      <c r="AI688">
        <v>47.31</v>
      </c>
      <c r="AL688" t="s">
        <v>12461</v>
      </c>
      <c r="AM688">
        <v>8000</v>
      </c>
      <c r="AS688">
        <v>2</v>
      </c>
      <c r="AT688" t="s">
        <v>316</v>
      </c>
      <c r="AU688" t="s">
        <v>13106</v>
      </c>
    </row>
    <row r="689" spans="1:48">
      <c r="A689" s="1">
        <f>HYPERLINK("https://cms.ls-nyc.org/matter/dynamic-profile/view/1890408","18-1890408")</f>
        <v>0</v>
      </c>
      <c r="B689" t="s">
        <v>112</v>
      </c>
      <c r="C689" t="s">
        <v>326</v>
      </c>
      <c r="E689" t="s">
        <v>1021</v>
      </c>
      <c r="F689" t="s">
        <v>2476</v>
      </c>
      <c r="G689" t="s">
        <v>3793</v>
      </c>
      <c r="H689" t="s">
        <v>5565</v>
      </c>
      <c r="I689" t="s">
        <v>6047</v>
      </c>
      <c r="J689">
        <v>10453</v>
      </c>
      <c r="K689" t="s">
        <v>6074</v>
      </c>
      <c r="L689" t="s">
        <v>6074</v>
      </c>
      <c r="N689" t="s">
        <v>7279</v>
      </c>
      <c r="O689" t="s">
        <v>7311</v>
      </c>
      <c r="Q689" t="s">
        <v>7322</v>
      </c>
      <c r="R689" t="s">
        <v>6074</v>
      </c>
      <c r="S689" t="s">
        <v>7324</v>
      </c>
      <c r="U689" t="s">
        <v>457</v>
      </c>
      <c r="V689">
        <v>713.8</v>
      </c>
      <c r="W689" t="s">
        <v>7363</v>
      </c>
      <c r="X689" t="s">
        <v>7376</v>
      </c>
      <c r="Z689" t="s">
        <v>7945</v>
      </c>
      <c r="AB689" t="s">
        <v>10750</v>
      </c>
      <c r="AC689">
        <v>44</v>
      </c>
      <c r="AD689" t="s">
        <v>12422</v>
      </c>
      <c r="AE689" t="s">
        <v>6110</v>
      </c>
      <c r="AF689">
        <v>28</v>
      </c>
      <c r="AG689">
        <v>2</v>
      </c>
      <c r="AH689">
        <v>0</v>
      </c>
      <c r="AI689">
        <v>47.39</v>
      </c>
      <c r="AL689" t="s">
        <v>12461</v>
      </c>
      <c r="AM689">
        <v>7800</v>
      </c>
      <c r="AS689">
        <v>0</v>
      </c>
      <c r="AU689" t="s">
        <v>13095</v>
      </c>
    </row>
    <row r="690" spans="1:48">
      <c r="A690" s="1">
        <f>HYPERLINK("https://cms.ls-nyc.org/matter/dynamic-profile/view/1895185","19-1895185")</f>
        <v>0</v>
      </c>
      <c r="B690" t="s">
        <v>52</v>
      </c>
      <c r="C690" t="s">
        <v>457</v>
      </c>
      <c r="E690" t="s">
        <v>937</v>
      </c>
      <c r="F690" t="s">
        <v>2059</v>
      </c>
      <c r="G690" t="s">
        <v>4137</v>
      </c>
      <c r="H690" t="s">
        <v>5571</v>
      </c>
      <c r="I690" t="s">
        <v>6025</v>
      </c>
      <c r="J690">
        <v>11691</v>
      </c>
      <c r="K690" t="s">
        <v>6074</v>
      </c>
      <c r="L690" t="s">
        <v>6074</v>
      </c>
      <c r="M690" t="s">
        <v>6432</v>
      </c>
      <c r="N690" t="s">
        <v>7276</v>
      </c>
      <c r="O690" t="s">
        <v>7308</v>
      </c>
      <c r="Q690" t="s">
        <v>7322</v>
      </c>
      <c r="R690" t="s">
        <v>6076</v>
      </c>
      <c r="S690" t="s">
        <v>7324</v>
      </c>
      <c r="T690" t="s">
        <v>7336</v>
      </c>
      <c r="U690" t="s">
        <v>302</v>
      </c>
      <c r="V690">
        <v>906</v>
      </c>
      <c r="W690" t="s">
        <v>7361</v>
      </c>
      <c r="X690" t="s">
        <v>7366</v>
      </c>
      <c r="Z690" t="s">
        <v>7961</v>
      </c>
      <c r="AA690" t="s">
        <v>10025</v>
      </c>
      <c r="AB690" t="s">
        <v>10765</v>
      </c>
      <c r="AC690">
        <v>107</v>
      </c>
      <c r="AD690" t="s">
        <v>12422</v>
      </c>
      <c r="AE690" t="s">
        <v>6110</v>
      </c>
      <c r="AF690">
        <v>26</v>
      </c>
      <c r="AG690">
        <v>1</v>
      </c>
      <c r="AH690">
        <v>1</v>
      </c>
      <c r="AI690">
        <v>47.47</v>
      </c>
      <c r="AL690" t="s">
        <v>12460</v>
      </c>
      <c r="AM690">
        <v>8028</v>
      </c>
      <c r="AS690">
        <v>17.85</v>
      </c>
      <c r="AT690" t="s">
        <v>460</v>
      </c>
      <c r="AU690" t="s">
        <v>169</v>
      </c>
      <c r="AV690" t="s">
        <v>13145</v>
      </c>
    </row>
    <row r="691" spans="1:48">
      <c r="A691" s="1">
        <f>HYPERLINK("https://cms.ls-nyc.org/matter/dynamic-profile/view/1873802","18-1873802")</f>
        <v>0</v>
      </c>
      <c r="B691" t="s">
        <v>130</v>
      </c>
      <c r="C691" t="s">
        <v>402</v>
      </c>
      <c r="E691" t="s">
        <v>1034</v>
      </c>
      <c r="F691" t="s">
        <v>2487</v>
      </c>
      <c r="G691" t="s">
        <v>3842</v>
      </c>
      <c r="H691" t="s">
        <v>5572</v>
      </c>
      <c r="I691" t="s">
        <v>6049</v>
      </c>
      <c r="J691">
        <v>10033</v>
      </c>
      <c r="K691" t="s">
        <v>6074</v>
      </c>
      <c r="L691" t="s">
        <v>6074</v>
      </c>
      <c r="N691" t="s">
        <v>7273</v>
      </c>
      <c r="O691" t="s">
        <v>7307</v>
      </c>
      <c r="Q691" t="s">
        <v>7322</v>
      </c>
      <c r="R691" t="s">
        <v>6074</v>
      </c>
      <c r="S691" t="s">
        <v>7324</v>
      </c>
      <c r="U691" t="s">
        <v>402</v>
      </c>
      <c r="V691">
        <v>0</v>
      </c>
      <c r="W691" t="s">
        <v>7365</v>
      </c>
      <c r="X691" t="s">
        <v>7375</v>
      </c>
      <c r="Z691" t="s">
        <v>7962</v>
      </c>
      <c r="AC691">
        <v>232</v>
      </c>
      <c r="AD691" t="s">
        <v>12422</v>
      </c>
      <c r="AE691" t="s">
        <v>6110</v>
      </c>
      <c r="AF691">
        <v>15</v>
      </c>
      <c r="AG691">
        <v>3</v>
      </c>
      <c r="AH691">
        <v>2</v>
      </c>
      <c r="AI691">
        <v>47.59</v>
      </c>
      <c r="AL691" t="s">
        <v>12461</v>
      </c>
      <c r="AM691">
        <v>14000</v>
      </c>
      <c r="AS691">
        <v>0</v>
      </c>
      <c r="AU691" t="s">
        <v>13106</v>
      </c>
    </row>
    <row r="692" spans="1:48">
      <c r="A692" s="1">
        <f>HYPERLINK("https://cms.ls-nyc.org/matter/dynamic-profile/view/1878835","18-1878835")</f>
        <v>0</v>
      </c>
      <c r="B692" t="s">
        <v>76</v>
      </c>
      <c r="C692" t="s">
        <v>282</v>
      </c>
      <c r="E692" t="s">
        <v>1035</v>
      </c>
      <c r="F692" t="s">
        <v>2146</v>
      </c>
      <c r="G692" t="s">
        <v>4138</v>
      </c>
      <c r="H692" t="s">
        <v>5361</v>
      </c>
      <c r="I692" t="s">
        <v>6043</v>
      </c>
      <c r="J692">
        <v>11208</v>
      </c>
      <c r="K692" t="s">
        <v>6074</v>
      </c>
      <c r="L692" t="s">
        <v>6074</v>
      </c>
      <c r="M692" t="s">
        <v>6433</v>
      </c>
      <c r="N692" t="s">
        <v>7274</v>
      </c>
      <c r="O692" t="s">
        <v>7308</v>
      </c>
      <c r="Q692" t="s">
        <v>7322</v>
      </c>
      <c r="R692" t="s">
        <v>6076</v>
      </c>
      <c r="S692" t="s">
        <v>7324</v>
      </c>
      <c r="T692" t="s">
        <v>7336</v>
      </c>
      <c r="U692" t="s">
        <v>282</v>
      </c>
      <c r="V692">
        <v>1956</v>
      </c>
      <c r="W692" t="s">
        <v>7362</v>
      </c>
      <c r="X692" t="s">
        <v>7370</v>
      </c>
      <c r="Z692" t="s">
        <v>7963</v>
      </c>
      <c r="AA692" t="s">
        <v>10026</v>
      </c>
      <c r="AB692" t="s">
        <v>10766</v>
      </c>
      <c r="AC692">
        <v>3</v>
      </c>
      <c r="AD692" t="s">
        <v>12419</v>
      </c>
      <c r="AE692" t="s">
        <v>12438</v>
      </c>
      <c r="AF692">
        <v>1</v>
      </c>
      <c r="AG692">
        <v>1</v>
      </c>
      <c r="AH692">
        <v>4</v>
      </c>
      <c r="AI692">
        <v>47.76</v>
      </c>
      <c r="AL692" t="s">
        <v>12460</v>
      </c>
      <c r="AM692">
        <v>14050</v>
      </c>
      <c r="AN692" t="s">
        <v>12491</v>
      </c>
      <c r="AS692">
        <v>66.75</v>
      </c>
      <c r="AT692" t="s">
        <v>501</v>
      </c>
      <c r="AU692" t="s">
        <v>13084</v>
      </c>
    </row>
    <row r="693" spans="1:48">
      <c r="A693" s="1">
        <f>HYPERLINK("https://cms.ls-nyc.org/matter/dynamic-profile/view/1874078","18-1874078")</f>
        <v>0</v>
      </c>
      <c r="B693" t="s">
        <v>111</v>
      </c>
      <c r="C693" t="s">
        <v>437</v>
      </c>
      <c r="D693" t="s">
        <v>472</v>
      </c>
      <c r="E693" t="s">
        <v>958</v>
      </c>
      <c r="F693" t="s">
        <v>2293</v>
      </c>
      <c r="G693" t="s">
        <v>4139</v>
      </c>
      <c r="H693" t="s">
        <v>5573</v>
      </c>
      <c r="I693" t="s">
        <v>6047</v>
      </c>
      <c r="J693">
        <v>10453</v>
      </c>
      <c r="K693" t="s">
        <v>6074</v>
      </c>
      <c r="L693" t="s">
        <v>6074</v>
      </c>
      <c r="N693" t="s">
        <v>6104</v>
      </c>
      <c r="O693" t="s">
        <v>7307</v>
      </c>
      <c r="P693" t="s">
        <v>7315</v>
      </c>
      <c r="Q693" t="s">
        <v>7322</v>
      </c>
      <c r="R693" t="s">
        <v>6076</v>
      </c>
      <c r="S693" t="s">
        <v>7324</v>
      </c>
      <c r="U693" t="s">
        <v>502</v>
      </c>
      <c r="V693">
        <v>1347</v>
      </c>
      <c r="W693" t="s">
        <v>7363</v>
      </c>
      <c r="X693" t="s">
        <v>7376</v>
      </c>
      <c r="Y693" t="s">
        <v>7387</v>
      </c>
      <c r="Z693" t="s">
        <v>7964</v>
      </c>
      <c r="AB693" t="s">
        <v>10767</v>
      </c>
      <c r="AC693">
        <v>1654</v>
      </c>
      <c r="AD693" t="s">
        <v>12420</v>
      </c>
      <c r="AE693" t="s">
        <v>12434</v>
      </c>
      <c r="AF693">
        <v>4</v>
      </c>
      <c r="AG693">
        <v>2</v>
      </c>
      <c r="AH693">
        <v>0</v>
      </c>
      <c r="AI693">
        <v>48.57</v>
      </c>
      <c r="AL693" t="s">
        <v>12460</v>
      </c>
      <c r="AM693">
        <v>7995</v>
      </c>
      <c r="AS693">
        <v>1</v>
      </c>
      <c r="AT693" t="s">
        <v>437</v>
      </c>
      <c r="AU693" t="s">
        <v>111</v>
      </c>
    </row>
    <row r="694" spans="1:48">
      <c r="A694" s="1">
        <f>HYPERLINK("https://cms.ls-nyc.org/matter/dynamic-profile/view/1895314","19-1895314")</f>
        <v>0</v>
      </c>
      <c r="B694" t="s">
        <v>142</v>
      </c>
      <c r="C694" t="s">
        <v>247</v>
      </c>
      <c r="E694" t="s">
        <v>730</v>
      </c>
      <c r="F694" t="s">
        <v>2488</v>
      </c>
      <c r="G694" t="s">
        <v>3871</v>
      </c>
      <c r="H694" t="s">
        <v>5418</v>
      </c>
      <c r="I694" t="s">
        <v>6043</v>
      </c>
      <c r="J694">
        <v>11213</v>
      </c>
      <c r="K694" t="s">
        <v>6074</v>
      </c>
      <c r="L694" t="s">
        <v>6074</v>
      </c>
      <c r="N694" t="s">
        <v>7287</v>
      </c>
      <c r="O694" t="s">
        <v>7312</v>
      </c>
      <c r="Q694" t="s">
        <v>7322</v>
      </c>
      <c r="R694" t="s">
        <v>6074</v>
      </c>
      <c r="S694" t="s">
        <v>7329</v>
      </c>
      <c r="U694" t="s">
        <v>247</v>
      </c>
      <c r="V694">
        <v>412</v>
      </c>
      <c r="W694" t="s">
        <v>7362</v>
      </c>
      <c r="X694" t="s">
        <v>7381</v>
      </c>
      <c r="Z694" t="s">
        <v>7965</v>
      </c>
      <c r="AB694" t="s">
        <v>10768</v>
      </c>
      <c r="AC694">
        <v>19</v>
      </c>
      <c r="AD694" t="s">
        <v>12422</v>
      </c>
      <c r="AE694" t="s">
        <v>6110</v>
      </c>
      <c r="AF694">
        <v>12</v>
      </c>
      <c r="AG694">
        <v>3</v>
      </c>
      <c r="AH694">
        <v>0</v>
      </c>
      <c r="AI694">
        <v>48.76</v>
      </c>
      <c r="AL694" t="s">
        <v>12460</v>
      </c>
      <c r="AM694">
        <v>10400</v>
      </c>
      <c r="AS694">
        <v>0</v>
      </c>
      <c r="AU694" t="s">
        <v>180</v>
      </c>
    </row>
    <row r="695" spans="1:48">
      <c r="A695" s="1">
        <f>HYPERLINK("https://cms.ls-nyc.org/matter/dynamic-profile/view/1893224","19-1893224")</f>
        <v>0</v>
      </c>
      <c r="B695" t="s">
        <v>118</v>
      </c>
      <c r="C695" t="s">
        <v>367</v>
      </c>
      <c r="E695" t="s">
        <v>1036</v>
      </c>
      <c r="F695" t="s">
        <v>2489</v>
      </c>
      <c r="G695" t="s">
        <v>4140</v>
      </c>
      <c r="H695">
        <v>2</v>
      </c>
      <c r="I695" t="s">
        <v>6048</v>
      </c>
      <c r="J695">
        <v>10301</v>
      </c>
      <c r="K695" t="s">
        <v>6074</v>
      </c>
      <c r="L695" t="s">
        <v>6074</v>
      </c>
      <c r="M695" t="s">
        <v>6434</v>
      </c>
      <c r="N695" t="s">
        <v>7276</v>
      </c>
      <c r="O695" t="s">
        <v>7308</v>
      </c>
      <c r="Q695" t="s">
        <v>7322</v>
      </c>
      <c r="R695" t="s">
        <v>6076</v>
      </c>
      <c r="S695" t="s">
        <v>7324</v>
      </c>
      <c r="T695" t="s">
        <v>7336</v>
      </c>
      <c r="U695" t="s">
        <v>367</v>
      </c>
      <c r="V695">
        <v>1515</v>
      </c>
      <c r="W695" t="s">
        <v>7364</v>
      </c>
      <c r="X695" t="s">
        <v>7376</v>
      </c>
      <c r="Z695" t="s">
        <v>7966</v>
      </c>
      <c r="AB695" t="s">
        <v>10769</v>
      </c>
      <c r="AC695">
        <v>4</v>
      </c>
      <c r="AD695" t="s">
        <v>12419</v>
      </c>
      <c r="AE695" t="s">
        <v>12438</v>
      </c>
      <c r="AF695">
        <v>1</v>
      </c>
      <c r="AG695">
        <v>2</v>
      </c>
      <c r="AH695">
        <v>1</v>
      </c>
      <c r="AI695">
        <v>48.76</v>
      </c>
      <c r="AL695" t="s">
        <v>12460</v>
      </c>
      <c r="AM695">
        <v>10400</v>
      </c>
      <c r="AS695">
        <v>8.699999999999999</v>
      </c>
      <c r="AT695" t="s">
        <v>302</v>
      </c>
      <c r="AU695" t="s">
        <v>13102</v>
      </c>
    </row>
    <row r="696" spans="1:48">
      <c r="A696" s="1">
        <f>HYPERLINK("https://cms.ls-nyc.org/matter/dynamic-profile/view/1873138","18-1873138")</f>
        <v>0</v>
      </c>
      <c r="B696" t="s">
        <v>52</v>
      </c>
      <c r="C696" t="s">
        <v>419</v>
      </c>
      <c r="D696" t="s">
        <v>427</v>
      </c>
      <c r="E696" t="s">
        <v>1037</v>
      </c>
      <c r="F696" t="s">
        <v>2490</v>
      </c>
      <c r="G696" t="s">
        <v>4141</v>
      </c>
      <c r="H696" t="s">
        <v>5347</v>
      </c>
      <c r="I696" t="s">
        <v>6025</v>
      </c>
      <c r="J696">
        <v>11691</v>
      </c>
      <c r="K696" t="s">
        <v>6074</v>
      </c>
      <c r="L696" t="s">
        <v>6074</v>
      </c>
      <c r="M696" t="s">
        <v>6435</v>
      </c>
      <c r="N696" t="s">
        <v>7274</v>
      </c>
      <c r="O696" t="s">
        <v>7308</v>
      </c>
      <c r="P696" t="s">
        <v>7316</v>
      </c>
      <c r="Q696" t="s">
        <v>7322</v>
      </c>
      <c r="R696" t="s">
        <v>6076</v>
      </c>
      <c r="S696" t="s">
        <v>7324</v>
      </c>
      <c r="T696" t="s">
        <v>7336</v>
      </c>
      <c r="U696" t="s">
        <v>419</v>
      </c>
      <c r="V696">
        <v>1500</v>
      </c>
      <c r="W696" t="s">
        <v>7361</v>
      </c>
      <c r="X696" t="s">
        <v>7376</v>
      </c>
      <c r="Y696" t="s">
        <v>7388</v>
      </c>
      <c r="Z696" t="s">
        <v>7967</v>
      </c>
      <c r="AA696" t="s">
        <v>6110</v>
      </c>
      <c r="AB696" t="s">
        <v>10770</v>
      </c>
      <c r="AC696">
        <v>2</v>
      </c>
      <c r="AD696" t="s">
        <v>12419</v>
      </c>
      <c r="AE696" t="s">
        <v>12434</v>
      </c>
      <c r="AF696">
        <v>2</v>
      </c>
      <c r="AG696">
        <v>1</v>
      </c>
      <c r="AH696">
        <v>2</v>
      </c>
      <c r="AI696">
        <v>48.8</v>
      </c>
      <c r="AL696" t="s">
        <v>12460</v>
      </c>
      <c r="AM696">
        <v>10140</v>
      </c>
      <c r="AO696" t="s">
        <v>12847</v>
      </c>
      <c r="AP696" t="s">
        <v>12858</v>
      </c>
      <c r="AQ696" t="s">
        <v>12909</v>
      </c>
      <c r="AR696" t="s">
        <v>12914</v>
      </c>
      <c r="AS696">
        <v>14.65</v>
      </c>
      <c r="AT696" t="s">
        <v>427</v>
      </c>
      <c r="AU696" t="s">
        <v>48</v>
      </c>
    </row>
    <row r="697" spans="1:48">
      <c r="A697" s="1">
        <f>HYPERLINK("https://cms.ls-nyc.org/matter/dynamic-profile/view/1874167","18-1874167")</f>
        <v>0</v>
      </c>
      <c r="B697" t="s">
        <v>77</v>
      </c>
      <c r="C697" t="s">
        <v>384</v>
      </c>
      <c r="D697" t="s">
        <v>344</v>
      </c>
      <c r="E697" t="s">
        <v>1038</v>
      </c>
      <c r="F697" t="s">
        <v>2287</v>
      </c>
      <c r="G697" t="s">
        <v>4142</v>
      </c>
      <c r="H697" t="s">
        <v>5372</v>
      </c>
      <c r="I697" t="s">
        <v>6043</v>
      </c>
      <c r="J697">
        <v>11206</v>
      </c>
      <c r="K697" t="s">
        <v>6074</v>
      </c>
      <c r="L697" t="s">
        <v>6074</v>
      </c>
      <c r="M697" t="s">
        <v>6436</v>
      </c>
      <c r="N697" t="s">
        <v>7274</v>
      </c>
      <c r="O697" t="s">
        <v>7308</v>
      </c>
      <c r="P697" t="s">
        <v>7317</v>
      </c>
      <c r="Q697" t="s">
        <v>7322</v>
      </c>
      <c r="R697" t="s">
        <v>6076</v>
      </c>
      <c r="S697" t="s">
        <v>7324</v>
      </c>
      <c r="U697" t="s">
        <v>384</v>
      </c>
      <c r="V697">
        <v>0</v>
      </c>
      <c r="W697" t="s">
        <v>7362</v>
      </c>
      <c r="Y697" t="s">
        <v>7388</v>
      </c>
      <c r="Z697" t="s">
        <v>7968</v>
      </c>
      <c r="AB697" t="s">
        <v>10771</v>
      </c>
      <c r="AC697">
        <v>0</v>
      </c>
      <c r="AF697">
        <v>0</v>
      </c>
      <c r="AG697">
        <v>1</v>
      </c>
      <c r="AH697">
        <v>4</v>
      </c>
      <c r="AI697">
        <v>48.95</v>
      </c>
      <c r="AL697" t="s">
        <v>12460</v>
      </c>
      <c r="AM697">
        <v>14400</v>
      </c>
      <c r="AS697">
        <v>22.75</v>
      </c>
      <c r="AT697" t="s">
        <v>344</v>
      </c>
      <c r="AU697" t="s">
        <v>77</v>
      </c>
    </row>
    <row r="698" spans="1:48">
      <c r="A698" s="1">
        <f>HYPERLINK("https://cms.ls-nyc.org/matter/dynamic-profile/view/1885734","18-1885734")</f>
        <v>0</v>
      </c>
      <c r="B698" t="s">
        <v>77</v>
      </c>
      <c r="C698" t="s">
        <v>344</v>
      </c>
      <c r="D698" t="s">
        <v>344</v>
      </c>
      <c r="E698" t="s">
        <v>1038</v>
      </c>
      <c r="F698" t="s">
        <v>2287</v>
      </c>
      <c r="G698" t="s">
        <v>4142</v>
      </c>
      <c r="H698" t="s">
        <v>5372</v>
      </c>
      <c r="I698" t="s">
        <v>6043</v>
      </c>
      <c r="J698">
        <v>11206</v>
      </c>
      <c r="K698" t="s">
        <v>6074</v>
      </c>
      <c r="L698" t="s">
        <v>6074</v>
      </c>
      <c r="O698" t="s">
        <v>7308</v>
      </c>
      <c r="P698" t="s">
        <v>7317</v>
      </c>
      <c r="Q698" t="s">
        <v>7322</v>
      </c>
      <c r="S698" t="s">
        <v>7327</v>
      </c>
      <c r="U698" t="s">
        <v>384</v>
      </c>
      <c r="V698">
        <v>0</v>
      </c>
      <c r="W698" t="s">
        <v>7362</v>
      </c>
      <c r="Y698" t="s">
        <v>7397</v>
      </c>
      <c r="Z698" t="s">
        <v>7467</v>
      </c>
      <c r="AB698" t="s">
        <v>10771</v>
      </c>
      <c r="AC698">
        <v>0</v>
      </c>
      <c r="AF698">
        <v>0</v>
      </c>
      <c r="AG698">
        <v>1</v>
      </c>
      <c r="AH698">
        <v>4</v>
      </c>
      <c r="AI698">
        <v>48.95</v>
      </c>
      <c r="AL698" t="s">
        <v>12460</v>
      </c>
      <c r="AM698">
        <v>14400</v>
      </c>
      <c r="AS698">
        <v>0.1</v>
      </c>
      <c r="AT698" t="s">
        <v>344</v>
      </c>
      <c r="AU698" t="s">
        <v>77</v>
      </c>
    </row>
    <row r="699" spans="1:48">
      <c r="A699" s="1">
        <f>HYPERLINK("https://cms.ls-nyc.org/matter/dynamic-profile/view/1890691","19-1890691")</f>
        <v>0</v>
      </c>
      <c r="B699" t="s">
        <v>98</v>
      </c>
      <c r="C699" t="s">
        <v>420</v>
      </c>
      <c r="E699" t="s">
        <v>1039</v>
      </c>
      <c r="F699" t="s">
        <v>2491</v>
      </c>
      <c r="G699" t="s">
        <v>4143</v>
      </c>
      <c r="H699" t="s">
        <v>5360</v>
      </c>
      <c r="I699" t="s">
        <v>6047</v>
      </c>
      <c r="J699">
        <v>10459</v>
      </c>
      <c r="K699" t="s">
        <v>6074</v>
      </c>
      <c r="L699" t="s">
        <v>6074</v>
      </c>
      <c r="M699" t="s">
        <v>6437</v>
      </c>
      <c r="N699" t="s">
        <v>7274</v>
      </c>
      <c r="O699" t="s">
        <v>7308</v>
      </c>
      <c r="Q699" t="s">
        <v>7322</v>
      </c>
      <c r="R699" t="s">
        <v>6076</v>
      </c>
      <c r="S699" t="s">
        <v>7324</v>
      </c>
      <c r="T699" t="s">
        <v>7340</v>
      </c>
      <c r="U699" t="s">
        <v>420</v>
      </c>
      <c r="V699">
        <v>915</v>
      </c>
      <c r="W699" t="s">
        <v>7363</v>
      </c>
      <c r="Z699" t="s">
        <v>7969</v>
      </c>
      <c r="AC699">
        <v>20</v>
      </c>
      <c r="AD699" t="s">
        <v>12422</v>
      </c>
      <c r="AE699" t="s">
        <v>6110</v>
      </c>
      <c r="AF699">
        <v>23</v>
      </c>
      <c r="AG699">
        <v>2</v>
      </c>
      <c r="AH699">
        <v>0</v>
      </c>
      <c r="AI699">
        <v>49.08</v>
      </c>
      <c r="AL699" t="s">
        <v>12461</v>
      </c>
      <c r="AM699">
        <v>8300</v>
      </c>
      <c r="AS699">
        <v>25.55</v>
      </c>
      <c r="AT699" t="s">
        <v>381</v>
      </c>
      <c r="AU699" t="s">
        <v>13091</v>
      </c>
    </row>
    <row r="700" spans="1:48">
      <c r="A700" s="1">
        <f>HYPERLINK("https://cms.ls-nyc.org/matter/dynamic-profile/view/1883059","18-1883059")</f>
        <v>0</v>
      </c>
      <c r="B700" t="s">
        <v>115</v>
      </c>
      <c r="C700" t="s">
        <v>416</v>
      </c>
      <c r="E700" t="s">
        <v>987</v>
      </c>
      <c r="F700" t="s">
        <v>2142</v>
      </c>
      <c r="G700" t="s">
        <v>4144</v>
      </c>
      <c r="H700">
        <v>2</v>
      </c>
      <c r="I700" t="s">
        <v>6047</v>
      </c>
      <c r="J700">
        <v>10462</v>
      </c>
      <c r="K700" t="s">
        <v>6074</v>
      </c>
      <c r="L700" t="s">
        <v>6074</v>
      </c>
      <c r="N700" t="s">
        <v>6104</v>
      </c>
      <c r="O700" t="s">
        <v>7311</v>
      </c>
      <c r="Q700" t="s">
        <v>7322</v>
      </c>
      <c r="R700" t="s">
        <v>6076</v>
      </c>
      <c r="S700" t="s">
        <v>7331</v>
      </c>
      <c r="U700" t="s">
        <v>292</v>
      </c>
      <c r="V700">
        <v>2000</v>
      </c>
      <c r="W700" t="s">
        <v>7363</v>
      </c>
      <c r="Z700" t="s">
        <v>7970</v>
      </c>
      <c r="AB700" t="s">
        <v>10772</v>
      </c>
      <c r="AC700">
        <v>3</v>
      </c>
      <c r="AD700" t="s">
        <v>12419</v>
      </c>
      <c r="AE700" t="s">
        <v>12434</v>
      </c>
      <c r="AF700">
        <v>0</v>
      </c>
      <c r="AG700">
        <v>1</v>
      </c>
      <c r="AH700">
        <v>3</v>
      </c>
      <c r="AI700">
        <v>49.4</v>
      </c>
      <c r="AL700" t="s">
        <v>12460</v>
      </c>
      <c r="AM700">
        <v>12400</v>
      </c>
      <c r="AS700">
        <v>10</v>
      </c>
      <c r="AT700" t="s">
        <v>362</v>
      </c>
      <c r="AU700" t="s">
        <v>13092</v>
      </c>
    </row>
    <row r="701" spans="1:48">
      <c r="A701" s="1">
        <f>HYPERLINK("https://cms.ls-nyc.org/matter/dynamic-profile/view/1870238","18-1870238")</f>
        <v>0</v>
      </c>
      <c r="B701" t="s">
        <v>103</v>
      </c>
      <c r="C701" t="s">
        <v>458</v>
      </c>
      <c r="D701" t="s">
        <v>300</v>
      </c>
      <c r="E701" t="s">
        <v>933</v>
      </c>
      <c r="F701" t="s">
        <v>2492</v>
      </c>
      <c r="G701" t="s">
        <v>4145</v>
      </c>
      <c r="H701" t="s">
        <v>5455</v>
      </c>
      <c r="I701" t="s">
        <v>6047</v>
      </c>
      <c r="J701">
        <v>10452</v>
      </c>
      <c r="K701" t="s">
        <v>6074</v>
      </c>
      <c r="L701" t="s">
        <v>6074</v>
      </c>
      <c r="M701" t="s">
        <v>6438</v>
      </c>
      <c r="N701" t="s">
        <v>7274</v>
      </c>
      <c r="O701" t="s">
        <v>7306</v>
      </c>
      <c r="P701" t="s">
        <v>7314</v>
      </c>
      <c r="Q701" t="s">
        <v>7322</v>
      </c>
      <c r="R701" t="s">
        <v>6076</v>
      </c>
      <c r="S701" t="s">
        <v>7324</v>
      </c>
      <c r="U701" t="s">
        <v>350</v>
      </c>
      <c r="V701">
        <v>0</v>
      </c>
      <c r="W701" t="s">
        <v>7363</v>
      </c>
      <c r="X701" t="s">
        <v>7379</v>
      </c>
      <c r="Y701" t="s">
        <v>7386</v>
      </c>
      <c r="Z701" t="s">
        <v>7971</v>
      </c>
      <c r="AB701" t="s">
        <v>10773</v>
      </c>
      <c r="AC701">
        <v>283</v>
      </c>
      <c r="AD701" t="s">
        <v>12422</v>
      </c>
      <c r="AF701">
        <v>3</v>
      </c>
      <c r="AG701">
        <v>1</v>
      </c>
      <c r="AH701">
        <v>0</v>
      </c>
      <c r="AI701">
        <v>49.42</v>
      </c>
      <c r="AL701" t="s">
        <v>12460</v>
      </c>
      <c r="AM701">
        <v>6000</v>
      </c>
      <c r="AS701">
        <v>5</v>
      </c>
      <c r="AT701" t="s">
        <v>447</v>
      </c>
      <c r="AU701" t="s">
        <v>13095</v>
      </c>
    </row>
    <row r="702" spans="1:48">
      <c r="A702" s="1">
        <f>HYPERLINK("https://cms.ls-nyc.org/matter/dynamic-profile/view/1878942","18-1878942")</f>
        <v>0</v>
      </c>
      <c r="B702" t="s">
        <v>133</v>
      </c>
      <c r="C702" t="s">
        <v>438</v>
      </c>
      <c r="E702" t="s">
        <v>993</v>
      </c>
      <c r="F702" t="s">
        <v>2493</v>
      </c>
      <c r="G702" t="s">
        <v>4128</v>
      </c>
      <c r="H702" t="s">
        <v>5529</v>
      </c>
      <c r="I702" t="s">
        <v>6049</v>
      </c>
      <c r="J702">
        <v>10040</v>
      </c>
      <c r="K702" t="s">
        <v>6074</v>
      </c>
      <c r="L702" t="s">
        <v>6074</v>
      </c>
      <c r="N702" t="s">
        <v>7279</v>
      </c>
      <c r="O702" t="s">
        <v>7308</v>
      </c>
      <c r="Q702" t="s">
        <v>7322</v>
      </c>
      <c r="R702" t="s">
        <v>6074</v>
      </c>
      <c r="S702" t="s">
        <v>7324</v>
      </c>
      <c r="U702" t="s">
        <v>438</v>
      </c>
      <c r="V702">
        <v>1155</v>
      </c>
      <c r="W702" t="s">
        <v>7365</v>
      </c>
      <c r="X702" t="s">
        <v>7375</v>
      </c>
      <c r="Z702" t="s">
        <v>7972</v>
      </c>
      <c r="AA702" t="s">
        <v>10027</v>
      </c>
      <c r="AB702" t="s">
        <v>10774</v>
      </c>
      <c r="AC702">
        <v>88</v>
      </c>
      <c r="AD702" t="s">
        <v>12422</v>
      </c>
      <c r="AE702" t="s">
        <v>6110</v>
      </c>
      <c r="AF702">
        <v>8</v>
      </c>
      <c r="AG702">
        <v>1</v>
      </c>
      <c r="AH702">
        <v>0</v>
      </c>
      <c r="AI702">
        <v>49.42</v>
      </c>
      <c r="AL702" t="s">
        <v>12460</v>
      </c>
      <c r="AM702">
        <v>6000</v>
      </c>
      <c r="AS702">
        <v>0</v>
      </c>
      <c r="AU702" t="s">
        <v>13106</v>
      </c>
    </row>
    <row r="703" spans="1:48">
      <c r="A703" s="1">
        <f>HYPERLINK("https://cms.ls-nyc.org/matter/dynamic-profile/view/1900546","19-1900546")</f>
        <v>0</v>
      </c>
      <c r="B703" t="s">
        <v>140</v>
      </c>
      <c r="C703" t="s">
        <v>260</v>
      </c>
      <c r="E703" t="s">
        <v>1040</v>
      </c>
      <c r="F703" t="s">
        <v>2494</v>
      </c>
      <c r="G703" t="s">
        <v>4146</v>
      </c>
      <c r="I703" t="s">
        <v>6043</v>
      </c>
      <c r="J703">
        <v>11229</v>
      </c>
      <c r="K703" t="s">
        <v>6074</v>
      </c>
      <c r="L703" t="s">
        <v>6075</v>
      </c>
      <c r="N703" t="s">
        <v>6104</v>
      </c>
      <c r="O703" t="s">
        <v>7307</v>
      </c>
      <c r="Q703" t="s">
        <v>7322</v>
      </c>
      <c r="R703" t="s">
        <v>6076</v>
      </c>
      <c r="S703" t="s">
        <v>7324</v>
      </c>
      <c r="U703" t="s">
        <v>260</v>
      </c>
      <c r="V703">
        <v>0</v>
      </c>
      <c r="W703" t="s">
        <v>7365</v>
      </c>
      <c r="X703" t="s">
        <v>7375</v>
      </c>
      <c r="Z703" t="s">
        <v>7973</v>
      </c>
      <c r="AC703">
        <v>0</v>
      </c>
      <c r="AD703" t="s">
        <v>6322</v>
      </c>
      <c r="AE703" t="s">
        <v>6110</v>
      </c>
      <c r="AF703">
        <v>0</v>
      </c>
      <c r="AG703">
        <v>2</v>
      </c>
      <c r="AH703">
        <v>0</v>
      </c>
      <c r="AI703">
        <v>49.67</v>
      </c>
      <c r="AL703" t="s">
        <v>12473</v>
      </c>
      <c r="AM703">
        <v>8400</v>
      </c>
      <c r="AS703">
        <v>0</v>
      </c>
      <c r="AU703" t="s">
        <v>13111</v>
      </c>
      <c r="AV703" t="s">
        <v>13145</v>
      </c>
    </row>
    <row r="704" spans="1:48">
      <c r="A704" s="1">
        <f>HYPERLINK("https://cms.ls-nyc.org/matter/dynamic-profile/view/1896744","19-1896744")</f>
        <v>0</v>
      </c>
      <c r="B704" t="s">
        <v>80</v>
      </c>
      <c r="C704" t="s">
        <v>459</v>
      </c>
      <c r="E704" t="s">
        <v>1041</v>
      </c>
      <c r="F704" t="s">
        <v>2495</v>
      </c>
      <c r="G704" t="s">
        <v>4147</v>
      </c>
      <c r="H704" t="s">
        <v>5359</v>
      </c>
      <c r="I704" t="s">
        <v>6043</v>
      </c>
      <c r="J704">
        <v>11213</v>
      </c>
      <c r="K704" t="s">
        <v>6074</v>
      </c>
      <c r="L704" t="s">
        <v>6074</v>
      </c>
      <c r="M704" t="s">
        <v>6439</v>
      </c>
      <c r="N704" t="s">
        <v>7279</v>
      </c>
      <c r="O704" t="s">
        <v>7311</v>
      </c>
      <c r="Q704" t="s">
        <v>7322</v>
      </c>
      <c r="R704" t="s">
        <v>6074</v>
      </c>
      <c r="S704" t="s">
        <v>7324</v>
      </c>
      <c r="U704" t="s">
        <v>337</v>
      </c>
      <c r="V704">
        <v>551</v>
      </c>
      <c r="W704" t="s">
        <v>7362</v>
      </c>
      <c r="X704" t="s">
        <v>7376</v>
      </c>
      <c r="Z704" t="s">
        <v>7974</v>
      </c>
      <c r="AB704" t="s">
        <v>10775</v>
      </c>
      <c r="AC704">
        <v>6</v>
      </c>
      <c r="AD704" t="s">
        <v>12422</v>
      </c>
      <c r="AE704" t="s">
        <v>6110</v>
      </c>
      <c r="AF704">
        <v>15</v>
      </c>
      <c r="AG704">
        <v>2</v>
      </c>
      <c r="AH704">
        <v>0</v>
      </c>
      <c r="AI704">
        <v>49.67</v>
      </c>
      <c r="AL704" t="s">
        <v>12460</v>
      </c>
      <c r="AM704">
        <v>8400</v>
      </c>
      <c r="AN704" t="s">
        <v>12556</v>
      </c>
      <c r="AS704">
        <v>0</v>
      </c>
      <c r="AU704" t="s">
        <v>180</v>
      </c>
    </row>
    <row r="705" spans="1:48">
      <c r="A705" s="1">
        <f>HYPERLINK("https://cms.ls-nyc.org/matter/dynamic-profile/view/1896748","19-1896748")</f>
        <v>0</v>
      </c>
      <c r="B705" t="s">
        <v>80</v>
      </c>
      <c r="C705" t="s">
        <v>459</v>
      </c>
      <c r="E705" t="s">
        <v>1041</v>
      </c>
      <c r="F705" t="s">
        <v>2495</v>
      </c>
      <c r="G705" t="s">
        <v>4147</v>
      </c>
      <c r="H705" t="s">
        <v>5359</v>
      </c>
      <c r="I705" t="s">
        <v>6043</v>
      </c>
      <c r="J705">
        <v>11213</v>
      </c>
      <c r="K705" t="s">
        <v>6074</v>
      </c>
      <c r="L705" t="s">
        <v>6074</v>
      </c>
      <c r="M705" t="s">
        <v>6440</v>
      </c>
      <c r="N705" t="s">
        <v>7273</v>
      </c>
      <c r="O705" t="s">
        <v>7308</v>
      </c>
      <c r="Q705" t="s">
        <v>7322</v>
      </c>
      <c r="R705" t="s">
        <v>6074</v>
      </c>
      <c r="S705" t="s">
        <v>7324</v>
      </c>
      <c r="U705" t="s">
        <v>337</v>
      </c>
      <c r="V705">
        <v>551</v>
      </c>
      <c r="W705" t="s">
        <v>7362</v>
      </c>
      <c r="X705" t="s">
        <v>7376</v>
      </c>
      <c r="Z705" t="s">
        <v>7974</v>
      </c>
      <c r="AB705" t="s">
        <v>10775</v>
      </c>
      <c r="AC705">
        <v>6</v>
      </c>
      <c r="AD705" t="s">
        <v>12422</v>
      </c>
      <c r="AE705" t="s">
        <v>6110</v>
      </c>
      <c r="AF705">
        <v>15</v>
      </c>
      <c r="AG705">
        <v>2</v>
      </c>
      <c r="AH705">
        <v>0</v>
      </c>
      <c r="AI705">
        <v>49.67</v>
      </c>
      <c r="AL705" t="s">
        <v>12460</v>
      </c>
      <c r="AM705">
        <v>8400</v>
      </c>
      <c r="AN705" t="s">
        <v>12556</v>
      </c>
      <c r="AS705">
        <v>11</v>
      </c>
      <c r="AT705" t="s">
        <v>309</v>
      </c>
      <c r="AU705" t="s">
        <v>180</v>
      </c>
    </row>
    <row r="706" spans="1:48">
      <c r="A706" s="1">
        <f>HYPERLINK("https://cms.ls-nyc.org/matter/dynamic-profile/view/1896739","19-1896739")</f>
        <v>0</v>
      </c>
      <c r="B706" t="s">
        <v>80</v>
      </c>
      <c r="C706" t="s">
        <v>459</v>
      </c>
      <c r="E706" t="s">
        <v>1041</v>
      </c>
      <c r="F706" t="s">
        <v>2495</v>
      </c>
      <c r="G706" t="s">
        <v>4147</v>
      </c>
      <c r="H706" t="s">
        <v>5359</v>
      </c>
      <c r="I706" t="s">
        <v>6043</v>
      </c>
      <c r="J706">
        <v>11213</v>
      </c>
      <c r="K706" t="s">
        <v>6074</v>
      </c>
      <c r="L706" t="s">
        <v>6074</v>
      </c>
      <c r="M706" t="s">
        <v>6104</v>
      </c>
      <c r="N706" t="s">
        <v>7275</v>
      </c>
      <c r="O706" t="s">
        <v>7307</v>
      </c>
      <c r="Q706" t="s">
        <v>7322</v>
      </c>
      <c r="R706" t="s">
        <v>6074</v>
      </c>
      <c r="S706" t="s">
        <v>7324</v>
      </c>
      <c r="U706" t="s">
        <v>305</v>
      </c>
      <c r="V706">
        <v>551</v>
      </c>
      <c r="W706" t="s">
        <v>7362</v>
      </c>
      <c r="X706" t="s">
        <v>7376</v>
      </c>
      <c r="Z706" t="s">
        <v>7974</v>
      </c>
      <c r="AB706" t="s">
        <v>10775</v>
      </c>
      <c r="AC706">
        <v>6</v>
      </c>
      <c r="AD706" t="s">
        <v>12422</v>
      </c>
      <c r="AE706" t="s">
        <v>6110</v>
      </c>
      <c r="AF706">
        <v>15</v>
      </c>
      <c r="AG706">
        <v>2</v>
      </c>
      <c r="AH706">
        <v>0</v>
      </c>
      <c r="AI706">
        <v>49.67</v>
      </c>
      <c r="AL706" t="s">
        <v>12460</v>
      </c>
      <c r="AM706">
        <v>8400</v>
      </c>
      <c r="AS706">
        <v>0</v>
      </c>
      <c r="AU706" t="s">
        <v>180</v>
      </c>
    </row>
    <row r="707" spans="1:48">
      <c r="A707" s="1">
        <f>HYPERLINK("https://cms.ls-nyc.org/matter/dynamic-profile/view/1896742","19-1896742")</f>
        <v>0</v>
      </c>
      <c r="B707" t="s">
        <v>80</v>
      </c>
      <c r="C707" t="s">
        <v>459</v>
      </c>
      <c r="E707" t="s">
        <v>1041</v>
      </c>
      <c r="F707" t="s">
        <v>2495</v>
      </c>
      <c r="G707" t="s">
        <v>4147</v>
      </c>
      <c r="H707" t="s">
        <v>5359</v>
      </c>
      <c r="I707" t="s">
        <v>6043</v>
      </c>
      <c r="J707">
        <v>11213</v>
      </c>
      <c r="K707" t="s">
        <v>6074</v>
      </c>
      <c r="L707" t="s">
        <v>6074</v>
      </c>
      <c r="M707" t="s">
        <v>6081</v>
      </c>
      <c r="N707" t="s">
        <v>7275</v>
      </c>
      <c r="O707" t="s">
        <v>7307</v>
      </c>
      <c r="Q707" t="s">
        <v>7322</v>
      </c>
      <c r="R707" t="s">
        <v>6074</v>
      </c>
      <c r="S707" t="s">
        <v>7324</v>
      </c>
      <c r="U707" t="s">
        <v>322</v>
      </c>
      <c r="V707">
        <v>551</v>
      </c>
      <c r="W707" t="s">
        <v>7362</v>
      </c>
      <c r="X707" t="s">
        <v>7376</v>
      </c>
      <c r="Z707" t="s">
        <v>7974</v>
      </c>
      <c r="AB707" t="s">
        <v>10775</v>
      </c>
      <c r="AC707">
        <v>6</v>
      </c>
      <c r="AD707" t="s">
        <v>12422</v>
      </c>
      <c r="AE707" t="s">
        <v>6110</v>
      </c>
      <c r="AF707">
        <v>15</v>
      </c>
      <c r="AG707">
        <v>2</v>
      </c>
      <c r="AH707">
        <v>0</v>
      </c>
      <c r="AI707">
        <v>49.67</v>
      </c>
      <c r="AL707" t="s">
        <v>12460</v>
      </c>
      <c r="AM707">
        <v>8400</v>
      </c>
      <c r="AN707" t="s">
        <v>12556</v>
      </c>
      <c r="AS707">
        <v>1.5</v>
      </c>
      <c r="AT707" t="s">
        <v>13067</v>
      </c>
      <c r="AU707" t="s">
        <v>180</v>
      </c>
    </row>
    <row r="708" spans="1:48">
      <c r="A708" s="1">
        <f>HYPERLINK("https://cms.ls-nyc.org/matter/dynamic-profile/view/1900468","19-1900468")</f>
        <v>0</v>
      </c>
      <c r="B708" t="s">
        <v>74</v>
      </c>
      <c r="C708" t="s">
        <v>241</v>
      </c>
      <c r="E708" t="s">
        <v>1041</v>
      </c>
      <c r="F708" t="s">
        <v>2495</v>
      </c>
      <c r="G708" t="s">
        <v>4147</v>
      </c>
      <c r="H708" t="s">
        <v>5359</v>
      </c>
      <c r="I708" t="s">
        <v>6043</v>
      </c>
      <c r="J708">
        <v>11213</v>
      </c>
      <c r="K708" t="s">
        <v>6076</v>
      </c>
      <c r="L708" t="s">
        <v>6075</v>
      </c>
      <c r="M708" t="s">
        <v>6441</v>
      </c>
      <c r="N708" t="s">
        <v>7276</v>
      </c>
      <c r="O708" t="s">
        <v>7308</v>
      </c>
      <c r="Q708" t="s">
        <v>7322</v>
      </c>
      <c r="R708" t="s">
        <v>6076</v>
      </c>
      <c r="S708" t="s">
        <v>7324</v>
      </c>
      <c r="T708" t="s">
        <v>7336</v>
      </c>
      <c r="U708" t="s">
        <v>397</v>
      </c>
      <c r="V708">
        <v>551</v>
      </c>
      <c r="W708" t="s">
        <v>7362</v>
      </c>
      <c r="X708" t="s">
        <v>7368</v>
      </c>
      <c r="Z708" t="s">
        <v>7974</v>
      </c>
      <c r="AA708" t="s">
        <v>6101</v>
      </c>
      <c r="AB708" t="s">
        <v>10775</v>
      </c>
      <c r="AC708">
        <v>6</v>
      </c>
      <c r="AD708" t="s">
        <v>12422</v>
      </c>
      <c r="AE708" t="s">
        <v>6110</v>
      </c>
      <c r="AF708">
        <v>15</v>
      </c>
      <c r="AG708">
        <v>2</v>
      </c>
      <c r="AH708">
        <v>0</v>
      </c>
      <c r="AI708">
        <v>49.67</v>
      </c>
      <c r="AL708" t="s">
        <v>12460</v>
      </c>
      <c r="AM708">
        <v>8400</v>
      </c>
      <c r="AS708">
        <v>0.1</v>
      </c>
      <c r="AT708" t="s">
        <v>260</v>
      </c>
      <c r="AU708" t="s">
        <v>218</v>
      </c>
      <c r="AV708" t="s">
        <v>6110</v>
      </c>
    </row>
    <row r="709" spans="1:48">
      <c r="A709" s="1">
        <f>HYPERLINK("https://cms.ls-nyc.org/matter/dynamic-profile/view/1901300","19-1901300")</f>
        <v>0</v>
      </c>
      <c r="B709" t="s">
        <v>142</v>
      </c>
      <c r="C709" t="s">
        <v>460</v>
      </c>
      <c r="E709" t="s">
        <v>746</v>
      </c>
      <c r="F709" t="s">
        <v>2496</v>
      </c>
      <c r="G709" t="s">
        <v>4148</v>
      </c>
      <c r="H709" t="s">
        <v>5489</v>
      </c>
      <c r="I709" t="s">
        <v>6043</v>
      </c>
      <c r="J709">
        <v>11212</v>
      </c>
      <c r="K709" t="s">
        <v>6074</v>
      </c>
      <c r="L709" t="s">
        <v>6075</v>
      </c>
      <c r="M709" t="s">
        <v>6442</v>
      </c>
      <c r="N709" t="s">
        <v>7282</v>
      </c>
      <c r="O709" t="s">
        <v>7308</v>
      </c>
      <c r="Q709" t="s">
        <v>7322</v>
      </c>
      <c r="S709" t="s">
        <v>7324</v>
      </c>
      <c r="T709" t="s">
        <v>7336</v>
      </c>
      <c r="U709" t="s">
        <v>324</v>
      </c>
      <c r="V709">
        <v>1500</v>
      </c>
      <c r="W709" t="s">
        <v>7362</v>
      </c>
      <c r="X709" t="s">
        <v>7368</v>
      </c>
      <c r="Z709" t="s">
        <v>7975</v>
      </c>
      <c r="AB709" t="s">
        <v>10776</v>
      </c>
      <c r="AC709">
        <v>6</v>
      </c>
      <c r="AD709" t="s">
        <v>12422</v>
      </c>
      <c r="AF709">
        <v>2</v>
      </c>
      <c r="AG709">
        <v>2</v>
      </c>
      <c r="AH709">
        <v>0</v>
      </c>
      <c r="AI709">
        <v>49.67</v>
      </c>
      <c r="AL709" t="s">
        <v>12460</v>
      </c>
      <c r="AM709">
        <v>8400</v>
      </c>
      <c r="AS709">
        <v>0</v>
      </c>
      <c r="AU709" t="s">
        <v>218</v>
      </c>
      <c r="AV709" t="s">
        <v>13145</v>
      </c>
    </row>
    <row r="710" spans="1:48">
      <c r="A710" s="1">
        <f>HYPERLINK("https://cms.ls-nyc.org/matter/dynamic-profile/view/1901303","19-1901303")</f>
        <v>0</v>
      </c>
      <c r="B710" t="s">
        <v>142</v>
      </c>
      <c r="C710" t="s">
        <v>460</v>
      </c>
      <c r="D710" t="s">
        <v>460</v>
      </c>
      <c r="E710" t="s">
        <v>746</v>
      </c>
      <c r="F710" t="s">
        <v>2496</v>
      </c>
      <c r="G710" t="s">
        <v>4148</v>
      </c>
      <c r="H710" t="s">
        <v>5489</v>
      </c>
      <c r="I710" t="s">
        <v>6043</v>
      </c>
      <c r="J710">
        <v>11212</v>
      </c>
      <c r="K710" t="s">
        <v>6074</v>
      </c>
      <c r="L710" t="s">
        <v>6075</v>
      </c>
      <c r="N710" t="s">
        <v>7275</v>
      </c>
      <c r="O710" t="s">
        <v>7307</v>
      </c>
      <c r="P710" t="s">
        <v>7315</v>
      </c>
      <c r="Q710" t="s">
        <v>7322</v>
      </c>
      <c r="R710" t="s">
        <v>6074</v>
      </c>
      <c r="S710" t="s">
        <v>7324</v>
      </c>
      <c r="U710" t="s">
        <v>280</v>
      </c>
      <c r="V710">
        <v>1500</v>
      </c>
      <c r="W710" t="s">
        <v>7362</v>
      </c>
      <c r="X710" t="s">
        <v>7368</v>
      </c>
      <c r="Y710" t="s">
        <v>7394</v>
      </c>
      <c r="Z710" t="s">
        <v>7975</v>
      </c>
      <c r="AB710" t="s">
        <v>10776</v>
      </c>
      <c r="AC710">
        <v>6</v>
      </c>
      <c r="AD710" t="s">
        <v>12422</v>
      </c>
      <c r="AF710">
        <v>2</v>
      </c>
      <c r="AG710">
        <v>2</v>
      </c>
      <c r="AH710">
        <v>0</v>
      </c>
      <c r="AI710">
        <v>49.67</v>
      </c>
      <c r="AL710" t="s">
        <v>12460</v>
      </c>
      <c r="AM710">
        <v>8400</v>
      </c>
      <c r="AS710">
        <v>0.5</v>
      </c>
      <c r="AT710" t="s">
        <v>460</v>
      </c>
      <c r="AU710" t="s">
        <v>218</v>
      </c>
      <c r="AV710" t="s">
        <v>13145</v>
      </c>
    </row>
    <row r="711" spans="1:48">
      <c r="A711" s="1">
        <f>HYPERLINK("https://cms.ls-nyc.org/matter/dynamic-profile/view/1873432","18-1873432")</f>
        <v>0</v>
      </c>
      <c r="B711" t="s">
        <v>102</v>
      </c>
      <c r="C711" t="s">
        <v>232</v>
      </c>
      <c r="D711" t="s">
        <v>245</v>
      </c>
      <c r="E711" t="s">
        <v>1042</v>
      </c>
      <c r="F711" t="s">
        <v>2497</v>
      </c>
      <c r="G711" t="s">
        <v>4149</v>
      </c>
      <c r="H711" t="s">
        <v>5355</v>
      </c>
      <c r="I711" t="s">
        <v>6047</v>
      </c>
      <c r="J711">
        <v>10459</v>
      </c>
      <c r="K711" t="s">
        <v>6074</v>
      </c>
      <c r="L711" t="s">
        <v>6074</v>
      </c>
      <c r="M711" t="s">
        <v>6443</v>
      </c>
      <c r="N711" t="s">
        <v>7274</v>
      </c>
      <c r="O711" t="s">
        <v>7307</v>
      </c>
      <c r="P711" t="s">
        <v>7315</v>
      </c>
      <c r="Q711" t="s">
        <v>7322</v>
      </c>
      <c r="R711" t="s">
        <v>6076</v>
      </c>
      <c r="S711" t="s">
        <v>7324</v>
      </c>
      <c r="U711" t="s">
        <v>355</v>
      </c>
      <c r="V711">
        <v>1000</v>
      </c>
      <c r="W711" t="s">
        <v>7363</v>
      </c>
      <c r="Y711" t="s">
        <v>7395</v>
      </c>
      <c r="Z711" t="s">
        <v>7976</v>
      </c>
      <c r="AA711" t="s">
        <v>10028</v>
      </c>
      <c r="AB711" t="s">
        <v>10777</v>
      </c>
      <c r="AC711">
        <v>17</v>
      </c>
      <c r="AD711" t="s">
        <v>6322</v>
      </c>
      <c r="AF711">
        <v>1</v>
      </c>
      <c r="AG711">
        <v>1</v>
      </c>
      <c r="AH711">
        <v>3</v>
      </c>
      <c r="AI711">
        <v>49.72</v>
      </c>
      <c r="AL711" t="s">
        <v>12461</v>
      </c>
      <c r="AM711">
        <v>12480</v>
      </c>
      <c r="AS711">
        <v>0.5</v>
      </c>
      <c r="AT711" t="s">
        <v>437</v>
      </c>
      <c r="AU711" t="s">
        <v>13099</v>
      </c>
    </row>
    <row r="712" spans="1:48">
      <c r="A712" s="1">
        <f>HYPERLINK("https://cms.ls-nyc.org/matter/dynamic-profile/view/1893686","19-1893686")</f>
        <v>0</v>
      </c>
      <c r="B712" t="s">
        <v>174</v>
      </c>
      <c r="C712" t="s">
        <v>436</v>
      </c>
      <c r="E712" t="s">
        <v>1043</v>
      </c>
      <c r="F712" t="s">
        <v>2498</v>
      </c>
      <c r="G712" t="s">
        <v>4150</v>
      </c>
      <c r="H712" t="s">
        <v>5439</v>
      </c>
      <c r="I712" t="s">
        <v>6043</v>
      </c>
      <c r="J712">
        <v>11221</v>
      </c>
      <c r="K712" t="s">
        <v>6074</v>
      </c>
      <c r="L712" t="s">
        <v>6074</v>
      </c>
      <c r="M712" t="s">
        <v>6444</v>
      </c>
      <c r="N712" t="s">
        <v>7276</v>
      </c>
      <c r="O712" t="s">
        <v>7308</v>
      </c>
      <c r="Q712" t="s">
        <v>7322</v>
      </c>
      <c r="R712" t="s">
        <v>6076</v>
      </c>
      <c r="S712" t="s">
        <v>7324</v>
      </c>
      <c r="T712" t="s">
        <v>7336</v>
      </c>
      <c r="U712" t="s">
        <v>337</v>
      </c>
      <c r="V712">
        <v>1050</v>
      </c>
      <c r="W712" t="s">
        <v>7362</v>
      </c>
      <c r="Z712" t="s">
        <v>7977</v>
      </c>
      <c r="AA712" t="s">
        <v>9871</v>
      </c>
      <c r="AB712" t="s">
        <v>10778</v>
      </c>
      <c r="AC712">
        <v>0</v>
      </c>
      <c r="AD712" t="s">
        <v>12422</v>
      </c>
      <c r="AE712" t="s">
        <v>12434</v>
      </c>
      <c r="AF712">
        <v>15</v>
      </c>
      <c r="AG712">
        <v>2</v>
      </c>
      <c r="AH712">
        <v>0</v>
      </c>
      <c r="AI712">
        <v>49.75</v>
      </c>
      <c r="AM712">
        <v>8412</v>
      </c>
      <c r="AS712">
        <v>16.5</v>
      </c>
      <c r="AT712" t="s">
        <v>265</v>
      </c>
      <c r="AU712" t="s">
        <v>218</v>
      </c>
    </row>
    <row r="713" spans="1:48">
      <c r="A713" s="1">
        <f>HYPERLINK("https://cms.ls-nyc.org/matter/dynamic-profile/view/1898212","19-1898212")</f>
        <v>0</v>
      </c>
      <c r="B713" t="s">
        <v>70</v>
      </c>
      <c r="C713" t="s">
        <v>343</v>
      </c>
      <c r="E713" t="s">
        <v>657</v>
      </c>
      <c r="F713" t="s">
        <v>2499</v>
      </c>
      <c r="G713" t="s">
        <v>3720</v>
      </c>
      <c r="H713" t="s">
        <v>5397</v>
      </c>
      <c r="I713" t="s">
        <v>6043</v>
      </c>
      <c r="J713">
        <v>11226</v>
      </c>
      <c r="K713" t="s">
        <v>6074</v>
      </c>
      <c r="L713" t="s">
        <v>6074</v>
      </c>
      <c r="M713" t="s">
        <v>6445</v>
      </c>
      <c r="N713" t="s">
        <v>7283</v>
      </c>
      <c r="O713" t="s">
        <v>7309</v>
      </c>
      <c r="Q713" t="s">
        <v>7322</v>
      </c>
      <c r="R713" t="s">
        <v>6074</v>
      </c>
      <c r="S713" t="s">
        <v>7324</v>
      </c>
      <c r="T713" t="s">
        <v>7336</v>
      </c>
      <c r="U713" t="s">
        <v>263</v>
      </c>
      <c r="V713">
        <v>1031.15</v>
      </c>
      <c r="W713" t="s">
        <v>7362</v>
      </c>
      <c r="X713" t="s">
        <v>7370</v>
      </c>
      <c r="Z713" t="s">
        <v>7978</v>
      </c>
      <c r="AB713" t="s">
        <v>10779</v>
      </c>
      <c r="AC713">
        <v>55</v>
      </c>
      <c r="AD713" t="s">
        <v>12422</v>
      </c>
      <c r="AE713" t="s">
        <v>12441</v>
      </c>
      <c r="AF713">
        <v>40</v>
      </c>
      <c r="AG713">
        <v>2</v>
      </c>
      <c r="AH713">
        <v>2</v>
      </c>
      <c r="AI713">
        <v>49.82</v>
      </c>
      <c r="AL713" t="s">
        <v>3291</v>
      </c>
      <c r="AM713">
        <v>12828</v>
      </c>
      <c r="AS713">
        <v>0.85</v>
      </c>
      <c r="AT713" t="s">
        <v>446</v>
      </c>
      <c r="AU713" t="s">
        <v>70</v>
      </c>
    </row>
    <row r="714" spans="1:48">
      <c r="A714" s="1">
        <f>HYPERLINK("https://cms.ls-nyc.org/matter/dynamic-profile/view/1889478","19-1889478")</f>
        <v>0</v>
      </c>
      <c r="B714" t="s">
        <v>118</v>
      </c>
      <c r="C714" t="s">
        <v>366</v>
      </c>
      <c r="E714" t="s">
        <v>1044</v>
      </c>
      <c r="F714" t="s">
        <v>2500</v>
      </c>
      <c r="G714" t="s">
        <v>4151</v>
      </c>
      <c r="H714" t="s">
        <v>5574</v>
      </c>
      <c r="I714" t="s">
        <v>6048</v>
      </c>
      <c r="J714">
        <v>10304</v>
      </c>
      <c r="K714" t="s">
        <v>6076</v>
      </c>
      <c r="L714" t="s">
        <v>6076</v>
      </c>
      <c r="M714" t="s">
        <v>6204</v>
      </c>
      <c r="N714" t="s">
        <v>6104</v>
      </c>
      <c r="O714" t="s">
        <v>7307</v>
      </c>
      <c r="Q714" t="s">
        <v>7322</v>
      </c>
      <c r="R714" t="s">
        <v>6076</v>
      </c>
      <c r="S714" t="s">
        <v>7331</v>
      </c>
      <c r="U714" t="s">
        <v>366</v>
      </c>
      <c r="V714">
        <v>320</v>
      </c>
      <c r="W714" t="s">
        <v>7364</v>
      </c>
      <c r="X714" t="s">
        <v>7370</v>
      </c>
      <c r="Z714" t="s">
        <v>7979</v>
      </c>
      <c r="AB714" t="s">
        <v>10780</v>
      </c>
      <c r="AC714">
        <v>0</v>
      </c>
      <c r="AE714" t="s">
        <v>12434</v>
      </c>
      <c r="AF714">
        <v>0</v>
      </c>
      <c r="AG714">
        <v>1</v>
      </c>
      <c r="AH714">
        <v>6</v>
      </c>
      <c r="AI714">
        <v>49.84</v>
      </c>
      <c r="AL714" t="s">
        <v>12464</v>
      </c>
      <c r="AM714">
        <v>19442</v>
      </c>
      <c r="AS714">
        <v>1.3</v>
      </c>
      <c r="AT714" t="s">
        <v>366</v>
      </c>
      <c r="AU714" t="s">
        <v>118</v>
      </c>
    </row>
    <row r="715" spans="1:48">
      <c r="A715" s="1">
        <f>HYPERLINK("https://cms.ls-nyc.org/matter/dynamic-profile/view/1885048","18-1885048")</f>
        <v>0</v>
      </c>
      <c r="B715" t="s">
        <v>80</v>
      </c>
      <c r="C715" t="s">
        <v>435</v>
      </c>
      <c r="E715" t="s">
        <v>730</v>
      </c>
      <c r="F715" t="s">
        <v>2488</v>
      </c>
      <c r="G715" t="s">
        <v>3871</v>
      </c>
      <c r="H715" t="s">
        <v>5418</v>
      </c>
      <c r="I715" t="s">
        <v>6043</v>
      </c>
      <c r="J715">
        <v>11213</v>
      </c>
      <c r="K715" t="s">
        <v>6074</v>
      </c>
      <c r="L715" t="s">
        <v>6074</v>
      </c>
      <c r="N715" t="s">
        <v>7279</v>
      </c>
      <c r="O715" t="s">
        <v>7311</v>
      </c>
      <c r="Q715" t="s">
        <v>7322</v>
      </c>
      <c r="R715" t="s">
        <v>6074</v>
      </c>
      <c r="S715" t="s">
        <v>7324</v>
      </c>
      <c r="U715" t="s">
        <v>262</v>
      </c>
      <c r="V715">
        <v>412</v>
      </c>
      <c r="W715" t="s">
        <v>7362</v>
      </c>
      <c r="X715" t="s">
        <v>7381</v>
      </c>
      <c r="Z715" t="s">
        <v>7965</v>
      </c>
      <c r="AB715" t="s">
        <v>10768</v>
      </c>
      <c r="AC715">
        <v>19</v>
      </c>
      <c r="AD715" t="s">
        <v>12422</v>
      </c>
      <c r="AF715">
        <v>12</v>
      </c>
      <c r="AG715">
        <v>3</v>
      </c>
      <c r="AH715">
        <v>0</v>
      </c>
      <c r="AI715">
        <v>50.05</v>
      </c>
      <c r="AL715" t="s">
        <v>12460</v>
      </c>
      <c r="AM715">
        <v>10400</v>
      </c>
      <c r="AS715">
        <v>0</v>
      </c>
      <c r="AU715" t="s">
        <v>180</v>
      </c>
    </row>
    <row r="716" spans="1:48">
      <c r="A716" s="1">
        <f>HYPERLINK("https://cms.ls-nyc.org/matter/dynamic-profile/view/1885024","18-1885024")</f>
        <v>0</v>
      </c>
      <c r="B716" t="s">
        <v>80</v>
      </c>
      <c r="C716" t="s">
        <v>269</v>
      </c>
      <c r="E716" t="s">
        <v>730</v>
      </c>
      <c r="F716" t="s">
        <v>2488</v>
      </c>
      <c r="G716" t="s">
        <v>3871</v>
      </c>
      <c r="H716" t="s">
        <v>5418</v>
      </c>
      <c r="I716" t="s">
        <v>6043</v>
      </c>
      <c r="J716">
        <v>11213</v>
      </c>
      <c r="K716" t="s">
        <v>6074</v>
      </c>
      <c r="L716" t="s">
        <v>6074</v>
      </c>
      <c r="M716" t="s">
        <v>6397</v>
      </c>
      <c r="N716" t="s">
        <v>7273</v>
      </c>
      <c r="O716" t="s">
        <v>7308</v>
      </c>
      <c r="Q716" t="s">
        <v>7322</v>
      </c>
      <c r="R716" t="s">
        <v>6074</v>
      </c>
      <c r="S716" t="s">
        <v>7324</v>
      </c>
      <c r="U716" t="s">
        <v>262</v>
      </c>
      <c r="V716">
        <v>412</v>
      </c>
      <c r="W716" t="s">
        <v>7362</v>
      </c>
      <c r="X716" t="s">
        <v>7381</v>
      </c>
      <c r="Z716" t="s">
        <v>7965</v>
      </c>
      <c r="AB716" t="s">
        <v>10768</v>
      </c>
      <c r="AC716">
        <v>19</v>
      </c>
      <c r="AD716" t="s">
        <v>12422</v>
      </c>
      <c r="AF716">
        <v>12</v>
      </c>
      <c r="AG716">
        <v>3</v>
      </c>
      <c r="AH716">
        <v>0</v>
      </c>
      <c r="AI716">
        <v>50.05</v>
      </c>
      <c r="AL716" t="s">
        <v>12460</v>
      </c>
      <c r="AM716">
        <v>10400</v>
      </c>
      <c r="AS716">
        <v>0</v>
      </c>
      <c r="AU716" t="s">
        <v>180</v>
      </c>
    </row>
    <row r="717" spans="1:48">
      <c r="A717" s="1">
        <f>HYPERLINK("https://cms.ls-nyc.org/matter/dynamic-profile/view/1885029","18-1885029")</f>
        <v>0</v>
      </c>
      <c r="B717" t="s">
        <v>80</v>
      </c>
      <c r="C717" t="s">
        <v>269</v>
      </c>
      <c r="D717" t="s">
        <v>396</v>
      </c>
      <c r="E717" t="s">
        <v>730</v>
      </c>
      <c r="F717" t="s">
        <v>2488</v>
      </c>
      <c r="G717" t="s">
        <v>3871</v>
      </c>
      <c r="H717" t="s">
        <v>5418</v>
      </c>
      <c r="I717" t="s">
        <v>6043</v>
      </c>
      <c r="J717">
        <v>11213</v>
      </c>
      <c r="K717" t="s">
        <v>6074</v>
      </c>
      <c r="L717" t="s">
        <v>6074</v>
      </c>
      <c r="N717" t="s">
        <v>7275</v>
      </c>
      <c r="O717" t="s">
        <v>7307</v>
      </c>
      <c r="P717" t="s">
        <v>7315</v>
      </c>
      <c r="Q717" t="s">
        <v>7322</v>
      </c>
      <c r="R717" t="s">
        <v>6074</v>
      </c>
      <c r="S717" t="s">
        <v>7324</v>
      </c>
      <c r="U717" t="s">
        <v>262</v>
      </c>
      <c r="V717">
        <v>412</v>
      </c>
      <c r="W717" t="s">
        <v>7362</v>
      </c>
      <c r="X717" t="s">
        <v>7381</v>
      </c>
      <c r="Y717" t="s">
        <v>7394</v>
      </c>
      <c r="Z717" t="s">
        <v>7965</v>
      </c>
      <c r="AB717" t="s">
        <v>10768</v>
      </c>
      <c r="AC717">
        <v>19</v>
      </c>
      <c r="AD717" t="s">
        <v>12422</v>
      </c>
      <c r="AF717">
        <v>12</v>
      </c>
      <c r="AG717">
        <v>3</v>
      </c>
      <c r="AH717">
        <v>0</v>
      </c>
      <c r="AI717">
        <v>50.05</v>
      </c>
      <c r="AL717" t="s">
        <v>12460</v>
      </c>
      <c r="AM717">
        <v>10400</v>
      </c>
      <c r="AS717">
        <v>0.08</v>
      </c>
      <c r="AT717" t="s">
        <v>390</v>
      </c>
      <c r="AU717" t="s">
        <v>180</v>
      </c>
    </row>
    <row r="718" spans="1:48">
      <c r="A718" s="1">
        <f>HYPERLINK("https://cms.ls-nyc.org/matter/dynamic-profile/view/1875780","18-1875780")</f>
        <v>0</v>
      </c>
      <c r="B718" t="s">
        <v>96</v>
      </c>
      <c r="C718" t="s">
        <v>353</v>
      </c>
      <c r="E718" t="s">
        <v>862</v>
      </c>
      <c r="F718" t="s">
        <v>2501</v>
      </c>
      <c r="G718" t="s">
        <v>4152</v>
      </c>
      <c r="H718" t="s">
        <v>5529</v>
      </c>
      <c r="I718" t="s">
        <v>6047</v>
      </c>
      <c r="J718">
        <v>10456</v>
      </c>
      <c r="K718" t="s">
        <v>6074</v>
      </c>
      <c r="L718" t="s">
        <v>6074</v>
      </c>
      <c r="M718" t="s">
        <v>6446</v>
      </c>
      <c r="N718" t="s">
        <v>7279</v>
      </c>
      <c r="O718" t="s">
        <v>7311</v>
      </c>
      <c r="Q718" t="s">
        <v>7322</v>
      </c>
      <c r="R718" t="s">
        <v>6074</v>
      </c>
      <c r="S718" t="s">
        <v>7324</v>
      </c>
      <c r="U718" t="s">
        <v>502</v>
      </c>
      <c r="V718">
        <v>1380</v>
      </c>
      <c r="W718" t="s">
        <v>7363</v>
      </c>
      <c r="X718" t="s">
        <v>7376</v>
      </c>
      <c r="Z718" t="s">
        <v>7980</v>
      </c>
      <c r="AB718" t="s">
        <v>10781</v>
      </c>
      <c r="AC718">
        <v>61</v>
      </c>
      <c r="AD718" t="s">
        <v>12422</v>
      </c>
      <c r="AE718" t="s">
        <v>12434</v>
      </c>
      <c r="AF718">
        <v>17</v>
      </c>
      <c r="AG718">
        <v>3</v>
      </c>
      <c r="AH718">
        <v>0</v>
      </c>
      <c r="AI718">
        <v>50.05</v>
      </c>
      <c r="AL718" t="s">
        <v>12461</v>
      </c>
      <c r="AM718">
        <v>10400</v>
      </c>
      <c r="AS718">
        <v>0</v>
      </c>
      <c r="AU718" t="s">
        <v>13095</v>
      </c>
    </row>
    <row r="719" spans="1:48">
      <c r="A719" s="1">
        <f>HYPERLINK("https://cms.ls-nyc.org/matter/dynamic-profile/view/1874172","18-1874172")</f>
        <v>0</v>
      </c>
      <c r="B719" t="s">
        <v>130</v>
      </c>
      <c r="C719" t="s">
        <v>384</v>
      </c>
      <c r="D719" t="s">
        <v>307</v>
      </c>
      <c r="E719" t="s">
        <v>586</v>
      </c>
      <c r="F719" t="s">
        <v>2502</v>
      </c>
      <c r="G719" t="s">
        <v>4153</v>
      </c>
      <c r="H719" t="s">
        <v>5417</v>
      </c>
      <c r="I719" t="s">
        <v>6049</v>
      </c>
      <c r="J719">
        <v>10034</v>
      </c>
      <c r="K719" t="s">
        <v>6074</v>
      </c>
      <c r="L719" t="s">
        <v>6074</v>
      </c>
      <c r="N719" t="s">
        <v>7276</v>
      </c>
      <c r="O719" t="s">
        <v>7306</v>
      </c>
      <c r="P719" t="s">
        <v>7314</v>
      </c>
      <c r="Q719" t="s">
        <v>7322</v>
      </c>
      <c r="R719" t="s">
        <v>6076</v>
      </c>
      <c r="S719" t="s">
        <v>7324</v>
      </c>
      <c r="U719" t="s">
        <v>384</v>
      </c>
      <c r="V719">
        <v>828.3099999999999</v>
      </c>
      <c r="W719" t="s">
        <v>7365</v>
      </c>
      <c r="X719" t="s">
        <v>7367</v>
      </c>
      <c r="Y719" t="s">
        <v>7386</v>
      </c>
      <c r="Z719" t="s">
        <v>7981</v>
      </c>
      <c r="AB719" t="s">
        <v>10782</v>
      </c>
      <c r="AC719">
        <v>40</v>
      </c>
      <c r="AD719" t="s">
        <v>12422</v>
      </c>
      <c r="AE719" t="s">
        <v>12441</v>
      </c>
      <c r="AF719">
        <v>44</v>
      </c>
      <c r="AG719">
        <v>1</v>
      </c>
      <c r="AH719">
        <v>0</v>
      </c>
      <c r="AI719">
        <v>50.33</v>
      </c>
      <c r="AL719" t="s">
        <v>12460</v>
      </c>
      <c r="AM719">
        <v>6110.4</v>
      </c>
      <c r="AS719">
        <v>0.1</v>
      </c>
      <c r="AT719" t="s">
        <v>273</v>
      </c>
      <c r="AU719" t="s">
        <v>13106</v>
      </c>
    </row>
    <row r="720" spans="1:48">
      <c r="A720" s="1">
        <f>HYPERLINK("https://cms.ls-nyc.org/matter/dynamic-profile/view/1879757","18-1879757")</f>
        <v>0</v>
      </c>
      <c r="B720" t="s">
        <v>126</v>
      </c>
      <c r="C720" t="s">
        <v>325</v>
      </c>
      <c r="E720" t="s">
        <v>698</v>
      </c>
      <c r="F720" t="s">
        <v>2374</v>
      </c>
      <c r="G720" t="s">
        <v>4154</v>
      </c>
      <c r="H720">
        <v>805</v>
      </c>
      <c r="I720" t="s">
        <v>6049</v>
      </c>
      <c r="J720">
        <v>10029</v>
      </c>
      <c r="K720" t="s">
        <v>6074</v>
      </c>
      <c r="L720" t="s">
        <v>6074</v>
      </c>
      <c r="M720" t="s">
        <v>6447</v>
      </c>
      <c r="N720" t="s">
        <v>7274</v>
      </c>
      <c r="O720" t="s">
        <v>7308</v>
      </c>
      <c r="Q720" t="s">
        <v>7322</v>
      </c>
      <c r="R720" t="s">
        <v>6076</v>
      </c>
      <c r="S720" t="s">
        <v>7324</v>
      </c>
      <c r="T720" t="s">
        <v>7336</v>
      </c>
      <c r="U720" t="s">
        <v>256</v>
      </c>
      <c r="V720">
        <v>1600</v>
      </c>
      <c r="W720" t="s">
        <v>7365</v>
      </c>
      <c r="X720" t="s">
        <v>7380</v>
      </c>
      <c r="Z720" t="s">
        <v>7982</v>
      </c>
      <c r="AB720" t="s">
        <v>10783</v>
      </c>
      <c r="AC720">
        <v>259</v>
      </c>
      <c r="AD720" t="s">
        <v>12422</v>
      </c>
      <c r="AE720" t="s">
        <v>12434</v>
      </c>
      <c r="AF720">
        <v>5</v>
      </c>
      <c r="AG720">
        <v>2</v>
      </c>
      <c r="AH720">
        <v>0</v>
      </c>
      <c r="AI720">
        <v>50.35</v>
      </c>
      <c r="AL720" t="s">
        <v>12460</v>
      </c>
      <c r="AM720">
        <v>8288</v>
      </c>
      <c r="AS720">
        <v>19.28</v>
      </c>
      <c r="AT720" t="s">
        <v>423</v>
      </c>
      <c r="AU720" t="s">
        <v>13090</v>
      </c>
    </row>
    <row r="721" spans="1:47">
      <c r="A721" s="1">
        <f>HYPERLINK("https://cms.ls-nyc.org/matter/dynamic-profile/view/1895025","19-1895025")</f>
        <v>0</v>
      </c>
      <c r="B721" t="s">
        <v>148</v>
      </c>
      <c r="C721" t="s">
        <v>252</v>
      </c>
      <c r="E721" t="s">
        <v>684</v>
      </c>
      <c r="F721" t="s">
        <v>2503</v>
      </c>
      <c r="G721" t="s">
        <v>4155</v>
      </c>
      <c r="H721" t="s">
        <v>5361</v>
      </c>
      <c r="I721" t="s">
        <v>6043</v>
      </c>
      <c r="J721">
        <v>11207</v>
      </c>
      <c r="K721" t="s">
        <v>6074</v>
      </c>
      <c r="L721" t="s">
        <v>6074</v>
      </c>
      <c r="M721" t="s">
        <v>6448</v>
      </c>
      <c r="N721" t="s">
        <v>7274</v>
      </c>
      <c r="O721" t="s">
        <v>7308</v>
      </c>
      <c r="Q721" t="s">
        <v>7322</v>
      </c>
      <c r="R721" t="s">
        <v>6076</v>
      </c>
      <c r="S721" t="s">
        <v>7324</v>
      </c>
      <c r="U721" t="s">
        <v>334</v>
      </c>
      <c r="V721">
        <v>0</v>
      </c>
      <c r="W721" t="s">
        <v>7362</v>
      </c>
      <c r="X721" t="s">
        <v>7305</v>
      </c>
      <c r="Z721" t="s">
        <v>7983</v>
      </c>
      <c r="AC721">
        <v>2</v>
      </c>
      <c r="AD721" t="s">
        <v>12419</v>
      </c>
      <c r="AE721" t="s">
        <v>6110</v>
      </c>
      <c r="AF721">
        <v>7</v>
      </c>
      <c r="AG721">
        <v>2</v>
      </c>
      <c r="AH721">
        <v>2</v>
      </c>
      <c r="AI721">
        <v>50.49</v>
      </c>
      <c r="AL721" t="s">
        <v>12460</v>
      </c>
      <c r="AM721">
        <v>13000</v>
      </c>
      <c r="AN721" t="s">
        <v>12511</v>
      </c>
      <c r="AS721">
        <v>10.65</v>
      </c>
      <c r="AT721" t="s">
        <v>309</v>
      </c>
      <c r="AU721" t="s">
        <v>180</v>
      </c>
    </row>
    <row r="722" spans="1:47">
      <c r="A722" s="1">
        <f>HYPERLINK("https://cms.ls-nyc.org/matter/dynamic-profile/view/1879487","18-1879487")</f>
        <v>0</v>
      </c>
      <c r="B722" t="s">
        <v>52</v>
      </c>
      <c r="C722" t="s">
        <v>239</v>
      </c>
      <c r="E722" t="s">
        <v>1045</v>
      </c>
      <c r="F722" t="s">
        <v>2504</v>
      </c>
      <c r="G722" t="s">
        <v>3649</v>
      </c>
      <c r="H722">
        <v>711</v>
      </c>
      <c r="I722" t="s">
        <v>6024</v>
      </c>
      <c r="J722">
        <v>11692</v>
      </c>
      <c r="K722" t="s">
        <v>6074</v>
      </c>
      <c r="L722" t="s">
        <v>6074</v>
      </c>
      <c r="M722" t="s">
        <v>6449</v>
      </c>
      <c r="N722" t="s">
        <v>7276</v>
      </c>
      <c r="O722" t="s">
        <v>7308</v>
      </c>
      <c r="Q722" t="s">
        <v>7322</v>
      </c>
      <c r="R722" t="s">
        <v>6076</v>
      </c>
      <c r="S722" t="s">
        <v>7324</v>
      </c>
      <c r="T722" t="s">
        <v>7336</v>
      </c>
      <c r="U722" t="s">
        <v>239</v>
      </c>
      <c r="V722">
        <v>1657</v>
      </c>
      <c r="W722" t="s">
        <v>7361</v>
      </c>
      <c r="X722" t="s">
        <v>7366</v>
      </c>
      <c r="Z722" t="s">
        <v>7984</v>
      </c>
      <c r="AA722" t="s">
        <v>10029</v>
      </c>
      <c r="AB722" t="s">
        <v>10784</v>
      </c>
      <c r="AC722">
        <v>103</v>
      </c>
      <c r="AD722" t="s">
        <v>12423</v>
      </c>
      <c r="AE722" t="s">
        <v>12435</v>
      </c>
      <c r="AF722">
        <v>5</v>
      </c>
      <c r="AG722">
        <v>1</v>
      </c>
      <c r="AH722">
        <v>4</v>
      </c>
      <c r="AI722">
        <v>50.99</v>
      </c>
      <c r="AL722" t="s">
        <v>12460</v>
      </c>
      <c r="AM722">
        <v>15000</v>
      </c>
      <c r="AS722">
        <v>49.8</v>
      </c>
      <c r="AT722" t="s">
        <v>564</v>
      </c>
      <c r="AU722" t="s">
        <v>48</v>
      </c>
    </row>
    <row r="723" spans="1:47">
      <c r="A723" s="1">
        <f>HYPERLINK("https://cms.ls-nyc.org/matter/dynamic-profile/view/1878422","18-1878422")</f>
        <v>0</v>
      </c>
      <c r="B723" t="s">
        <v>168</v>
      </c>
      <c r="C723" t="s">
        <v>373</v>
      </c>
      <c r="D723" t="s">
        <v>448</v>
      </c>
      <c r="E723" t="s">
        <v>1046</v>
      </c>
      <c r="F723" t="s">
        <v>2505</v>
      </c>
      <c r="G723" t="s">
        <v>4156</v>
      </c>
      <c r="H723" t="s">
        <v>5575</v>
      </c>
      <c r="I723" t="s">
        <v>6043</v>
      </c>
      <c r="J723">
        <v>11239</v>
      </c>
      <c r="K723" t="s">
        <v>6074</v>
      </c>
      <c r="L723" t="s">
        <v>6074</v>
      </c>
      <c r="M723" t="s">
        <v>6450</v>
      </c>
      <c r="N723" t="s">
        <v>7274</v>
      </c>
      <c r="O723" t="s">
        <v>7308</v>
      </c>
      <c r="P723" t="s">
        <v>7316</v>
      </c>
      <c r="Q723" t="s">
        <v>7322</v>
      </c>
      <c r="S723" t="s">
        <v>7324</v>
      </c>
      <c r="U723" t="s">
        <v>273</v>
      </c>
      <c r="V723">
        <v>2800</v>
      </c>
      <c r="W723" t="s">
        <v>7362</v>
      </c>
      <c r="X723" t="s">
        <v>7368</v>
      </c>
      <c r="Y723" t="s">
        <v>7396</v>
      </c>
      <c r="Z723" t="s">
        <v>7985</v>
      </c>
      <c r="AA723" t="s">
        <v>10030</v>
      </c>
      <c r="AB723" t="s">
        <v>10785</v>
      </c>
      <c r="AC723">
        <v>136</v>
      </c>
      <c r="AD723" t="s">
        <v>12420</v>
      </c>
      <c r="AF723">
        <v>15</v>
      </c>
      <c r="AG723">
        <v>1</v>
      </c>
      <c r="AH723">
        <v>3</v>
      </c>
      <c r="AI723">
        <v>51.01</v>
      </c>
      <c r="AL723" t="s">
        <v>12460</v>
      </c>
      <c r="AM723">
        <v>12804</v>
      </c>
      <c r="AN723" t="s">
        <v>12491</v>
      </c>
      <c r="AS723">
        <v>1.5</v>
      </c>
      <c r="AT723" t="s">
        <v>249</v>
      </c>
      <c r="AU723" t="s">
        <v>153</v>
      </c>
    </row>
    <row r="724" spans="1:47">
      <c r="A724" s="1">
        <f>HYPERLINK("https://cms.ls-nyc.org/matter/dynamic-profile/view/1866767","18-1866767")</f>
        <v>0</v>
      </c>
      <c r="B724" t="s">
        <v>91</v>
      </c>
      <c r="C724" t="s">
        <v>461</v>
      </c>
      <c r="D724" t="s">
        <v>372</v>
      </c>
      <c r="E724" t="s">
        <v>1046</v>
      </c>
      <c r="F724" t="s">
        <v>2505</v>
      </c>
      <c r="G724" t="s">
        <v>4156</v>
      </c>
      <c r="H724" t="s">
        <v>5575</v>
      </c>
      <c r="I724" t="s">
        <v>6043</v>
      </c>
      <c r="J724">
        <v>11239</v>
      </c>
      <c r="K724" t="s">
        <v>6074</v>
      </c>
      <c r="L724" t="s">
        <v>6074</v>
      </c>
      <c r="M724" t="s">
        <v>6204</v>
      </c>
      <c r="N724" t="s">
        <v>6104</v>
      </c>
      <c r="O724" t="s">
        <v>7306</v>
      </c>
      <c r="P724" t="s">
        <v>7314</v>
      </c>
      <c r="Q724" t="s">
        <v>7322</v>
      </c>
      <c r="R724" t="s">
        <v>6074</v>
      </c>
      <c r="S724" t="s">
        <v>7324</v>
      </c>
      <c r="U724" t="s">
        <v>495</v>
      </c>
      <c r="V724">
        <v>2800</v>
      </c>
      <c r="W724" t="s">
        <v>7362</v>
      </c>
      <c r="X724" t="s">
        <v>7374</v>
      </c>
      <c r="Y724" t="s">
        <v>7386</v>
      </c>
      <c r="Z724" t="s">
        <v>7985</v>
      </c>
      <c r="AA724" t="s">
        <v>10030</v>
      </c>
      <c r="AB724" t="s">
        <v>10785</v>
      </c>
      <c r="AC724">
        <v>136</v>
      </c>
      <c r="AD724" t="s">
        <v>12420</v>
      </c>
      <c r="AE724" t="s">
        <v>12439</v>
      </c>
      <c r="AF724">
        <v>15</v>
      </c>
      <c r="AG724">
        <v>1</v>
      </c>
      <c r="AH724">
        <v>3</v>
      </c>
      <c r="AI724">
        <v>51.01</v>
      </c>
      <c r="AL724" t="s">
        <v>12460</v>
      </c>
      <c r="AM724">
        <v>12804</v>
      </c>
      <c r="AN724" t="s">
        <v>12491</v>
      </c>
      <c r="AS724">
        <v>3.75</v>
      </c>
      <c r="AT724" t="s">
        <v>372</v>
      </c>
      <c r="AU724" t="s">
        <v>13081</v>
      </c>
    </row>
    <row r="725" spans="1:47">
      <c r="A725" s="1">
        <f>HYPERLINK("https://cms.ls-nyc.org/matter/dynamic-profile/view/1877008","18-1877008")</f>
        <v>0</v>
      </c>
      <c r="B725" t="s">
        <v>168</v>
      </c>
      <c r="C725" t="s">
        <v>290</v>
      </c>
      <c r="D725" t="s">
        <v>448</v>
      </c>
      <c r="E725" t="s">
        <v>1046</v>
      </c>
      <c r="F725" t="s">
        <v>2505</v>
      </c>
      <c r="G725" t="s">
        <v>4156</v>
      </c>
      <c r="H725" t="s">
        <v>5575</v>
      </c>
      <c r="I725" t="s">
        <v>6043</v>
      </c>
      <c r="J725">
        <v>11239</v>
      </c>
      <c r="K725" t="s">
        <v>6074</v>
      </c>
      <c r="L725" t="s">
        <v>6074</v>
      </c>
      <c r="M725" t="s">
        <v>6451</v>
      </c>
      <c r="N725" t="s">
        <v>7276</v>
      </c>
      <c r="O725" t="s">
        <v>7308</v>
      </c>
      <c r="P725" t="s">
        <v>7316</v>
      </c>
      <c r="Q725" t="s">
        <v>7322</v>
      </c>
      <c r="R725" t="s">
        <v>6076</v>
      </c>
      <c r="S725" t="s">
        <v>7324</v>
      </c>
      <c r="U725" t="s">
        <v>273</v>
      </c>
      <c r="V725">
        <v>2800</v>
      </c>
      <c r="W725" t="s">
        <v>7362</v>
      </c>
      <c r="X725" t="s">
        <v>7368</v>
      </c>
      <c r="Y725" t="s">
        <v>7396</v>
      </c>
      <c r="Z725" t="s">
        <v>7985</v>
      </c>
      <c r="AA725" t="s">
        <v>10030</v>
      </c>
      <c r="AB725" t="s">
        <v>10785</v>
      </c>
      <c r="AC725">
        <v>136</v>
      </c>
      <c r="AD725" t="s">
        <v>12420</v>
      </c>
      <c r="AE725" t="s">
        <v>12439</v>
      </c>
      <c r="AF725">
        <v>15</v>
      </c>
      <c r="AG725">
        <v>1</v>
      </c>
      <c r="AH725">
        <v>3</v>
      </c>
      <c r="AI725">
        <v>51.01</v>
      </c>
      <c r="AL725" t="s">
        <v>12460</v>
      </c>
      <c r="AM725">
        <v>12804</v>
      </c>
      <c r="AN725" t="s">
        <v>12491</v>
      </c>
      <c r="AS725">
        <v>2</v>
      </c>
      <c r="AT725" t="s">
        <v>383</v>
      </c>
      <c r="AU725" t="s">
        <v>218</v>
      </c>
    </row>
    <row r="726" spans="1:47">
      <c r="A726" s="1">
        <f>HYPERLINK("https://cms.ls-nyc.org/matter/dynamic-profile/view/1886032","18-1886032")</f>
        <v>0</v>
      </c>
      <c r="B726" t="s">
        <v>74</v>
      </c>
      <c r="C726" t="s">
        <v>462</v>
      </c>
      <c r="E726" t="s">
        <v>1041</v>
      </c>
      <c r="F726" t="s">
        <v>2495</v>
      </c>
      <c r="G726" t="s">
        <v>4147</v>
      </c>
      <c r="I726" t="s">
        <v>6043</v>
      </c>
      <c r="J726">
        <v>11213</v>
      </c>
      <c r="K726" t="s">
        <v>6074</v>
      </c>
      <c r="L726" t="s">
        <v>6074</v>
      </c>
      <c r="N726" t="s">
        <v>7273</v>
      </c>
      <c r="O726" t="s">
        <v>7308</v>
      </c>
      <c r="Q726" t="s">
        <v>7322</v>
      </c>
      <c r="R726" t="s">
        <v>6076</v>
      </c>
      <c r="S726" t="s">
        <v>7324</v>
      </c>
      <c r="U726" t="s">
        <v>305</v>
      </c>
      <c r="V726">
        <v>551</v>
      </c>
      <c r="W726" t="s">
        <v>7362</v>
      </c>
      <c r="Z726" t="s">
        <v>7974</v>
      </c>
      <c r="AB726" t="s">
        <v>10775</v>
      </c>
      <c r="AC726">
        <v>6</v>
      </c>
      <c r="AD726" t="s">
        <v>12422</v>
      </c>
      <c r="AE726" t="s">
        <v>6110</v>
      </c>
      <c r="AF726">
        <v>15</v>
      </c>
      <c r="AG726">
        <v>2</v>
      </c>
      <c r="AH726">
        <v>0</v>
      </c>
      <c r="AI726">
        <v>51.03</v>
      </c>
      <c r="AL726" t="s">
        <v>12460</v>
      </c>
      <c r="AM726">
        <v>8400</v>
      </c>
      <c r="AS726">
        <v>123.05</v>
      </c>
      <c r="AT726" t="s">
        <v>554</v>
      </c>
      <c r="AU726" t="s">
        <v>180</v>
      </c>
    </row>
    <row r="727" spans="1:47">
      <c r="A727" s="1">
        <f>HYPERLINK("https://cms.ls-nyc.org/matter/dynamic-profile/view/1890432","19-1890432")</f>
        <v>0</v>
      </c>
      <c r="B727" t="s">
        <v>122</v>
      </c>
      <c r="C727" t="s">
        <v>278</v>
      </c>
      <c r="E727" t="s">
        <v>737</v>
      </c>
      <c r="F727" t="s">
        <v>2506</v>
      </c>
      <c r="G727" t="s">
        <v>4157</v>
      </c>
      <c r="H727" t="s">
        <v>5576</v>
      </c>
      <c r="I727" t="s">
        <v>6048</v>
      </c>
      <c r="J727">
        <v>10304</v>
      </c>
      <c r="K727" t="s">
        <v>6074</v>
      </c>
      <c r="L727" t="s">
        <v>6074</v>
      </c>
      <c r="M727" t="s">
        <v>6452</v>
      </c>
      <c r="N727" t="s">
        <v>7274</v>
      </c>
      <c r="O727" t="s">
        <v>7308</v>
      </c>
      <c r="Q727" t="s">
        <v>7322</v>
      </c>
      <c r="R727" t="s">
        <v>6076</v>
      </c>
      <c r="S727" t="s">
        <v>7324</v>
      </c>
      <c r="T727" t="s">
        <v>7336</v>
      </c>
      <c r="U727" t="s">
        <v>278</v>
      </c>
      <c r="V727">
        <v>2257</v>
      </c>
      <c r="W727" t="s">
        <v>7364</v>
      </c>
      <c r="X727" t="s">
        <v>7368</v>
      </c>
      <c r="Z727" t="s">
        <v>7986</v>
      </c>
      <c r="AB727" t="s">
        <v>10786</v>
      </c>
      <c r="AC727">
        <v>2</v>
      </c>
      <c r="AD727" t="s">
        <v>12421</v>
      </c>
      <c r="AE727" t="s">
        <v>12434</v>
      </c>
      <c r="AF727">
        <v>1</v>
      </c>
      <c r="AG727">
        <v>3</v>
      </c>
      <c r="AH727">
        <v>2</v>
      </c>
      <c r="AI727">
        <v>51.03</v>
      </c>
      <c r="AL727" t="s">
        <v>12461</v>
      </c>
      <c r="AM727">
        <v>15396</v>
      </c>
      <c r="AS727">
        <v>19.8</v>
      </c>
      <c r="AT727" t="s">
        <v>381</v>
      </c>
      <c r="AU727" t="s">
        <v>13102</v>
      </c>
    </row>
    <row r="728" spans="1:47">
      <c r="A728" s="1">
        <f>HYPERLINK("https://cms.ls-nyc.org/matter/dynamic-profile/view/1890030","19-1890030")</f>
        <v>0</v>
      </c>
      <c r="B728" t="s">
        <v>131</v>
      </c>
      <c r="C728" t="s">
        <v>351</v>
      </c>
      <c r="E728" t="s">
        <v>676</v>
      </c>
      <c r="F728" t="s">
        <v>2507</v>
      </c>
      <c r="G728" t="s">
        <v>4158</v>
      </c>
      <c r="H728" t="s">
        <v>5364</v>
      </c>
      <c r="I728" t="s">
        <v>6049</v>
      </c>
      <c r="J728">
        <v>10040</v>
      </c>
      <c r="K728" t="s">
        <v>6074</v>
      </c>
      <c r="L728" t="s">
        <v>6074</v>
      </c>
      <c r="O728" t="s">
        <v>7306</v>
      </c>
      <c r="Q728" t="s">
        <v>7322</v>
      </c>
      <c r="R728" t="s">
        <v>6076</v>
      </c>
      <c r="S728" t="s">
        <v>7324</v>
      </c>
      <c r="U728" t="s">
        <v>351</v>
      </c>
      <c r="V728">
        <v>714</v>
      </c>
      <c r="W728" t="s">
        <v>7365</v>
      </c>
      <c r="X728" t="s">
        <v>7367</v>
      </c>
      <c r="Z728" t="s">
        <v>7987</v>
      </c>
      <c r="AB728" t="s">
        <v>10787</v>
      </c>
      <c r="AC728">
        <v>68</v>
      </c>
      <c r="AD728" t="s">
        <v>12422</v>
      </c>
      <c r="AE728" t="s">
        <v>12441</v>
      </c>
      <c r="AF728">
        <v>23</v>
      </c>
      <c r="AG728">
        <v>2</v>
      </c>
      <c r="AH728">
        <v>0</v>
      </c>
      <c r="AI728">
        <v>51.09</v>
      </c>
      <c r="AL728" t="s">
        <v>12460</v>
      </c>
      <c r="AM728">
        <v>8640</v>
      </c>
      <c r="AS728">
        <v>0.2</v>
      </c>
      <c r="AT728" t="s">
        <v>287</v>
      </c>
      <c r="AU728" t="s">
        <v>13106</v>
      </c>
    </row>
    <row r="729" spans="1:47">
      <c r="A729" s="1">
        <f>HYPERLINK("https://cms.ls-nyc.org/matter/dynamic-profile/view/1890332","19-1890332")</f>
        <v>0</v>
      </c>
      <c r="B729" t="s">
        <v>97</v>
      </c>
      <c r="C729" t="s">
        <v>448</v>
      </c>
      <c r="D729" t="s">
        <v>332</v>
      </c>
      <c r="E729" t="s">
        <v>1047</v>
      </c>
      <c r="F729" t="s">
        <v>2508</v>
      </c>
      <c r="G729" t="s">
        <v>4159</v>
      </c>
      <c r="H729" t="s">
        <v>5372</v>
      </c>
      <c r="I729" t="s">
        <v>6047</v>
      </c>
      <c r="J729">
        <v>10452</v>
      </c>
      <c r="K729" t="s">
        <v>6074</v>
      </c>
      <c r="L729" t="s">
        <v>6074</v>
      </c>
      <c r="N729" t="s">
        <v>6104</v>
      </c>
      <c r="O729" t="s">
        <v>7306</v>
      </c>
      <c r="P729" t="s">
        <v>7314</v>
      </c>
      <c r="Q729" t="s">
        <v>7322</v>
      </c>
      <c r="R729" t="s">
        <v>6076</v>
      </c>
      <c r="S729" t="s">
        <v>7324</v>
      </c>
      <c r="U729" t="s">
        <v>358</v>
      </c>
      <c r="V729">
        <v>573.25</v>
      </c>
      <c r="W729" t="s">
        <v>7363</v>
      </c>
      <c r="X729" t="s">
        <v>7376</v>
      </c>
      <c r="Y729" t="s">
        <v>7395</v>
      </c>
      <c r="Z729" t="s">
        <v>7988</v>
      </c>
      <c r="AC729">
        <v>0</v>
      </c>
      <c r="AD729" t="s">
        <v>12424</v>
      </c>
      <c r="AE729" t="s">
        <v>6110</v>
      </c>
      <c r="AF729">
        <v>23</v>
      </c>
      <c r="AG729">
        <v>2</v>
      </c>
      <c r="AH729">
        <v>0</v>
      </c>
      <c r="AI729">
        <v>51.31</v>
      </c>
      <c r="AL729" t="s">
        <v>12461</v>
      </c>
      <c r="AM729">
        <v>8676</v>
      </c>
      <c r="AS729">
        <v>2.9</v>
      </c>
      <c r="AT729" t="s">
        <v>332</v>
      </c>
      <c r="AU729" t="s">
        <v>97</v>
      </c>
    </row>
    <row r="730" spans="1:47">
      <c r="A730" s="1">
        <f>HYPERLINK("https://cms.ls-nyc.org/matter/dynamic-profile/view/1895331","19-1895331")</f>
        <v>0</v>
      </c>
      <c r="B730" t="s">
        <v>98</v>
      </c>
      <c r="C730" t="s">
        <v>322</v>
      </c>
      <c r="D730" t="s">
        <v>247</v>
      </c>
      <c r="E730" t="s">
        <v>1048</v>
      </c>
      <c r="F730" t="s">
        <v>2228</v>
      </c>
      <c r="G730" t="s">
        <v>3932</v>
      </c>
      <c r="H730" t="s">
        <v>5455</v>
      </c>
      <c r="I730" t="s">
        <v>6047</v>
      </c>
      <c r="J730">
        <v>10459</v>
      </c>
      <c r="K730" t="s">
        <v>6074</v>
      </c>
      <c r="L730" t="s">
        <v>6074</v>
      </c>
      <c r="M730" t="s">
        <v>6453</v>
      </c>
      <c r="N730" t="s">
        <v>7276</v>
      </c>
      <c r="O730" t="s">
        <v>7306</v>
      </c>
      <c r="P730" t="s">
        <v>7314</v>
      </c>
      <c r="Q730" t="s">
        <v>7322</v>
      </c>
      <c r="R730" t="s">
        <v>6076</v>
      </c>
      <c r="S730" t="s">
        <v>7324</v>
      </c>
      <c r="T730" t="s">
        <v>7336</v>
      </c>
      <c r="U730" t="s">
        <v>247</v>
      </c>
      <c r="V730">
        <v>1442</v>
      </c>
      <c r="W730" t="s">
        <v>7363</v>
      </c>
      <c r="X730" t="s">
        <v>7376</v>
      </c>
      <c r="Y730" t="s">
        <v>7386</v>
      </c>
      <c r="Z730" t="s">
        <v>7989</v>
      </c>
      <c r="AB730" t="s">
        <v>10788</v>
      </c>
      <c r="AC730">
        <v>0</v>
      </c>
      <c r="AD730" t="s">
        <v>12420</v>
      </c>
      <c r="AF730">
        <v>2002</v>
      </c>
      <c r="AG730">
        <v>1</v>
      </c>
      <c r="AH730">
        <v>0</v>
      </c>
      <c r="AI730">
        <v>51.59</v>
      </c>
      <c r="AL730" t="s">
        <v>12460</v>
      </c>
      <c r="AM730">
        <v>6444</v>
      </c>
      <c r="AS730">
        <v>2</v>
      </c>
      <c r="AT730" t="s">
        <v>247</v>
      </c>
      <c r="AU730" t="s">
        <v>98</v>
      </c>
    </row>
    <row r="731" spans="1:47">
      <c r="A731" s="1">
        <f>HYPERLINK("https://cms.ls-nyc.org/matter/dynamic-profile/view/1873208","18-1873208")</f>
        <v>0</v>
      </c>
      <c r="B731" t="s">
        <v>52</v>
      </c>
      <c r="C731" t="s">
        <v>419</v>
      </c>
      <c r="D731" t="s">
        <v>262</v>
      </c>
      <c r="E731" t="s">
        <v>989</v>
      </c>
      <c r="F731" t="s">
        <v>2509</v>
      </c>
      <c r="G731" t="s">
        <v>4160</v>
      </c>
      <c r="I731" t="s">
        <v>6057</v>
      </c>
      <c r="J731">
        <v>11411</v>
      </c>
      <c r="K731" t="s">
        <v>6074</v>
      </c>
      <c r="L731" t="s">
        <v>6074</v>
      </c>
      <c r="M731" t="s">
        <v>6454</v>
      </c>
      <c r="N731" t="s">
        <v>7274</v>
      </c>
      <c r="O731" t="s">
        <v>7306</v>
      </c>
      <c r="P731" t="s">
        <v>7314</v>
      </c>
      <c r="Q731" t="s">
        <v>7322</v>
      </c>
      <c r="R731" t="s">
        <v>6076</v>
      </c>
      <c r="S731" t="s">
        <v>7324</v>
      </c>
      <c r="T731" t="s">
        <v>7337</v>
      </c>
      <c r="U731" t="s">
        <v>419</v>
      </c>
      <c r="V731">
        <v>200</v>
      </c>
      <c r="W731" t="s">
        <v>7361</v>
      </c>
      <c r="X731" t="s">
        <v>7366</v>
      </c>
      <c r="Y731" t="s">
        <v>7386</v>
      </c>
      <c r="Z731" t="s">
        <v>7990</v>
      </c>
      <c r="AA731" t="s">
        <v>10031</v>
      </c>
      <c r="AB731" t="s">
        <v>10789</v>
      </c>
      <c r="AC731">
        <v>1</v>
      </c>
      <c r="AD731" t="s">
        <v>12419</v>
      </c>
      <c r="AE731" t="s">
        <v>6110</v>
      </c>
      <c r="AF731">
        <v>20</v>
      </c>
      <c r="AG731">
        <v>1</v>
      </c>
      <c r="AH731">
        <v>0</v>
      </c>
      <c r="AI731">
        <v>51.7</v>
      </c>
      <c r="AL731" t="s">
        <v>12460</v>
      </c>
      <c r="AM731">
        <v>6276</v>
      </c>
      <c r="AS731">
        <v>1</v>
      </c>
      <c r="AT731" t="s">
        <v>262</v>
      </c>
      <c r="AU731" t="s">
        <v>189</v>
      </c>
    </row>
    <row r="732" spans="1:47">
      <c r="A732" s="1">
        <f>HYPERLINK("https://cms.ls-nyc.org/matter/dynamic-profile/view/1857039","18-1857039")</f>
        <v>0</v>
      </c>
      <c r="B732" t="s">
        <v>104</v>
      </c>
      <c r="C732" t="s">
        <v>463</v>
      </c>
      <c r="E732" t="s">
        <v>1012</v>
      </c>
      <c r="F732" t="s">
        <v>2318</v>
      </c>
      <c r="G732" t="s">
        <v>4161</v>
      </c>
      <c r="H732" t="s">
        <v>5577</v>
      </c>
      <c r="I732" t="s">
        <v>6047</v>
      </c>
      <c r="J732">
        <v>10452</v>
      </c>
      <c r="K732" t="s">
        <v>6074</v>
      </c>
      <c r="L732" t="s">
        <v>6075</v>
      </c>
      <c r="M732" t="s">
        <v>6455</v>
      </c>
      <c r="N732" t="s">
        <v>7285</v>
      </c>
      <c r="O732" t="s">
        <v>7311</v>
      </c>
      <c r="Q732" t="s">
        <v>7322</v>
      </c>
      <c r="R732" t="s">
        <v>6074</v>
      </c>
      <c r="S732" t="s">
        <v>7324</v>
      </c>
      <c r="U732" t="s">
        <v>502</v>
      </c>
      <c r="V732">
        <v>993</v>
      </c>
      <c r="W732" t="s">
        <v>7363</v>
      </c>
      <c r="X732" t="s">
        <v>7376</v>
      </c>
      <c r="Z732" t="s">
        <v>7991</v>
      </c>
      <c r="AA732" t="s">
        <v>10032</v>
      </c>
      <c r="AB732" t="s">
        <v>10790</v>
      </c>
      <c r="AC732">
        <v>122</v>
      </c>
      <c r="AD732" t="s">
        <v>12422</v>
      </c>
      <c r="AE732" t="s">
        <v>12441</v>
      </c>
      <c r="AF732">
        <v>25</v>
      </c>
      <c r="AG732">
        <v>2</v>
      </c>
      <c r="AH732">
        <v>0</v>
      </c>
      <c r="AI732">
        <v>51.72</v>
      </c>
      <c r="AL732" t="s">
        <v>12461</v>
      </c>
      <c r="AM732">
        <v>16800</v>
      </c>
      <c r="AS732">
        <v>0</v>
      </c>
      <c r="AU732" t="s">
        <v>13099</v>
      </c>
    </row>
    <row r="733" spans="1:47">
      <c r="A733" s="1">
        <f>HYPERLINK("https://cms.ls-nyc.org/matter/dynamic-profile/view/1876365","18-1876365")</f>
        <v>0</v>
      </c>
      <c r="B733" t="s">
        <v>77</v>
      </c>
      <c r="C733" t="s">
        <v>253</v>
      </c>
      <c r="D733" t="s">
        <v>266</v>
      </c>
      <c r="E733" t="s">
        <v>1049</v>
      </c>
      <c r="F733" t="s">
        <v>2287</v>
      </c>
      <c r="G733" t="s">
        <v>4162</v>
      </c>
      <c r="H733" t="s">
        <v>5372</v>
      </c>
      <c r="I733" t="s">
        <v>6043</v>
      </c>
      <c r="J733">
        <v>11233</v>
      </c>
      <c r="K733" t="s">
        <v>6074</v>
      </c>
      <c r="L733" t="s">
        <v>6074</v>
      </c>
      <c r="M733" t="s">
        <v>6456</v>
      </c>
      <c r="N733" t="s">
        <v>7274</v>
      </c>
      <c r="O733" t="s">
        <v>7306</v>
      </c>
      <c r="P733" t="s">
        <v>7314</v>
      </c>
      <c r="Q733" t="s">
        <v>7322</v>
      </c>
      <c r="R733" t="s">
        <v>6076</v>
      </c>
      <c r="S733" t="s">
        <v>7324</v>
      </c>
      <c r="U733" t="s">
        <v>253</v>
      </c>
      <c r="V733">
        <v>1000</v>
      </c>
      <c r="W733" t="s">
        <v>7362</v>
      </c>
      <c r="X733" t="s">
        <v>7368</v>
      </c>
      <c r="Y733" t="s">
        <v>7386</v>
      </c>
      <c r="Z733" t="s">
        <v>7684</v>
      </c>
      <c r="AB733" t="s">
        <v>10791</v>
      </c>
      <c r="AC733">
        <v>12</v>
      </c>
      <c r="AD733" t="s">
        <v>12422</v>
      </c>
      <c r="AE733" t="s">
        <v>12434</v>
      </c>
      <c r="AF733">
        <v>22</v>
      </c>
      <c r="AG733">
        <v>2</v>
      </c>
      <c r="AH733">
        <v>0</v>
      </c>
      <c r="AI733">
        <v>51.76</v>
      </c>
      <c r="AL733" t="s">
        <v>12460</v>
      </c>
      <c r="AM733">
        <v>8520</v>
      </c>
      <c r="AS733">
        <v>8.75</v>
      </c>
      <c r="AT733" t="s">
        <v>357</v>
      </c>
      <c r="AU733" t="s">
        <v>218</v>
      </c>
    </row>
    <row r="734" spans="1:47">
      <c r="A734" s="1">
        <f>HYPERLINK("https://cms.ls-nyc.org/matter/dynamic-profile/view/1872098","18-1872098")</f>
        <v>0</v>
      </c>
      <c r="B734" t="s">
        <v>94</v>
      </c>
      <c r="C734" t="s">
        <v>304</v>
      </c>
      <c r="E734" t="s">
        <v>835</v>
      </c>
      <c r="F734" t="s">
        <v>2305</v>
      </c>
      <c r="G734" t="s">
        <v>3917</v>
      </c>
      <c r="H734" t="s">
        <v>5476</v>
      </c>
      <c r="I734" t="s">
        <v>6044</v>
      </c>
      <c r="J734">
        <v>11106</v>
      </c>
      <c r="K734" t="s">
        <v>6074</v>
      </c>
      <c r="L734" t="s">
        <v>6074</v>
      </c>
      <c r="M734" t="s">
        <v>6270</v>
      </c>
      <c r="N734" t="s">
        <v>7276</v>
      </c>
      <c r="O734" t="s">
        <v>7308</v>
      </c>
      <c r="Q734" t="s">
        <v>7323</v>
      </c>
      <c r="R734" t="s">
        <v>6076</v>
      </c>
      <c r="S734" t="s">
        <v>7324</v>
      </c>
      <c r="T734" t="s">
        <v>7339</v>
      </c>
      <c r="U734" t="s">
        <v>7349</v>
      </c>
      <c r="V734">
        <v>1100</v>
      </c>
      <c r="W734" t="s">
        <v>7361</v>
      </c>
      <c r="X734" t="s">
        <v>7369</v>
      </c>
      <c r="Z734" t="s">
        <v>7699</v>
      </c>
      <c r="AB734" t="s">
        <v>10521</v>
      </c>
      <c r="AC734">
        <v>40</v>
      </c>
      <c r="AD734" t="s">
        <v>12422</v>
      </c>
      <c r="AE734" t="s">
        <v>6110</v>
      </c>
      <c r="AF734">
        <v>25</v>
      </c>
      <c r="AG734">
        <v>6</v>
      </c>
      <c r="AH734">
        <v>4</v>
      </c>
      <c r="AI734">
        <v>51.78</v>
      </c>
      <c r="AJ734" t="s">
        <v>12443</v>
      </c>
      <c r="AK734" t="s">
        <v>12455</v>
      </c>
      <c r="AL734" t="s">
        <v>12467</v>
      </c>
      <c r="AM734">
        <v>26420</v>
      </c>
      <c r="AO734" t="s">
        <v>12850</v>
      </c>
      <c r="AP734" t="s">
        <v>7305</v>
      </c>
      <c r="AQ734" t="s">
        <v>12909</v>
      </c>
      <c r="AR734" t="s">
        <v>12969</v>
      </c>
      <c r="AS734">
        <v>9.25</v>
      </c>
      <c r="AT734" t="s">
        <v>282</v>
      </c>
      <c r="AU734" t="s">
        <v>48</v>
      </c>
    </row>
    <row r="735" spans="1:47">
      <c r="A735" s="1">
        <f>HYPERLINK("https://cms.ls-nyc.org/matter/dynamic-profile/view/1891396","19-1891396")</f>
        <v>0</v>
      </c>
      <c r="B735" t="s">
        <v>82</v>
      </c>
      <c r="C735" t="s">
        <v>287</v>
      </c>
      <c r="E735" t="s">
        <v>1050</v>
      </c>
      <c r="F735" t="s">
        <v>2283</v>
      </c>
      <c r="G735" t="s">
        <v>3728</v>
      </c>
      <c r="H735" t="s">
        <v>5469</v>
      </c>
      <c r="I735" t="s">
        <v>6043</v>
      </c>
      <c r="J735">
        <v>11226</v>
      </c>
      <c r="K735" t="s">
        <v>6074</v>
      </c>
      <c r="L735" t="s">
        <v>6074</v>
      </c>
      <c r="O735" t="s">
        <v>7309</v>
      </c>
      <c r="Q735" t="s">
        <v>7322</v>
      </c>
      <c r="S735" t="s">
        <v>7324</v>
      </c>
      <c r="U735" t="s">
        <v>365</v>
      </c>
      <c r="V735">
        <v>0</v>
      </c>
      <c r="W735" t="s">
        <v>7362</v>
      </c>
      <c r="Z735" t="s">
        <v>7992</v>
      </c>
      <c r="AB735" t="s">
        <v>10792</v>
      </c>
      <c r="AC735">
        <v>0</v>
      </c>
      <c r="AF735">
        <v>0</v>
      </c>
      <c r="AG735">
        <v>1</v>
      </c>
      <c r="AH735">
        <v>0</v>
      </c>
      <c r="AI735">
        <v>51.88</v>
      </c>
      <c r="AL735" t="s">
        <v>12460</v>
      </c>
      <c r="AM735">
        <v>6480</v>
      </c>
      <c r="AS735">
        <v>22.75</v>
      </c>
      <c r="AT735" t="s">
        <v>254</v>
      </c>
      <c r="AU735" t="s">
        <v>88</v>
      </c>
    </row>
    <row r="736" spans="1:47">
      <c r="A736" s="1">
        <f>HYPERLINK("https://cms.ls-nyc.org/matter/dynamic-profile/view/1891530","19-1891530")</f>
        <v>0</v>
      </c>
      <c r="B736" t="s">
        <v>109</v>
      </c>
      <c r="C736" t="s">
        <v>278</v>
      </c>
      <c r="D736" t="s">
        <v>235</v>
      </c>
      <c r="E736" t="s">
        <v>597</v>
      </c>
      <c r="F736" t="s">
        <v>2360</v>
      </c>
      <c r="G736" t="s">
        <v>4163</v>
      </c>
      <c r="H736">
        <v>34</v>
      </c>
      <c r="I736" t="s">
        <v>6047</v>
      </c>
      <c r="J736">
        <v>10452</v>
      </c>
      <c r="K736" t="s">
        <v>6074</v>
      </c>
      <c r="L736" t="s">
        <v>6074</v>
      </c>
      <c r="N736" t="s">
        <v>7283</v>
      </c>
      <c r="O736" t="s">
        <v>7306</v>
      </c>
      <c r="P736" t="s">
        <v>7314</v>
      </c>
      <c r="Q736" t="s">
        <v>7322</v>
      </c>
      <c r="R736" t="s">
        <v>6076</v>
      </c>
      <c r="S736" t="s">
        <v>7324</v>
      </c>
      <c r="U736" t="s">
        <v>278</v>
      </c>
      <c r="V736">
        <v>735.92</v>
      </c>
      <c r="W736" t="s">
        <v>7363</v>
      </c>
      <c r="X736" t="s">
        <v>7376</v>
      </c>
      <c r="Y736" t="s">
        <v>7386</v>
      </c>
      <c r="Z736" t="s">
        <v>7993</v>
      </c>
      <c r="AC736">
        <v>40</v>
      </c>
      <c r="AD736" t="s">
        <v>6322</v>
      </c>
      <c r="AE736" t="s">
        <v>6110</v>
      </c>
      <c r="AF736">
        <v>38</v>
      </c>
      <c r="AG736">
        <v>2</v>
      </c>
      <c r="AH736">
        <v>0</v>
      </c>
      <c r="AI736">
        <v>52.16</v>
      </c>
      <c r="AL736" t="s">
        <v>12461</v>
      </c>
      <c r="AM736">
        <v>8820</v>
      </c>
      <c r="AS736">
        <v>1</v>
      </c>
      <c r="AT736" t="s">
        <v>318</v>
      </c>
      <c r="AU736" t="s">
        <v>13092</v>
      </c>
    </row>
    <row r="737" spans="1:48">
      <c r="A737" s="1">
        <f>HYPERLINK("https://cms.ls-nyc.org/matter/dynamic-profile/view/1888975","19-1888975")</f>
        <v>0</v>
      </c>
      <c r="B737" t="s">
        <v>77</v>
      </c>
      <c r="C737" t="s">
        <v>456</v>
      </c>
      <c r="E737" t="s">
        <v>634</v>
      </c>
      <c r="F737" t="s">
        <v>2510</v>
      </c>
      <c r="G737" t="s">
        <v>4164</v>
      </c>
      <c r="H737">
        <v>1</v>
      </c>
      <c r="I737" t="s">
        <v>6043</v>
      </c>
      <c r="J737">
        <v>11233</v>
      </c>
      <c r="K737" t="s">
        <v>6074</v>
      </c>
      <c r="L737" t="s">
        <v>6075</v>
      </c>
      <c r="M737" t="s">
        <v>6457</v>
      </c>
      <c r="N737" t="s">
        <v>7274</v>
      </c>
      <c r="O737" t="s">
        <v>7310</v>
      </c>
      <c r="Q737" t="s">
        <v>7322</v>
      </c>
      <c r="S737" t="s">
        <v>7324</v>
      </c>
      <c r="U737" t="s">
        <v>456</v>
      </c>
      <c r="V737">
        <v>230</v>
      </c>
      <c r="W737" t="s">
        <v>7362</v>
      </c>
      <c r="X737" t="s">
        <v>7374</v>
      </c>
      <c r="Z737" t="s">
        <v>7994</v>
      </c>
      <c r="AA737" t="s">
        <v>9870</v>
      </c>
      <c r="AB737" t="s">
        <v>10793</v>
      </c>
      <c r="AC737">
        <v>3</v>
      </c>
      <c r="AD737" t="s">
        <v>12420</v>
      </c>
      <c r="AE737" t="s">
        <v>12434</v>
      </c>
      <c r="AF737">
        <v>4</v>
      </c>
      <c r="AG737">
        <v>1</v>
      </c>
      <c r="AH737">
        <v>4</v>
      </c>
      <c r="AI737">
        <v>52.17</v>
      </c>
      <c r="AL737" t="s">
        <v>12460</v>
      </c>
      <c r="AM737">
        <v>15740</v>
      </c>
      <c r="AS737">
        <v>0</v>
      </c>
      <c r="AU737" t="s">
        <v>13084</v>
      </c>
    </row>
    <row r="738" spans="1:48">
      <c r="A738" s="1">
        <f>HYPERLINK("https://cms.ls-nyc.org/matter/dynamic-profile/view/1877623","18-1877623")</f>
        <v>0</v>
      </c>
      <c r="B738" t="s">
        <v>135</v>
      </c>
      <c r="C738" t="s">
        <v>383</v>
      </c>
      <c r="D738" t="s">
        <v>279</v>
      </c>
      <c r="E738" t="s">
        <v>1051</v>
      </c>
      <c r="F738" t="s">
        <v>2511</v>
      </c>
      <c r="G738" t="s">
        <v>4165</v>
      </c>
      <c r="H738" t="s">
        <v>5517</v>
      </c>
      <c r="I738" t="s">
        <v>6049</v>
      </c>
      <c r="J738">
        <v>10029</v>
      </c>
      <c r="K738" t="s">
        <v>6074</v>
      </c>
      <c r="L738" t="s">
        <v>6074</v>
      </c>
      <c r="M738" t="s">
        <v>6458</v>
      </c>
      <c r="N738" t="s">
        <v>7276</v>
      </c>
      <c r="O738" t="s">
        <v>7308</v>
      </c>
      <c r="P738" t="s">
        <v>7316</v>
      </c>
      <c r="Q738" t="s">
        <v>7322</v>
      </c>
      <c r="R738" t="s">
        <v>6076</v>
      </c>
      <c r="S738" t="s">
        <v>7324</v>
      </c>
      <c r="T738" t="s">
        <v>7336</v>
      </c>
      <c r="U738" t="s">
        <v>483</v>
      </c>
      <c r="V738">
        <v>1925</v>
      </c>
      <c r="W738" t="s">
        <v>7365</v>
      </c>
      <c r="X738" t="s">
        <v>7367</v>
      </c>
      <c r="Y738" t="s">
        <v>7398</v>
      </c>
      <c r="Z738" t="s">
        <v>7995</v>
      </c>
      <c r="AB738" t="s">
        <v>10794</v>
      </c>
      <c r="AC738">
        <v>38</v>
      </c>
      <c r="AD738" t="s">
        <v>12420</v>
      </c>
      <c r="AE738" t="s">
        <v>12434</v>
      </c>
      <c r="AF738">
        <v>14</v>
      </c>
      <c r="AG738">
        <v>2</v>
      </c>
      <c r="AH738">
        <v>2</v>
      </c>
      <c r="AI738">
        <v>52.4</v>
      </c>
      <c r="AL738" t="s">
        <v>12461</v>
      </c>
      <c r="AM738">
        <v>13152</v>
      </c>
      <c r="AP738" t="s">
        <v>12863</v>
      </c>
      <c r="AQ738" t="s">
        <v>12909</v>
      </c>
      <c r="AR738" t="s">
        <v>12928</v>
      </c>
      <c r="AS738">
        <v>25.14</v>
      </c>
      <c r="AT738" t="s">
        <v>526</v>
      </c>
      <c r="AU738" t="s">
        <v>13089</v>
      </c>
    </row>
    <row r="739" spans="1:48">
      <c r="A739" s="1">
        <f>HYPERLINK("https://cms.ls-nyc.org/matter/dynamic-profile/view/1880762","18-1880762")</f>
        <v>0</v>
      </c>
      <c r="B739" t="s">
        <v>132</v>
      </c>
      <c r="C739" t="s">
        <v>256</v>
      </c>
      <c r="D739" t="s">
        <v>434</v>
      </c>
      <c r="E739" t="s">
        <v>1052</v>
      </c>
      <c r="F739" t="s">
        <v>2512</v>
      </c>
      <c r="G739" t="s">
        <v>4166</v>
      </c>
      <c r="H739" t="s">
        <v>5504</v>
      </c>
      <c r="I739" t="s">
        <v>6049</v>
      </c>
      <c r="J739">
        <v>10034</v>
      </c>
      <c r="K739" t="s">
        <v>6074</v>
      </c>
      <c r="L739" t="s">
        <v>6074</v>
      </c>
      <c r="M739" t="s">
        <v>6459</v>
      </c>
      <c r="N739" t="s">
        <v>7276</v>
      </c>
      <c r="O739" t="s">
        <v>7307</v>
      </c>
      <c r="P739" t="s">
        <v>7315</v>
      </c>
      <c r="Q739" t="s">
        <v>7322</v>
      </c>
      <c r="R739" t="s">
        <v>6076</v>
      </c>
      <c r="S739" t="s">
        <v>7324</v>
      </c>
      <c r="T739" t="s">
        <v>7336</v>
      </c>
      <c r="U739" t="s">
        <v>256</v>
      </c>
      <c r="V739">
        <v>1060</v>
      </c>
      <c r="W739" t="s">
        <v>7365</v>
      </c>
      <c r="X739" t="s">
        <v>7366</v>
      </c>
      <c r="Y739" t="s">
        <v>7386</v>
      </c>
      <c r="Z739" t="s">
        <v>7996</v>
      </c>
      <c r="AB739" t="s">
        <v>10795</v>
      </c>
      <c r="AC739">
        <v>26</v>
      </c>
      <c r="AD739" t="s">
        <v>12422</v>
      </c>
      <c r="AE739" t="s">
        <v>12441</v>
      </c>
      <c r="AF739">
        <v>7</v>
      </c>
      <c r="AG739">
        <v>1</v>
      </c>
      <c r="AH739">
        <v>0</v>
      </c>
      <c r="AI739">
        <v>52.44</v>
      </c>
      <c r="AL739" t="s">
        <v>12460</v>
      </c>
      <c r="AM739">
        <v>6366</v>
      </c>
      <c r="AS739">
        <v>1.7</v>
      </c>
      <c r="AT739" t="s">
        <v>434</v>
      </c>
      <c r="AU739" t="s">
        <v>13111</v>
      </c>
    </row>
    <row r="740" spans="1:48">
      <c r="A740" s="1">
        <f>HYPERLINK("https://cms.ls-nyc.org/matter/dynamic-profile/view/1880685","18-1880685")</f>
        <v>0</v>
      </c>
      <c r="B740" t="s">
        <v>77</v>
      </c>
      <c r="C740" t="s">
        <v>256</v>
      </c>
      <c r="D740" t="s">
        <v>266</v>
      </c>
      <c r="E740" t="s">
        <v>1053</v>
      </c>
      <c r="F740" t="s">
        <v>2513</v>
      </c>
      <c r="G740" t="s">
        <v>4167</v>
      </c>
      <c r="H740" t="s">
        <v>5456</v>
      </c>
      <c r="I740" t="s">
        <v>6043</v>
      </c>
      <c r="J740">
        <v>11212</v>
      </c>
      <c r="K740" t="s">
        <v>6074</v>
      </c>
      <c r="L740" t="s">
        <v>6074</v>
      </c>
      <c r="M740" t="s">
        <v>6460</v>
      </c>
      <c r="N740" t="s">
        <v>7276</v>
      </c>
      <c r="O740" t="s">
        <v>7306</v>
      </c>
      <c r="P740" t="s">
        <v>7314</v>
      </c>
      <c r="Q740" t="s">
        <v>7322</v>
      </c>
      <c r="R740" t="s">
        <v>6076</v>
      </c>
      <c r="S740" t="s">
        <v>7324</v>
      </c>
      <c r="T740" t="s">
        <v>7336</v>
      </c>
      <c r="U740" t="s">
        <v>256</v>
      </c>
      <c r="V740">
        <v>900</v>
      </c>
      <c r="W740" t="s">
        <v>7362</v>
      </c>
      <c r="Y740" t="s">
        <v>7386</v>
      </c>
      <c r="Z740" t="s">
        <v>7997</v>
      </c>
      <c r="AA740" t="s">
        <v>9871</v>
      </c>
      <c r="AB740" t="s">
        <v>10796</v>
      </c>
      <c r="AC740">
        <v>3</v>
      </c>
      <c r="AD740" t="s">
        <v>6322</v>
      </c>
      <c r="AE740" t="s">
        <v>12435</v>
      </c>
      <c r="AF740">
        <v>4</v>
      </c>
      <c r="AG740">
        <v>3</v>
      </c>
      <c r="AH740">
        <v>0</v>
      </c>
      <c r="AI740">
        <v>52.49</v>
      </c>
      <c r="AL740" t="s">
        <v>12460</v>
      </c>
      <c r="AM740">
        <v>10908</v>
      </c>
      <c r="AS740">
        <v>2.2</v>
      </c>
      <c r="AT740" t="s">
        <v>320</v>
      </c>
      <c r="AU740" t="s">
        <v>13091</v>
      </c>
    </row>
    <row r="741" spans="1:48">
      <c r="A741" s="1">
        <f>HYPERLINK("https://cms.ls-nyc.org/matter/dynamic-profile/view/1896793","19-1896793")</f>
        <v>0</v>
      </c>
      <c r="B741" t="s">
        <v>80</v>
      </c>
      <c r="C741" t="s">
        <v>459</v>
      </c>
      <c r="E741" t="s">
        <v>1054</v>
      </c>
      <c r="F741" t="s">
        <v>2514</v>
      </c>
      <c r="G741" t="s">
        <v>4147</v>
      </c>
      <c r="H741" t="s">
        <v>5578</v>
      </c>
      <c r="I741" t="s">
        <v>6043</v>
      </c>
      <c r="J741">
        <v>11213</v>
      </c>
      <c r="K741" t="s">
        <v>6074</v>
      </c>
      <c r="L741" t="s">
        <v>6074</v>
      </c>
      <c r="M741" t="s">
        <v>6439</v>
      </c>
      <c r="N741" t="s">
        <v>7279</v>
      </c>
      <c r="O741" t="s">
        <v>7311</v>
      </c>
      <c r="Q741" t="s">
        <v>7322</v>
      </c>
      <c r="R741" t="s">
        <v>6074</v>
      </c>
      <c r="S741" t="s">
        <v>7324</v>
      </c>
      <c r="U741" t="s">
        <v>337</v>
      </c>
      <c r="V741">
        <v>855.86</v>
      </c>
      <c r="W741" t="s">
        <v>7362</v>
      </c>
      <c r="X741" t="s">
        <v>7376</v>
      </c>
      <c r="Z741" t="s">
        <v>7998</v>
      </c>
      <c r="AC741">
        <v>6</v>
      </c>
      <c r="AD741" t="s">
        <v>12422</v>
      </c>
      <c r="AE741" t="s">
        <v>6110</v>
      </c>
      <c r="AF741">
        <v>26</v>
      </c>
      <c r="AG741">
        <v>1</v>
      </c>
      <c r="AH741">
        <v>1</v>
      </c>
      <c r="AI741">
        <v>52.58</v>
      </c>
      <c r="AL741" t="s">
        <v>12460</v>
      </c>
      <c r="AM741">
        <v>8892</v>
      </c>
      <c r="AN741" t="s">
        <v>12557</v>
      </c>
      <c r="AS741">
        <v>0</v>
      </c>
      <c r="AU741" t="s">
        <v>180</v>
      </c>
    </row>
    <row r="742" spans="1:48">
      <c r="A742" s="1">
        <f>HYPERLINK("https://cms.ls-nyc.org/matter/dynamic-profile/view/1896797","19-1896797")</f>
        <v>0</v>
      </c>
      <c r="B742" t="s">
        <v>80</v>
      </c>
      <c r="C742" t="s">
        <v>459</v>
      </c>
      <c r="E742" t="s">
        <v>1054</v>
      </c>
      <c r="F742" t="s">
        <v>2514</v>
      </c>
      <c r="G742" t="s">
        <v>4147</v>
      </c>
      <c r="H742" t="s">
        <v>5578</v>
      </c>
      <c r="I742" t="s">
        <v>6043</v>
      </c>
      <c r="J742">
        <v>11213</v>
      </c>
      <c r="K742" t="s">
        <v>6074</v>
      </c>
      <c r="L742" t="s">
        <v>6074</v>
      </c>
      <c r="M742" t="s">
        <v>6440</v>
      </c>
      <c r="N742" t="s">
        <v>7273</v>
      </c>
      <c r="O742" t="s">
        <v>7308</v>
      </c>
      <c r="Q742" t="s">
        <v>7322</v>
      </c>
      <c r="R742" t="s">
        <v>6074</v>
      </c>
      <c r="S742" t="s">
        <v>7324</v>
      </c>
      <c r="U742" t="s">
        <v>337</v>
      </c>
      <c r="V742">
        <v>855.86</v>
      </c>
      <c r="W742" t="s">
        <v>7362</v>
      </c>
      <c r="X742" t="s">
        <v>7376</v>
      </c>
      <c r="Z742" t="s">
        <v>7998</v>
      </c>
      <c r="AC742">
        <v>6</v>
      </c>
      <c r="AD742" t="s">
        <v>12422</v>
      </c>
      <c r="AE742" t="s">
        <v>6110</v>
      </c>
      <c r="AF742">
        <v>26</v>
      </c>
      <c r="AG742">
        <v>1</v>
      </c>
      <c r="AH742">
        <v>1</v>
      </c>
      <c r="AI742">
        <v>52.58</v>
      </c>
      <c r="AL742" t="s">
        <v>12460</v>
      </c>
      <c r="AM742">
        <v>8892</v>
      </c>
      <c r="AN742" t="s">
        <v>12557</v>
      </c>
      <c r="AS742">
        <v>0</v>
      </c>
      <c r="AU742" t="s">
        <v>180</v>
      </c>
    </row>
    <row r="743" spans="1:48">
      <c r="A743" s="1">
        <f>HYPERLINK("https://cms.ls-nyc.org/matter/dynamic-profile/view/1896778","19-1896778")</f>
        <v>0</v>
      </c>
      <c r="B743" t="s">
        <v>80</v>
      </c>
      <c r="C743" t="s">
        <v>459</v>
      </c>
      <c r="E743" t="s">
        <v>1054</v>
      </c>
      <c r="F743" t="s">
        <v>2514</v>
      </c>
      <c r="G743" t="s">
        <v>4147</v>
      </c>
      <c r="H743" t="s">
        <v>5578</v>
      </c>
      <c r="I743" t="s">
        <v>6043</v>
      </c>
      <c r="J743">
        <v>11213</v>
      </c>
      <c r="K743" t="s">
        <v>6074</v>
      </c>
      <c r="L743" t="s">
        <v>6074</v>
      </c>
      <c r="M743" t="s">
        <v>6104</v>
      </c>
      <c r="N743" t="s">
        <v>7275</v>
      </c>
      <c r="O743" t="s">
        <v>7307</v>
      </c>
      <c r="Q743" t="s">
        <v>7322</v>
      </c>
      <c r="R743" t="s">
        <v>6074</v>
      </c>
      <c r="S743" t="s">
        <v>7324</v>
      </c>
      <c r="U743" t="s">
        <v>305</v>
      </c>
      <c r="V743">
        <v>855.86</v>
      </c>
      <c r="W743" t="s">
        <v>7362</v>
      </c>
      <c r="X743" t="s">
        <v>7376</v>
      </c>
      <c r="Z743" t="s">
        <v>7998</v>
      </c>
      <c r="AC743">
        <v>6</v>
      </c>
      <c r="AD743" t="s">
        <v>12422</v>
      </c>
      <c r="AE743" t="s">
        <v>6110</v>
      </c>
      <c r="AF743">
        <v>26</v>
      </c>
      <c r="AG743">
        <v>1</v>
      </c>
      <c r="AH743">
        <v>1</v>
      </c>
      <c r="AI743">
        <v>52.58</v>
      </c>
      <c r="AL743" t="s">
        <v>12460</v>
      </c>
      <c r="AM743">
        <v>8892</v>
      </c>
      <c r="AS743">
        <v>0</v>
      </c>
      <c r="AU743" t="s">
        <v>180</v>
      </c>
    </row>
    <row r="744" spans="1:48">
      <c r="A744" s="1">
        <f>HYPERLINK("https://cms.ls-nyc.org/matter/dynamic-profile/view/1896791","19-1896791")</f>
        <v>0</v>
      </c>
      <c r="B744" t="s">
        <v>80</v>
      </c>
      <c r="C744" t="s">
        <v>459</v>
      </c>
      <c r="E744" t="s">
        <v>1054</v>
      </c>
      <c r="F744" t="s">
        <v>2514</v>
      </c>
      <c r="G744" t="s">
        <v>4147</v>
      </c>
      <c r="H744" t="s">
        <v>5578</v>
      </c>
      <c r="I744" t="s">
        <v>6043</v>
      </c>
      <c r="J744">
        <v>11213</v>
      </c>
      <c r="K744" t="s">
        <v>6074</v>
      </c>
      <c r="L744" t="s">
        <v>6074</v>
      </c>
      <c r="N744" t="s">
        <v>7275</v>
      </c>
      <c r="O744" t="s">
        <v>7307</v>
      </c>
      <c r="Q744" t="s">
        <v>7322</v>
      </c>
      <c r="R744" t="s">
        <v>6074</v>
      </c>
      <c r="S744" t="s">
        <v>7324</v>
      </c>
      <c r="U744" t="s">
        <v>322</v>
      </c>
      <c r="V744">
        <v>855.86</v>
      </c>
      <c r="W744" t="s">
        <v>7362</v>
      </c>
      <c r="X744" t="s">
        <v>7376</v>
      </c>
      <c r="Z744" t="s">
        <v>7998</v>
      </c>
      <c r="AC744">
        <v>6</v>
      </c>
      <c r="AD744" t="s">
        <v>12422</v>
      </c>
      <c r="AE744" t="s">
        <v>6110</v>
      </c>
      <c r="AF744">
        <v>26</v>
      </c>
      <c r="AG744">
        <v>1</v>
      </c>
      <c r="AH744">
        <v>1</v>
      </c>
      <c r="AI744">
        <v>52.58</v>
      </c>
      <c r="AL744" t="s">
        <v>12460</v>
      </c>
      <c r="AM744">
        <v>8892</v>
      </c>
      <c r="AN744" t="s">
        <v>12558</v>
      </c>
      <c r="AS744">
        <v>0</v>
      </c>
      <c r="AU744" t="s">
        <v>180</v>
      </c>
    </row>
    <row r="745" spans="1:48">
      <c r="A745" s="1">
        <f>HYPERLINK("https://cms.ls-nyc.org/matter/dynamic-profile/view/1900458","19-1900458")</f>
        <v>0</v>
      </c>
      <c r="B745" t="s">
        <v>74</v>
      </c>
      <c r="C745" t="s">
        <v>241</v>
      </c>
      <c r="E745" t="s">
        <v>1054</v>
      </c>
      <c r="F745" t="s">
        <v>2514</v>
      </c>
      <c r="G745" t="s">
        <v>4147</v>
      </c>
      <c r="H745" t="s">
        <v>5578</v>
      </c>
      <c r="I745" t="s">
        <v>6043</v>
      </c>
      <c r="J745">
        <v>11213</v>
      </c>
      <c r="K745" t="s">
        <v>6074</v>
      </c>
      <c r="L745" t="s">
        <v>6075</v>
      </c>
      <c r="M745" t="s">
        <v>6461</v>
      </c>
      <c r="N745" t="s">
        <v>7276</v>
      </c>
      <c r="O745" t="s">
        <v>7308</v>
      </c>
      <c r="Q745" t="s">
        <v>7322</v>
      </c>
      <c r="R745" t="s">
        <v>6076</v>
      </c>
      <c r="S745" t="s">
        <v>7324</v>
      </c>
      <c r="T745" t="s">
        <v>7336</v>
      </c>
      <c r="U745" t="s">
        <v>397</v>
      </c>
      <c r="V745">
        <v>855.86</v>
      </c>
      <c r="W745" t="s">
        <v>7362</v>
      </c>
      <c r="X745" t="s">
        <v>7368</v>
      </c>
      <c r="Z745" t="s">
        <v>7998</v>
      </c>
      <c r="AC745">
        <v>6</v>
      </c>
      <c r="AD745" t="s">
        <v>12422</v>
      </c>
      <c r="AE745" t="s">
        <v>6110</v>
      </c>
      <c r="AF745">
        <v>26</v>
      </c>
      <c r="AG745">
        <v>1</v>
      </c>
      <c r="AH745">
        <v>1</v>
      </c>
      <c r="AI745">
        <v>52.58</v>
      </c>
      <c r="AL745" t="s">
        <v>12460</v>
      </c>
      <c r="AM745">
        <v>8892</v>
      </c>
      <c r="AN745" t="s">
        <v>12559</v>
      </c>
      <c r="AS745">
        <v>0.1</v>
      </c>
      <c r="AT745" t="s">
        <v>260</v>
      </c>
      <c r="AU745" t="s">
        <v>218</v>
      </c>
      <c r="AV745" t="s">
        <v>13145</v>
      </c>
    </row>
    <row r="746" spans="1:48">
      <c r="A746" s="1">
        <f>HYPERLINK("https://cms.ls-nyc.org/matter/dynamic-profile/view/1900651","19-1900651")</f>
        <v>0</v>
      </c>
      <c r="B746" t="s">
        <v>148</v>
      </c>
      <c r="C746" t="s">
        <v>260</v>
      </c>
      <c r="E746" t="s">
        <v>575</v>
      </c>
      <c r="F746" t="s">
        <v>2515</v>
      </c>
      <c r="G746" t="s">
        <v>3871</v>
      </c>
      <c r="H746" t="s">
        <v>5355</v>
      </c>
      <c r="I746" t="s">
        <v>6043</v>
      </c>
      <c r="J746">
        <v>11213</v>
      </c>
      <c r="K746" t="s">
        <v>6074</v>
      </c>
      <c r="L746" t="s">
        <v>6075</v>
      </c>
      <c r="M746" t="s">
        <v>6462</v>
      </c>
      <c r="N746" t="s">
        <v>7276</v>
      </c>
      <c r="O746" t="s">
        <v>7308</v>
      </c>
      <c r="Q746" t="s">
        <v>7322</v>
      </c>
      <c r="R746" t="s">
        <v>6074</v>
      </c>
      <c r="S746" t="s">
        <v>7324</v>
      </c>
      <c r="T746" t="s">
        <v>7336</v>
      </c>
      <c r="U746" t="s">
        <v>505</v>
      </c>
      <c r="V746">
        <v>951</v>
      </c>
      <c r="W746" t="s">
        <v>7362</v>
      </c>
      <c r="X746" t="s">
        <v>7381</v>
      </c>
      <c r="Z746" t="s">
        <v>7999</v>
      </c>
      <c r="AB746" t="s">
        <v>10797</v>
      </c>
      <c r="AC746">
        <v>19</v>
      </c>
      <c r="AD746" t="s">
        <v>12422</v>
      </c>
      <c r="AE746" t="s">
        <v>12441</v>
      </c>
      <c r="AF746">
        <v>16</v>
      </c>
      <c r="AG746">
        <v>3</v>
      </c>
      <c r="AH746">
        <v>3</v>
      </c>
      <c r="AI746">
        <v>52.62</v>
      </c>
      <c r="AL746" t="s">
        <v>12460</v>
      </c>
      <c r="AM746">
        <v>18200</v>
      </c>
      <c r="AN746" t="s">
        <v>12560</v>
      </c>
      <c r="AS746">
        <v>1</v>
      </c>
      <c r="AT746" t="s">
        <v>363</v>
      </c>
      <c r="AU746" t="s">
        <v>218</v>
      </c>
      <c r="AV746" t="s">
        <v>13145</v>
      </c>
    </row>
    <row r="747" spans="1:48">
      <c r="A747" s="1">
        <f>HYPERLINK("https://cms.ls-nyc.org/matter/dynamic-profile/view/1895307","19-1895307")</f>
        <v>0</v>
      </c>
      <c r="B747" t="s">
        <v>148</v>
      </c>
      <c r="C747" t="s">
        <v>247</v>
      </c>
      <c r="E747" t="s">
        <v>575</v>
      </c>
      <c r="F747" t="s">
        <v>2515</v>
      </c>
      <c r="G747" t="s">
        <v>3871</v>
      </c>
      <c r="H747" t="s">
        <v>5355</v>
      </c>
      <c r="I747" t="s">
        <v>6043</v>
      </c>
      <c r="J747">
        <v>11213</v>
      </c>
      <c r="K747" t="s">
        <v>6074</v>
      </c>
      <c r="L747" t="s">
        <v>6074</v>
      </c>
      <c r="N747" t="s">
        <v>7287</v>
      </c>
      <c r="O747" t="s">
        <v>7312</v>
      </c>
      <c r="Q747" t="s">
        <v>7322</v>
      </c>
      <c r="R747" t="s">
        <v>6074</v>
      </c>
      <c r="S747" t="s">
        <v>7329</v>
      </c>
      <c r="U747" t="s">
        <v>247</v>
      </c>
      <c r="V747">
        <v>951</v>
      </c>
      <c r="W747" t="s">
        <v>7362</v>
      </c>
      <c r="X747" t="s">
        <v>7381</v>
      </c>
      <c r="Z747" t="s">
        <v>7999</v>
      </c>
      <c r="AB747" t="s">
        <v>10797</v>
      </c>
      <c r="AC747">
        <v>19</v>
      </c>
      <c r="AD747" t="s">
        <v>12422</v>
      </c>
      <c r="AE747" t="s">
        <v>12441</v>
      </c>
      <c r="AF747">
        <v>16</v>
      </c>
      <c r="AG747">
        <v>3</v>
      </c>
      <c r="AH747">
        <v>3</v>
      </c>
      <c r="AI747">
        <v>52.62</v>
      </c>
      <c r="AL747" t="s">
        <v>12460</v>
      </c>
      <c r="AM747">
        <v>18200</v>
      </c>
      <c r="AS747">
        <v>0</v>
      </c>
      <c r="AU747" t="s">
        <v>180</v>
      </c>
    </row>
    <row r="748" spans="1:48">
      <c r="A748" s="1">
        <f>HYPERLINK("https://cms.ls-nyc.org/matter/dynamic-profile/view/1875217","18-1875217")</f>
        <v>0</v>
      </c>
      <c r="B748" t="s">
        <v>115</v>
      </c>
      <c r="C748" t="s">
        <v>427</v>
      </c>
      <c r="E748" t="s">
        <v>944</v>
      </c>
      <c r="F748" t="s">
        <v>646</v>
      </c>
      <c r="G748" t="s">
        <v>4168</v>
      </c>
      <c r="H748" t="s">
        <v>5435</v>
      </c>
      <c r="I748" t="s">
        <v>6047</v>
      </c>
      <c r="J748">
        <v>10460</v>
      </c>
      <c r="K748" t="s">
        <v>6074</v>
      </c>
      <c r="L748" t="s">
        <v>6074</v>
      </c>
      <c r="M748" t="s">
        <v>6463</v>
      </c>
      <c r="N748" t="s">
        <v>7276</v>
      </c>
      <c r="O748" t="s">
        <v>7308</v>
      </c>
      <c r="Q748" t="s">
        <v>7322</v>
      </c>
      <c r="R748" t="s">
        <v>6076</v>
      </c>
      <c r="S748" t="s">
        <v>7324</v>
      </c>
      <c r="T748" t="s">
        <v>7338</v>
      </c>
      <c r="U748" t="s">
        <v>291</v>
      </c>
      <c r="V748">
        <v>1042</v>
      </c>
      <c r="W748" t="s">
        <v>7363</v>
      </c>
      <c r="X748" t="s">
        <v>7373</v>
      </c>
      <c r="Z748" t="s">
        <v>8000</v>
      </c>
      <c r="AA748" t="s">
        <v>10033</v>
      </c>
      <c r="AB748" t="s">
        <v>10798</v>
      </c>
      <c r="AC748">
        <v>84</v>
      </c>
      <c r="AD748" t="s">
        <v>12422</v>
      </c>
      <c r="AE748" t="s">
        <v>6110</v>
      </c>
      <c r="AF748">
        <v>3</v>
      </c>
      <c r="AG748">
        <v>1</v>
      </c>
      <c r="AH748">
        <v>4</v>
      </c>
      <c r="AI748">
        <v>52.66</v>
      </c>
      <c r="AL748" t="s">
        <v>12460</v>
      </c>
      <c r="AM748">
        <v>15492</v>
      </c>
      <c r="AS748">
        <v>48.1</v>
      </c>
      <c r="AT748" t="s">
        <v>363</v>
      </c>
      <c r="AU748" t="s">
        <v>13099</v>
      </c>
    </row>
    <row r="749" spans="1:48">
      <c r="A749" s="1">
        <f>HYPERLINK("https://cms.ls-nyc.org/matter/dynamic-profile/view/1890705","19-1890705")</f>
        <v>0</v>
      </c>
      <c r="B749" t="s">
        <v>133</v>
      </c>
      <c r="C749" t="s">
        <v>420</v>
      </c>
      <c r="D749" t="s">
        <v>395</v>
      </c>
      <c r="E749" t="s">
        <v>1055</v>
      </c>
      <c r="F749" t="s">
        <v>2363</v>
      </c>
      <c r="G749" t="s">
        <v>4169</v>
      </c>
      <c r="H749">
        <v>53</v>
      </c>
      <c r="I749" t="s">
        <v>6049</v>
      </c>
      <c r="J749">
        <v>10034</v>
      </c>
      <c r="K749" t="s">
        <v>6074</v>
      </c>
      <c r="L749" t="s">
        <v>6074</v>
      </c>
      <c r="O749" t="s">
        <v>7306</v>
      </c>
      <c r="P749" t="s">
        <v>7314</v>
      </c>
      <c r="Q749" t="s">
        <v>7322</v>
      </c>
      <c r="R749" t="s">
        <v>6076</v>
      </c>
      <c r="S749" t="s">
        <v>7324</v>
      </c>
      <c r="U749" t="s">
        <v>351</v>
      </c>
      <c r="V749">
        <v>900</v>
      </c>
      <c r="W749" t="s">
        <v>7365</v>
      </c>
      <c r="X749" t="s">
        <v>7367</v>
      </c>
      <c r="Y749" t="s">
        <v>7386</v>
      </c>
      <c r="Z749" t="s">
        <v>8001</v>
      </c>
      <c r="AB749" t="s">
        <v>10799</v>
      </c>
      <c r="AC749">
        <v>25</v>
      </c>
      <c r="AD749" t="s">
        <v>12422</v>
      </c>
      <c r="AF749">
        <v>8</v>
      </c>
      <c r="AG749">
        <v>3</v>
      </c>
      <c r="AH749">
        <v>0</v>
      </c>
      <c r="AI749">
        <v>52.66</v>
      </c>
      <c r="AL749" t="s">
        <v>12461</v>
      </c>
      <c r="AM749">
        <v>11232</v>
      </c>
      <c r="AS749">
        <v>1.4</v>
      </c>
      <c r="AT749" t="s">
        <v>395</v>
      </c>
      <c r="AU749" t="s">
        <v>13090</v>
      </c>
    </row>
    <row r="750" spans="1:48">
      <c r="A750" s="1">
        <f>HYPERLINK("https://cms.ls-nyc.org/matter/dynamic-profile/view/1887380","19-1887380")</f>
        <v>0</v>
      </c>
      <c r="B750" t="s">
        <v>96</v>
      </c>
      <c r="C750" t="s">
        <v>267</v>
      </c>
      <c r="E750" t="s">
        <v>1056</v>
      </c>
      <c r="F750" t="s">
        <v>2395</v>
      </c>
      <c r="G750" t="s">
        <v>3791</v>
      </c>
      <c r="H750">
        <v>47</v>
      </c>
      <c r="I750" t="s">
        <v>6047</v>
      </c>
      <c r="J750">
        <v>10453</v>
      </c>
      <c r="K750" t="s">
        <v>6074</v>
      </c>
      <c r="L750" t="s">
        <v>6074</v>
      </c>
      <c r="M750" t="s">
        <v>6192</v>
      </c>
      <c r="N750" t="s">
        <v>7279</v>
      </c>
      <c r="O750" t="s">
        <v>7311</v>
      </c>
      <c r="Q750" t="s">
        <v>7322</v>
      </c>
      <c r="R750" t="s">
        <v>6074</v>
      </c>
      <c r="S750" t="s">
        <v>7324</v>
      </c>
      <c r="U750" t="s">
        <v>457</v>
      </c>
      <c r="V750">
        <v>1345</v>
      </c>
      <c r="W750" t="s">
        <v>7363</v>
      </c>
      <c r="X750" t="s">
        <v>7375</v>
      </c>
      <c r="Z750" t="s">
        <v>8002</v>
      </c>
      <c r="AB750" t="s">
        <v>10800</v>
      </c>
      <c r="AC750">
        <v>43</v>
      </c>
      <c r="AD750" t="s">
        <v>12422</v>
      </c>
      <c r="AE750" t="s">
        <v>12434</v>
      </c>
      <c r="AF750">
        <v>18</v>
      </c>
      <c r="AG750">
        <v>2</v>
      </c>
      <c r="AH750">
        <v>1</v>
      </c>
      <c r="AI750">
        <v>52.94</v>
      </c>
      <c r="AL750" t="s">
        <v>12461</v>
      </c>
      <c r="AM750">
        <v>11000.04</v>
      </c>
      <c r="AS750">
        <v>0</v>
      </c>
      <c r="AU750" t="s">
        <v>13099</v>
      </c>
    </row>
    <row r="751" spans="1:48">
      <c r="A751" s="1">
        <f>HYPERLINK("https://cms.ls-nyc.org/matter/dynamic-profile/view/1882159","18-1882159")</f>
        <v>0</v>
      </c>
      <c r="B751" t="s">
        <v>54</v>
      </c>
      <c r="C751" t="s">
        <v>442</v>
      </c>
      <c r="D751" t="s">
        <v>431</v>
      </c>
      <c r="E751" t="s">
        <v>1057</v>
      </c>
      <c r="F751" t="s">
        <v>2135</v>
      </c>
      <c r="G751" t="s">
        <v>4170</v>
      </c>
      <c r="I751" t="s">
        <v>6026</v>
      </c>
      <c r="J751">
        <v>11436</v>
      </c>
      <c r="K751" t="s">
        <v>6074</v>
      </c>
      <c r="L751" t="s">
        <v>6074</v>
      </c>
      <c r="M751" t="s">
        <v>6464</v>
      </c>
      <c r="N751" t="s">
        <v>7274</v>
      </c>
      <c r="O751" t="s">
        <v>7306</v>
      </c>
      <c r="P751" t="s">
        <v>7314</v>
      </c>
      <c r="Q751" t="s">
        <v>7322</v>
      </c>
      <c r="R751" t="s">
        <v>6076</v>
      </c>
      <c r="S751" t="s">
        <v>7324</v>
      </c>
      <c r="T751" t="s">
        <v>7338</v>
      </c>
      <c r="U751" t="s">
        <v>442</v>
      </c>
      <c r="V751">
        <v>1000</v>
      </c>
      <c r="W751" t="s">
        <v>7361</v>
      </c>
      <c r="X751" t="s">
        <v>7366</v>
      </c>
      <c r="Y751" t="s">
        <v>7386</v>
      </c>
      <c r="Z751" t="s">
        <v>8003</v>
      </c>
      <c r="AB751" t="s">
        <v>10801</v>
      </c>
      <c r="AC751">
        <v>1</v>
      </c>
      <c r="AD751" t="s">
        <v>12419</v>
      </c>
      <c r="AE751" t="s">
        <v>6110</v>
      </c>
      <c r="AF751">
        <v>11</v>
      </c>
      <c r="AG751">
        <v>3</v>
      </c>
      <c r="AH751">
        <v>2</v>
      </c>
      <c r="AI751">
        <v>53.03</v>
      </c>
      <c r="AL751" t="s">
        <v>12460</v>
      </c>
      <c r="AM751">
        <v>15600</v>
      </c>
      <c r="AS751">
        <v>0.6</v>
      </c>
      <c r="AT751" t="s">
        <v>431</v>
      </c>
      <c r="AU751" t="s">
        <v>48</v>
      </c>
    </row>
    <row r="752" spans="1:48">
      <c r="A752" s="1">
        <f>HYPERLINK("https://cms.ls-nyc.org/matter/dynamic-profile/view/1881096","18-1881096")</f>
        <v>0</v>
      </c>
      <c r="B752" t="s">
        <v>109</v>
      </c>
      <c r="C752" t="s">
        <v>464</v>
      </c>
      <c r="D752" t="s">
        <v>234</v>
      </c>
      <c r="E752" t="s">
        <v>785</v>
      </c>
      <c r="F752" t="s">
        <v>2259</v>
      </c>
      <c r="G752" t="s">
        <v>3867</v>
      </c>
      <c r="H752">
        <v>1</v>
      </c>
      <c r="I752" t="s">
        <v>6047</v>
      </c>
      <c r="J752">
        <v>10466</v>
      </c>
      <c r="K752" t="s">
        <v>6074</v>
      </c>
      <c r="L752" t="s">
        <v>6074</v>
      </c>
      <c r="M752" t="s">
        <v>6465</v>
      </c>
      <c r="N752" t="s">
        <v>7274</v>
      </c>
      <c r="O752" t="s">
        <v>7308</v>
      </c>
      <c r="P752" t="s">
        <v>7316</v>
      </c>
      <c r="Q752" t="s">
        <v>7322</v>
      </c>
      <c r="R752" t="s">
        <v>6076</v>
      </c>
      <c r="S752" t="s">
        <v>7324</v>
      </c>
      <c r="T752" t="s">
        <v>7339</v>
      </c>
      <c r="U752" t="s">
        <v>464</v>
      </c>
      <c r="V752">
        <v>1956</v>
      </c>
      <c r="W752" t="s">
        <v>7363</v>
      </c>
      <c r="X752" t="s">
        <v>7376</v>
      </c>
      <c r="Y752" t="s">
        <v>7391</v>
      </c>
      <c r="Z752" t="s">
        <v>7643</v>
      </c>
      <c r="AA752" t="s">
        <v>9896</v>
      </c>
      <c r="AB752" t="s">
        <v>10473</v>
      </c>
      <c r="AC752">
        <v>3</v>
      </c>
      <c r="AD752" t="s">
        <v>12419</v>
      </c>
      <c r="AE752" t="s">
        <v>12433</v>
      </c>
      <c r="AF752">
        <v>2</v>
      </c>
      <c r="AG752">
        <v>2</v>
      </c>
      <c r="AH752">
        <v>3</v>
      </c>
      <c r="AI752">
        <v>53.03</v>
      </c>
      <c r="AL752" t="s">
        <v>12460</v>
      </c>
      <c r="AM752">
        <v>15600</v>
      </c>
      <c r="AO752" t="s">
        <v>12850</v>
      </c>
      <c r="AP752" t="s">
        <v>12880</v>
      </c>
      <c r="AQ752" t="s">
        <v>12910</v>
      </c>
      <c r="AR752" t="s">
        <v>12978</v>
      </c>
      <c r="AS752">
        <v>27</v>
      </c>
      <c r="AT752" t="s">
        <v>337</v>
      </c>
      <c r="AU752" t="s">
        <v>13125</v>
      </c>
    </row>
    <row r="753" spans="1:47">
      <c r="A753" s="1">
        <f>HYPERLINK("https://cms.ls-nyc.org/matter/dynamic-profile/view/1886661","18-1886661")</f>
        <v>0</v>
      </c>
      <c r="B753" t="s">
        <v>77</v>
      </c>
      <c r="C753" t="s">
        <v>465</v>
      </c>
      <c r="E753" t="s">
        <v>1058</v>
      </c>
      <c r="F753" t="s">
        <v>2516</v>
      </c>
      <c r="G753" t="s">
        <v>4171</v>
      </c>
      <c r="H753">
        <v>2</v>
      </c>
      <c r="I753" t="s">
        <v>6043</v>
      </c>
      <c r="J753">
        <v>11207</v>
      </c>
      <c r="K753" t="s">
        <v>6074</v>
      </c>
      <c r="L753" t="s">
        <v>6074</v>
      </c>
      <c r="M753" t="s">
        <v>6466</v>
      </c>
      <c r="N753" t="s">
        <v>7276</v>
      </c>
      <c r="O753" t="s">
        <v>7306</v>
      </c>
      <c r="Q753" t="s">
        <v>7322</v>
      </c>
      <c r="R753" t="s">
        <v>6076</v>
      </c>
      <c r="S753" t="s">
        <v>7324</v>
      </c>
      <c r="U753" t="s">
        <v>346</v>
      </c>
      <c r="V753">
        <v>850</v>
      </c>
      <c r="W753" t="s">
        <v>7362</v>
      </c>
      <c r="X753" t="s">
        <v>7373</v>
      </c>
      <c r="Z753" t="s">
        <v>8004</v>
      </c>
      <c r="AB753" t="s">
        <v>10802</v>
      </c>
      <c r="AC753">
        <v>8</v>
      </c>
      <c r="AD753" t="s">
        <v>12422</v>
      </c>
      <c r="AE753" t="s">
        <v>6110</v>
      </c>
      <c r="AF753">
        <v>0</v>
      </c>
      <c r="AG753">
        <v>4</v>
      </c>
      <c r="AH753">
        <v>0</v>
      </c>
      <c r="AI753">
        <v>53.04</v>
      </c>
      <c r="AL753" t="s">
        <v>12460</v>
      </c>
      <c r="AM753">
        <v>13312</v>
      </c>
      <c r="AS753">
        <v>1.5</v>
      </c>
      <c r="AT753" t="s">
        <v>267</v>
      </c>
      <c r="AU753" t="s">
        <v>180</v>
      </c>
    </row>
    <row r="754" spans="1:47">
      <c r="A754" s="1">
        <f>HYPERLINK("https://cms.ls-nyc.org/matter/dynamic-profile/view/1874940","18-1874940")</f>
        <v>0</v>
      </c>
      <c r="B754" t="s">
        <v>173</v>
      </c>
      <c r="C754" t="s">
        <v>274</v>
      </c>
      <c r="E754" t="s">
        <v>1059</v>
      </c>
      <c r="F754" t="s">
        <v>2517</v>
      </c>
      <c r="G754" t="s">
        <v>4172</v>
      </c>
      <c r="H754" t="s">
        <v>5579</v>
      </c>
      <c r="I754" t="s">
        <v>6047</v>
      </c>
      <c r="J754">
        <v>10474</v>
      </c>
      <c r="K754" t="s">
        <v>6074</v>
      </c>
      <c r="L754" t="s">
        <v>6074</v>
      </c>
      <c r="N754" t="s">
        <v>7283</v>
      </c>
      <c r="O754" t="s">
        <v>7309</v>
      </c>
      <c r="Q754" t="s">
        <v>7322</v>
      </c>
      <c r="R754" t="s">
        <v>6076</v>
      </c>
      <c r="S754" t="s">
        <v>7326</v>
      </c>
      <c r="U754" t="s">
        <v>438</v>
      </c>
      <c r="V754">
        <v>1084</v>
      </c>
      <c r="W754" t="s">
        <v>7363</v>
      </c>
      <c r="X754" t="s">
        <v>7366</v>
      </c>
      <c r="Z754" t="s">
        <v>8005</v>
      </c>
      <c r="AA754" t="s">
        <v>10034</v>
      </c>
      <c r="AB754" t="s">
        <v>10803</v>
      </c>
      <c r="AC754">
        <v>27</v>
      </c>
      <c r="AD754" t="s">
        <v>12422</v>
      </c>
      <c r="AF754">
        <v>28</v>
      </c>
      <c r="AG754">
        <v>1</v>
      </c>
      <c r="AH754">
        <v>1</v>
      </c>
      <c r="AI754">
        <v>53.15</v>
      </c>
      <c r="AL754" t="s">
        <v>12461</v>
      </c>
      <c r="AM754">
        <v>8748</v>
      </c>
      <c r="AS754">
        <v>4.5</v>
      </c>
      <c r="AT754" t="s">
        <v>424</v>
      </c>
      <c r="AU754" t="s">
        <v>13114</v>
      </c>
    </row>
    <row r="755" spans="1:47">
      <c r="A755" s="1">
        <f>HYPERLINK("https://cms.ls-nyc.org/matter/dynamic-profile/view/1890605","19-1890605")</f>
        <v>0</v>
      </c>
      <c r="B755" t="s">
        <v>70</v>
      </c>
      <c r="C755" t="s">
        <v>278</v>
      </c>
      <c r="E755" t="s">
        <v>619</v>
      </c>
      <c r="F755" t="s">
        <v>2098</v>
      </c>
      <c r="G755" t="s">
        <v>3696</v>
      </c>
      <c r="H755" t="s">
        <v>5374</v>
      </c>
      <c r="I755" t="s">
        <v>6043</v>
      </c>
      <c r="J755">
        <v>11238</v>
      </c>
      <c r="K755" t="s">
        <v>6074</v>
      </c>
      <c r="L755" t="s">
        <v>6074</v>
      </c>
      <c r="N755" t="s">
        <v>7278</v>
      </c>
      <c r="O755" t="s">
        <v>7309</v>
      </c>
      <c r="Q755" t="s">
        <v>7322</v>
      </c>
      <c r="R755" t="s">
        <v>6076</v>
      </c>
      <c r="S755" t="s">
        <v>7324</v>
      </c>
      <c r="U755" t="s">
        <v>330</v>
      </c>
      <c r="V755">
        <v>0</v>
      </c>
      <c r="W755" t="s">
        <v>7362</v>
      </c>
      <c r="X755" t="s">
        <v>7368</v>
      </c>
      <c r="Z755" t="s">
        <v>7461</v>
      </c>
      <c r="AC755">
        <v>29</v>
      </c>
      <c r="AD755" t="s">
        <v>12422</v>
      </c>
      <c r="AF755">
        <v>0</v>
      </c>
      <c r="AG755">
        <v>2</v>
      </c>
      <c r="AH755">
        <v>0</v>
      </c>
      <c r="AI755">
        <v>53.22</v>
      </c>
      <c r="AL755" t="s">
        <v>12460</v>
      </c>
      <c r="AM755">
        <v>9000</v>
      </c>
      <c r="AS755">
        <v>13.4</v>
      </c>
      <c r="AT755" t="s">
        <v>460</v>
      </c>
      <c r="AU755" t="s">
        <v>88</v>
      </c>
    </row>
    <row r="756" spans="1:47">
      <c r="A756" s="1">
        <f>HYPERLINK("https://cms.ls-nyc.org/matter/dynamic-profile/view/1890386","19-1890386")</f>
        <v>0</v>
      </c>
      <c r="B756" t="s">
        <v>132</v>
      </c>
      <c r="C756" t="s">
        <v>330</v>
      </c>
      <c r="E756" t="s">
        <v>1060</v>
      </c>
      <c r="F756" t="s">
        <v>2518</v>
      </c>
      <c r="G756" t="s">
        <v>4173</v>
      </c>
      <c r="H756" t="s">
        <v>5355</v>
      </c>
      <c r="I756" t="s">
        <v>6049</v>
      </c>
      <c r="J756">
        <v>10034</v>
      </c>
      <c r="K756" t="s">
        <v>6074</v>
      </c>
      <c r="L756" t="s">
        <v>6074</v>
      </c>
      <c r="O756" t="s">
        <v>7306</v>
      </c>
      <c r="Q756" t="s">
        <v>7322</v>
      </c>
      <c r="S756" t="s">
        <v>7324</v>
      </c>
      <c r="U756" t="s">
        <v>330</v>
      </c>
      <c r="V756">
        <v>864.9299999999999</v>
      </c>
      <c r="W756" t="s">
        <v>7365</v>
      </c>
      <c r="X756" t="s">
        <v>7367</v>
      </c>
      <c r="Z756" t="s">
        <v>8006</v>
      </c>
      <c r="AB756" t="s">
        <v>10804</v>
      </c>
      <c r="AC756">
        <v>121</v>
      </c>
      <c r="AD756" t="s">
        <v>12422</v>
      </c>
      <c r="AE756" t="s">
        <v>6110</v>
      </c>
      <c r="AF756">
        <v>35</v>
      </c>
      <c r="AG756">
        <v>2</v>
      </c>
      <c r="AH756">
        <v>0</v>
      </c>
      <c r="AI756">
        <v>53.22</v>
      </c>
      <c r="AL756" t="s">
        <v>12461</v>
      </c>
      <c r="AM756">
        <v>9000</v>
      </c>
      <c r="AS756">
        <v>0</v>
      </c>
      <c r="AU756" t="s">
        <v>13106</v>
      </c>
    </row>
    <row r="757" spans="1:47">
      <c r="A757" s="1">
        <f>HYPERLINK("https://cms.ls-nyc.org/matter/dynamic-profile/view/1888062","19-1888062")</f>
        <v>0</v>
      </c>
      <c r="B757" t="s">
        <v>125</v>
      </c>
      <c r="C757" t="s">
        <v>466</v>
      </c>
      <c r="E757" t="s">
        <v>586</v>
      </c>
      <c r="F757" t="s">
        <v>2457</v>
      </c>
      <c r="G757" t="s">
        <v>4174</v>
      </c>
      <c r="H757" t="s">
        <v>5417</v>
      </c>
      <c r="I757" t="s">
        <v>6049</v>
      </c>
      <c r="J757">
        <v>10032</v>
      </c>
      <c r="K757" t="s">
        <v>6074</v>
      </c>
      <c r="L757" t="s">
        <v>6074</v>
      </c>
      <c r="O757" t="s">
        <v>7308</v>
      </c>
      <c r="Q757" t="s">
        <v>7322</v>
      </c>
      <c r="R757" t="s">
        <v>6074</v>
      </c>
      <c r="S757" t="s">
        <v>7324</v>
      </c>
      <c r="U757" t="s">
        <v>466</v>
      </c>
      <c r="V757">
        <v>550</v>
      </c>
      <c r="W757" t="s">
        <v>7365</v>
      </c>
      <c r="X757" t="s">
        <v>7367</v>
      </c>
      <c r="Z757" t="s">
        <v>8007</v>
      </c>
      <c r="AB757" t="s">
        <v>10805</v>
      </c>
      <c r="AC757">
        <v>42</v>
      </c>
      <c r="AD757" t="s">
        <v>12422</v>
      </c>
      <c r="AE757" t="s">
        <v>12441</v>
      </c>
      <c r="AF757">
        <v>35</v>
      </c>
      <c r="AG757">
        <v>2</v>
      </c>
      <c r="AH757">
        <v>0</v>
      </c>
      <c r="AI757">
        <v>53.22</v>
      </c>
      <c r="AL757" t="s">
        <v>12461</v>
      </c>
      <c r="AM757">
        <v>8760</v>
      </c>
      <c r="AS757">
        <v>0</v>
      </c>
      <c r="AU757" t="s">
        <v>13106</v>
      </c>
    </row>
    <row r="758" spans="1:47">
      <c r="A758" s="1">
        <f>HYPERLINK("https://cms.ls-nyc.org/matter/dynamic-profile/view/1863305","18-1863305")</f>
        <v>0</v>
      </c>
      <c r="B758" t="s">
        <v>82</v>
      </c>
      <c r="C758" t="s">
        <v>444</v>
      </c>
      <c r="E758" t="s">
        <v>1050</v>
      </c>
      <c r="F758" t="s">
        <v>2283</v>
      </c>
      <c r="G758" t="s">
        <v>3728</v>
      </c>
      <c r="H758" t="s">
        <v>5469</v>
      </c>
      <c r="I758" t="s">
        <v>6043</v>
      </c>
      <c r="J758">
        <v>11226</v>
      </c>
      <c r="K758" t="s">
        <v>6074</v>
      </c>
      <c r="L758" t="s">
        <v>6074</v>
      </c>
      <c r="N758" t="s">
        <v>7282</v>
      </c>
      <c r="O758" t="s">
        <v>7308</v>
      </c>
      <c r="Q758" t="s">
        <v>7322</v>
      </c>
      <c r="R758" t="s">
        <v>6074</v>
      </c>
      <c r="S758" t="s">
        <v>7324</v>
      </c>
      <c r="U758" t="s">
        <v>333</v>
      </c>
      <c r="V758">
        <v>1275</v>
      </c>
      <c r="W758" t="s">
        <v>7362</v>
      </c>
      <c r="X758" t="s">
        <v>7368</v>
      </c>
      <c r="Z758" t="s">
        <v>7992</v>
      </c>
      <c r="AB758" t="s">
        <v>10792</v>
      </c>
      <c r="AC758">
        <v>65</v>
      </c>
      <c r="AD758" t="s">
        <v>12422</v>
      </c>
      <c r="AE758" t="s">
        <v>12434</v>
      </c>
      <c r="AF758">
        <v>14</v>
      </c>
      <c r="AG758">
        <v>1</v>
      </c>
      <c r="AH758">
        <v>0</v>
      </c>
      <c r="AI758">
        <v>53.38</v>
      </c>
      <c r="AL758" t="s">
        <v>12460</v>
      </c>
      <c r="AM758">
        <v>6480</v>
      </c>
      <c r="AS758">
        <v>107.75</v>
      </c>
      <c r="AT758" t="s">
        <v>316</v>
      </c>
      <c r="AU758" t="s">
        <v>13087</v>
      </c>
    </row>
    <row r="759" spans="1:47">
      <c r="A759" s="1">
        <f>HYPERLINK("https://cms.ls-nyc.org/matter/dynamic-profile/view/1876801","18-1876801")</f>
        <v>0</v>
      </c>
      <c r="B759" t="s">
        <v>126</v>
      </c>
      <c r="C759" t="s">
        <v>238</v>
      </c>
      <c r="D759" t="s">
        <v>326</v>
      </c>
      <c r="E759" t="s">
        <v>716</v>
      </c>
      <c r="F759" t="s">
        <v>2519</v>
      </c>
      <c r="G759" t="s">
        <v>4062</v>
      </c>
      <c r="H759">
        <v>64</v>
      </c>
      <c r="I759" t="s">
        <v>6049</v>
      </c>
      <c r="J759">
        <v>10034</v>
      </c>
      <c r="K759" t="s">
        <v>6074</v>
      </c>
      <c r="L759" t="s">
        <v>6074</v>
      </c>
      <c r="N759" t="s">
        <v>7290</v>
      </c>
      <c r="O759" t="s">
        <v>7311</v>
      </c>
      <c r="P759" t="s">
        <v>7319</v>
      </c>
      <c r="Q759" t="s">
        <v>7322</v>
      </c>
      <c r="R759" t="s">
        <v>6076</v>
      </c>
      <c r="S759" t="s">
        <v>7333</v>
      </c>
      <c r="T759" t="s">
        <v>7336</v>
      </c>
      <c r="U759" t="s">
        <v>372</v>
      </c>
      <c r="V759">
        <v>1085</v>
      </c>
      <c r="W759" t="s">
        <v>7365</v>
      </c>
      <c r="X759" t="s">
        <v>7370</v>
      </c>
      <c r="Y759" t="s">
        <v>7397</v>
      </c>
      <c r="Z759" t="s">
        <v>8008</v>
      </c>
      <c r="AB759" t="s">
        <v>10806</v>
      </c>
      <c r="AC759">
        <v>38</v>
      </c>
      <c r="AD759" t="s">
        <v>12422</v>
      </c>
      <c r="AE759" t="s">
        <v>6110</v>
      </c>
      <c r="AF759">
        <v>19</v>
      </c>
      <c r="AG759">
        <v>1</v>
      </c>
      <c r="AH759">
        <v>0</v>
      </c>
      <c r="AI759">
        <v>53.54</v>
      </c>
      <c r="AL759" t="s">
        <v>12460</v>
      </c>
      <c r="AM759">
        <v>6500</v>
      </c>
      <c r="AO759" t="s">
        <v>12853</v>
      </c>
      <c r="AP759" t="s">
        <v>12881</v>
      </c>
      <c r="AQ759" t="s">
        <v>12909</v>
      </c>
      <c r="AR759" t="s">
        <v>12946</v>
      </c>
      <c r="AS759">
        <v>6.55</v>
      </c>
      <c r="AT759" t="s">
        <v>350</v>
      </c>
      <c r="AU759" t="s">
        <v>13107</v>
      </c>
    </row>
    <row r="760" spans="1:47">
      <c r="A760" s="1">
        <f>HYPERLINK("https://cms.ls-nyc.org/matter/dynamic-profile/view/1895346","19-1895346")</f>
        <v>0</v>
      </c>
      <c r="B760" t="s">
        <v>78</v>
      </c>
      <c r="C760" t="s">
        <v>247</v>
      </c>
      <c r="E760" t="s">
        <v>1061</v>
      </c>
      <c r="F760" t="s">
        <v>2520</v>
      </c>
      <c r="G760" t="s">
        <v>3919</v>
      </c>
      <c r="H760" t="s">
        <v>5400</v>
      </c>
      <c r="I760" t="s">
        <v>6043</v>
      </c>
      <c r="J760">
        <v>11212</v>
      </c>
      <c r="K760" t="s">
        <v>6074</v>
      </c>
      <c r="L760" t="s">
        <v>6074</v>
      </c>
      <c r="N760" t="s">
        <v>7287</v>
      </c>
      <c r="O760" t="s">
        <v>7312</v>
      </c>
      <c r="Q760" t="s">
        <v>7322</v>
      </c>
      <c r="R760" t="s">
        <v>6074</v>
      </c>
      <c r="S760" t="s">
        <v>7324</v>
      </c>
      <c r="U760" t="s">
        <v>247</v>
      </c>
      <c r="V760">
        <v>1300</v>
      </c>
      <c r="W760" t="s">
        <v>7362</v>
      </c>
      <c r="X760" t="s">
        <v>7375</v>
      </c>
      <c r="Z760" t="s">
        <v>8009</v>
      </c>
      <c r="AB760" t="s">
        <v>10807</v>
      </c>
      <c r="AC760">
        <v>19</v>
      </c>
      <c r="AD760" t="s">
        <v>12422</v>
      </c>
      <c r="AE760" t="s">
        <v>12434</v>
      </c>
      <c r="AF760">
        <v>15</v>
      </c>
      <c r="AG760">
        <v>2</v>
      </c>
      <c r="AH760">
        <v>0</v>
      </c>
      <c r="AI760">
        <v>53.65</v>
      </c>
      <c r="AL760" t="s">
        <v>12460</v>
      </c>
      <c r="AM760">
        <v>9072</v>
      </c>
      <c r="AS760">
        <v>0</v>
      </c>
      <c r="AU760" t="s">
        <v>180</v>
      </c>
    </row>
    <row r="761" spans="1:47">
      <c r="A761" s="1">
        <f>HYPERLINK("https://cms.ls-nyc.org/matter/dynamic-profile/view/1877662","18-1877662")</f>
        <v>0</v>
      </c>
      <c r="B761" t="s">
        <v>108</v>
      </c>
      <c r="C761" t="s">
        <v>383</v>
      </c>
      <c r="E761" t="s">
        <v>1062</v>
      </c>
      <c r="F761" t="s">
        <v>2521</v>
      </c>
      <c r="G761" t="s">
        <v>3805</v>
      </c>
      <c r="H761" t="s">
        <v>5505</v>
      </c>
      <c r="I761" t="s">
        <v>6047</v>
      </c>
      <c r="J761">
        <v>10452</v>
      </c>
      <c r="K761" t="s">
        <v>6074</v>
      </c>
      <c r="L761" t="s">
        <v>6074</v>
      </c>
      <c r="M761" t="s">
        <v>6382</v>
      </c>
      <c r="N761" t="s">
        <v>7273</v>
      </c>
      <c r="O761" t="s">
        <v>7308</v>
      </c>
      <c r="Q761" t="s">
        <v>7322</v>
      </c>
      <c r="R761" t="s">
        <v>6074</v>
      </c>
      <c r="S761" t="s">
        <v>7324</v>
      </c>
      <c r="U761" t="s">
        <v>472</v>
      </c>
      <c r="V761">
        <v>230</v>
      </c>
      <c r="W761" t="s">
        <v>7363</v>
      </c>
      <c r="X761" t="s">
        <v>7376</v>
      </c>
      <c r="Z761" t="s">
        <v>8010</v>
      </c>
      <c r="AA761" t="s">
        <v>10035</v>
      </c>
      <c r="AB761" t="s">
        <v>10808</v>
      </c>
      <c r="AC761">
        <v>149</v>
      </c>
      <c r="AD761" t="s">
        <v>12422</v>
      </c>
      <c r="AE761" t="s">
        <v>12440</v>
      </c>
      <c r="AF761">
        <v>27</v>
      </c>
      <c r="AG761">
        <v>1</v>
      </c>
      <c r="AH761">
        <v>1</v>
      </c>
      <c r="AI761">
        <v>53.66</v>
      </c>
      <c r="AL761" t="s">
        <v>12461</v>
      </c>
      <c r="AM761">
        <v>8832</v>
      </c>
      <c r="AS761">
        <v>1.5</v>
      </c>
      <c r="AT761" t="s">
        <v>414</v>
      </c>
      <c r="AU761" t="s">
        <v>13099</v>
      </c>
    </row>
    <row r="762" spans="1:47">
      <c r="A762" s="1">
        <f>HYPERLINK("https://cms.ls-nyc.org/matter/dynamic-profile/view/1877700","18-1877700")</f>
        <v>0</v>
      </c>
      <c r="B762" t="s">
        <v>108</v>
      </c>
      <c r="C762" t="s">
        <v>383</v>
      </c>
      <c r="E762" t="s">
        <v>1062</v>
      </c>
      <c r="F762" t="s">
        <v>2521</v>
      </c>
      <c r="G762" t="s">
        <v>3805</v>
      </c>
      <c r="H762" t="s">
        <v>5505</v>
      </c>
      <c r="I762" t="s">
        <v>6047</v>
      </c>
      <c r="J762">
        <v>10452</v>
      </c>
      <c r="K762" t="s">
        <v>6074</v>
      </c>
      <c r="L762" t="s">
        <v>6074</v>
      </c>
      <c r="N762" t="s">
        <v>6104</v>
      </c>
      <c r="O762" t="s">
        <v>7309</v>
      </c>
      <c r="Q762" t="s">
        <v>7322</v>
      </c>
      <c r="R762" t="s">
        <v>6074</v>
      </c>
      <c r="S762" t="s">
        <v>7324</v>
      </c>
      <c r="U762" t="s">
        <v>472</v>
      </c>
      <c r="V762">
        <v>230</v>
      </c>
      <c r="W762" t="s">
        <v>7363</v>
      </c>
      <c r="X762" t="s">
        <v>7376</v>
      </c>
      <c r="Z762" t="s">
        <v>8010</v>
      </c>
      <c r="AA762" t="s">
        <v>10035</v>
      </c>
      <c r="AB762" t="s">
        <v>10808</v>
      </c>
      <c r="AC762">
        <v>149</v>
      </c>
      <c r="AD762" t="s">
        <v>12422</v>
      </c>
      <c r="AE762" t="s">
        <v>12440</v>
      </c>
      <c r="AF762">
        <v>27</v>
      </c>
      <c r="AG762">
        <v>1</v>
      </c>
      <c r="AH762">
        <v>1</v>
      </c>
      <c r="AI762">
        <v>53.66</v>
      </c>
      <c r="AL762" t="s">
        <v>12461</v>
      </c>
      <c r="AM762">
        <v>8832</v>
      </c>
      <c r="AS762">
        <v>1.5</v>
      </c>
      <c r="AT762" t="s">
        <v>240</v>
      </c>
      <c r="AU762" t="s">
        <v>13099</v>
      </c>
    </row>
    <row r="763" spans="1:47">
      <c r="A763" s="1">
        <f>HYPERLINK("https://cms.ls-nyc.org/matter/dynamic-profile/view/1891038","19-1891038")</f>
        <v>0</v>
      </c>
      <c r="B763" t="s">
        <v>175</v>
      </c>
      <c r="C763" t="s">
        <v>393</v>
      </c>
      <c r="E763" t="s">
        <v>1063</v>
      </c>
      <c r="F763" t="s">
        <v>2522</v>
      </c>
      <c r="G763" t="s">
        <v>4129</v>
      </c>
      <c r="H763">
        <v>2</v>
      </c>
      <c r="I763" t="s">
        <v>6049</v>
      </c>
      <c r="J763">
        <v>10034</v>
      </c>
      <c r="K763" t="s">
        <v>6074</v>
      </c>
      <c r="L763" t="s">
        <v>6074</v>
      </c>
      <c r="N763" t="s">
        <v>7283</v>
      </c>
      <c r="O763" t="s">
        <v>7307</v>
      </c>
      <c r="Q763" t="s">
        <v>7322</v>
      </c>
      <c r="R763" t="s">
        <v>6076</v>
      </c>
      <c r="S763" t="s">
        <v>7324</v>
      </c>
      <c r="U763" t="s">
        <v>393</v>
      </c>
      <c r="V763">
        <v>871.5700000000001</v>
      </c>
      <c r="W763" t="s">
        <v>7365</v>
      </c>
      <c r="X763" t="s">
        <v>7368</v>
      </c>
      <c r="Z763" t="s">
        <v>8011</v>
      </c>
      <c r="AA763">
        <v>837516</v>
      </c>
      <c r="AB763" t="s">
        <v>10809</v>
      </c>
      <c r="AC763">
        <v>25</v>
      </c>
      <c r="AD763" t="s">
        <v>12422</v>
      </c>
      <c r="AE763" t="s">
        <v>12441</v>
      </c>
      <c r="AF763">
        <v>12</v>
      </c>
      <c r="AG763">
        <v>1</v>
      </c>
      <c r="AH763">
        <v>1</v>
      </c>
      <c r="AI763">
        <v>53.79</v>
      </c>
      <c r="AL763" t="s">
        <v>12461</v>
      </c>
      <c r="AM763">
        <v>9096</v>
      </c>
      <c r="AS763">
        <v>2.5</v>
      </c>
      <c r="AT763" t="s">
        <v>254</v>
      </c>
      <c r="AU763" t="s">
        <v>13106</v>
      </c>
    </row>
    <row r="764" spans="1:47">
      <c r="A764" s="1">
        <f>HYPERLINK("https://cms.ls-nyc.org/matter/dynamic-profile/view/1886210","18-1886210")</f>
        <v>0</v>
      </c>
      <c r="B764" t="s">
        <v>102</v>
      </c>
      <c r="C764" t="s">
        <v>389</v>
      </c>
      <c r="E764" t="s">
        <v>767</v>
      </c>
      <c r="F764" t="s">
        <v>2297</v>
      </c>
      <c r="G764" t="s">
        <v>4108</v>
      </c>
      <c r="H764" t="s">
        <v>5455</v>
      </c>
      <c r="I764" t="s">
        <v>6047</v>
      </c>
      <c r="J764">
        <v>10452</v>
      </c>
      <c r="K764" t="s">
        <v>6074</v>
      </c>
      <c r="L764" t="s">
        <v>6074</v>
      </c>
      <c r="M764" t="s">
        <v>6416</v>
      </c>
      <c r="N764" t="s">
        <v>7276</v>
      </c>
      <c r="O764" t="s">
        <v>7306</v>
      </c>
      <c r="Q764" t="s">
        <v>7322</v>
      </c>
      <c r="R764" t="s">
        <v>6076</v>
      </c>
      <c r="S764" t="s">
        <v>7324</v>
      </c>
      <c r="T764" t="s">
        <v>7336</v>
      </c>
      <c r="U764" t="s">
        <v>410</v>
      </c>
      <c r="V764">
        <v>811.34</v>
      </c>
      <c r="W764" t="s">
        <v>7363</v>
      </c>
      <c r="X764" t="s">
        <v>7368</v>
      </c>
      <c r="Z764" t="s">
        <v>7927</v>
      </c>
      <c r="AA764" t="s">
        <v>10036</v>
      </c>
      <c r="AB764" t="s">
        <v>10730</v>
      </c>
      <c r="AC764">
        <v>0</v>
      </c>
      <c r="AD764" t="s">
        <v>12422</v>
      </c>
      <c r="AE764" t="s">
        <v>12435</v>
      </c>
      <c r="AF764">
        <v>33</v>
      </c>
      <c r="AG764">
        <v>1</v>
      </c>
      <c r="AH764">
        <v>2</v>
      </c>
      <c r="AI764">
        <v>53.88</v>
      </c>
      <c r="AL764" t="s">
        <v>12461</v>
      </c>
      <c r="AM764">
        <v>11196</v>
      </c>
      <c r="AS764">
        <v>1.7</v>
      </c>
      <c r="AT764" t="s">
        <v>492</v>
      </c>
      <c r="AU764" t="s">
        <v>13089</v>
      </c>
    </row>
    <row r="765" spans="1:47">
      <c r="A765" s="1">
        <f>HYPERLINK("https://cms.ls-nyc.org/matter/dynamic-profile/view/1885176","18-1885176")</f>
        <v>0</v>
      </c>
      <c r="B765" t="s">
        <v>80</v>
      </c>
      <c r="C765" t="s">
        <v>435</v>
      </c>
      <c r="E765" t="s">
        <v>575</v>
      </c>
      <c r="F765" t="s">
        <v>2515</v>
      </c>
      <c r="G765" t="s">
        <v>3871</v>
      </c>
      <c r="H765" t="s">
        <v>5355</v>
      </c>
      <c r="I765" t="s">
        <v>6043</v>
      </c>
      <c r="J765">
        <v>11213</v>
      </c>
      <c r="K765" t="s">
        <v>6074</v>
      </c>
      <c r="L765" t="s">
        <v>6074</v>
      </c>
      <c r="M765" t="s">
        <v>6104</v>
      </c>
      <c r="N765" t="s">
        <v>7279</v>
      </c>
      <c r="O765" t="s">
        <v>7311</v>
      </c>
      <c r="Q765" t="s">
        <v>7322</v>
      </c>
      <c r="R765" t="s">
        <v>6074</v>
      </c>
      <c r="S765" t="s">
        <v>7324</v>
      </c>
      <c r="T765" t="s">
        <v>7336</v>
      </c>
      <c r="U765" t="s">
        <v>353</v>
      </c>
      <c r="V765">
        <v>951</v>
      </c>
      <c r="W765" t="s">
        <v>7362</v>
      </c>
      <c r="X765" t="s">
        <v>7381</v>
      </c>
      <c r="Z765" t="s">
        <v>7999</v>
      </c>
      <c r="AA765" t="s">
        <v>6110</v>
      </c>
      <c r="AB765" t="s">
        <v>10797</v>
      </c>
      <c r="AC765">
        <v>19</v>
      </c>
      <c r="AD765" t="s">
        <v>12422</v>
      </c>
      <c r="AE765" t="s">
        <v>12441</v>
      </c>
      <c r="AF765">
        <v>16</v>
      </c>
      <c r="AG765">
        <v>3</v>
      </c>
      <c r="AH765">
        <v>3</v>
      </c>
      <c r="AI765">
        <v>53.94</v>
      </c>
      <c r="AL765" t="s">
        <v>12460</v>
      </c>
      <c r="AM765">
        <v>18200</v>
      </c>
      <c r="AN765" t="s">
        <v>12560</v>
      </c>
      <c r="AS765">
        <v>0</v>
      </c>
      <c r="AU765" t="s">
        <v>218</v>
      </c>
    </row>
    <row r="766" spans="1:47">
      <c r="A766" s="1">
        <f>HYPERLINK("https://cms.ls-nyc.org/matter/dynamic-profile/view/1885174","18-1885174")</f>
        <v>0</v>
      </c>
      <c r="B766" t="s">
        <v>80</v>
      </c>
      <c r="C766" t="s">
        <v>435</v>
      </c>
      <c r="E766" t="s">
        <v>575</v>
      </c>
      <c r="F766" t="s">
        <v>2515</v>
      </c>
      <c r="G766" t="s">
        <v>3871</v>
      </c>
      <c r="H766" t="s">
        <v>5355</v>
      </c>
      <c r="I766" t="s">
        <v>6043</v>
      </c>
      <c r="J766">
        <v>11213</v>
      </c>
      <c r="K766" t="s">
        <v>6074</v>
      </c>
      <c r="L766" t="s">
        <v>6074</v>
      </c>
      <c r="M766" t="s">
        <v>6397</v>
      </c>
      <c r="N766" t="s">
        <v>7273</v>
      </c>
      <c r="O766" t="s">
        <v>7308</v>
      </c>
      <c r="Q766" t="s">
        <v>7322</v>
      </c>
      <c r="R766" t="s">
        <v>6074</v>
      </c>
      <c r="S766" t="s">
        <v>7324</v>
      </c>
      <c r="T766" t="s">
        <v>7336</v>
      </c>
      <c r="U766" t="s">
        <v>353</v>
      </c>
      <c r="V766">
        <v>951</v>
      </c>
      <c r="W766" t="s">
        <v>7362</v>
      </c>
      <c r="X766" t="s">
        <v>7381</v>
      </c>
      <c r="Z766" t="s">
        <v>7999</v>
      </c>
      <c r="AA766" t="s">
        <v>6110</v>
      </c>
      <c r="AB766" t="s">
        <v>10797</v>
      </c>
      <c r="AC766">
        <v>19</v>
      </c>
      <c r="AD766" t="s">
        <v>12422</v>
      </c>
      <c r="AE766" t="s">
        <v>12441</v>
      </c>
      <c r="AF766">
        <v>16</v>
      </c>
      <c r="AG766">
        <v>3</v>
      </c>
      <c r="AH766">
        <v>3</v>
      </c>
      <c r="AI766">
        <v>53.94</v>
      </c>
      <c r="AL766" t="s">
        <v>12460</v>
      </c>
      <c r="AM766">
        <v>18200</v>
      </c>
      <c r="AN766" t="s">
        <v>12561</v>
      </c>
      <c r="AS766">
        <v>0</v>
      </c>
      <c r="AU766" t="s">
        <v>218</v>
      </c>
    </row>
    <row r="767" spans="1:47">
      <c r="A767" s="1">
        <f>HYPERLINK("https://cms.ls-nyc.org/matter/dynamic-profile/view/1885168","18-1885168")</f>
        <v>0</v>
      </c>
      <c r="B767" t="s">
        <v>80</v>
      </c>
      <c r="C767" t="s">
        <v>435</v>
      </c>
      <c r="D767" t="s">
        <v>396</v>
      </c>
      <c r="E767" t="s">
        <v>575</v>
      </c>
      <c r="F767" t="s">
        <v>2515</v>
      </c>
      <c r="G767" t="s">
        <v>3871</v>
      </c>
      <c r="H767" t="s">
        <v>5355</v>
      </c>
      <c r="I767" t="s">
        <v>6043</v>
      </c>
      <c r="J767">
        <v>11213</v>
      </c>
      <c r="K767" t="s">
        <v>6074</v>
      </c>
      <c r="L767" t="s">
        <v>6074</v>
      </c>
      <c r="M767" t="s">
        <v>6104</v>
      </c>
      <c r="N767" t="s">
        <v>7275</v>
      </c>
      <c r="O767" t="s">
        <v>7307</v>
      </c>
      <c r="P767" t="s">
        <v>7315</v>
      </c>
      <c r="Q767" t="s">
        <v>7322</v>
      </c>
      <c r="R767" t="s">
        <v>6074</v>
      </c>
      <c r="S767" t="s">
        <v>7324</v>
      </c>
      <c r="T767" t="s">
        <v>7336</v>
      </c>
      <c r="U767" t="s">
        <v>353</v>
      </c>
      <c r="V767">
        <v>951</v>
      </c>
      <c r="W767" t="s">
        <v>7362</v>
      </c>
      <c r="X767" t="s">
        <v>7381</v>
      </c>
      <c r="Y767" t="s">
        <v>7394</v>
      </c>
      <c r="Z767" t="s">
        <v>7999</v>
      </c>
      <c r="AA767" t="s">
        <v>6110</v>
      </c>
      <c r="AB767" t="s">
        <v>10797</v>
      </c>
      <c r="AC767">
        <v>19</v>
      </c>
      <c r="AD767" t="s">
        <v>12422</v>
      </c>
      <c r="AE767" t="s">
        <v>12441</v>
      </c>
      <c r="AF767">
        <v>16</v>
      </c>
      <c r="AG767">
        <v>3</v>
      </c>
      <c r="AH767">
        <v>3</v>
      </c>
      <c r="AI767">
        <v>53.94</v>
      </c>
      <c r="AL767" t="s">
        <v>12460</v>
      </c>
      <c r="AM767">
        <v>18200</v>
      </c>
      <c r="AS767">
        <v>0.08</v>
      </c>
      <c r="AT767" t="s">
        <v>390</v>
      </c>
      <c r="AU767" t="s">
        <v>218</v>
      </c>
    </row>
    <row r="768" spans="1:47">
      <c r="A768" s="1">
        <f>HYPERLINK("https://cms.ls-nyc.org/matter/dynamic-profile/view/1870838","18-1870838")</f>
        <v>0</v>
      </c>
      <c r="B768" t="s">
        <v>103</v>
      </c>
      <c r="C768" t="s">
        <v>321</v>
      </c>
      <c r="D768" t="s">
        <v>472</v>
      </c>
      <c r="E768" t="s">
        <v>1064</v>
      </c>
      <c r="F768" t="s">
        <v>2221</v>
      </c>
      <c r="G768" t="s">
        <v>4175</v>
      </c>
      <c r="H768" t="s">
        <v>5456</v>
      </c>
      <c r="I768" t="s">
        <v>6047</v>
      </c>
      <c r="J768">
        <v>10459</v>
      </c>
      <c r="K768" t="s">
        <v>6074</v>
      </c>
      <c r="L768" t="s">
        <v>6074</v>
      </c>
      <c r="N768" t="s">
        <v>7278</v>
      </c>
      <c r="O768" t="s">
        <v>7306</v>
      </c>
      <c r="P768" t="s">
        <v>7314</v>
      </c>
      <c r="Q768" t="s">
        <v>7322</v>
      </c>
      <c r="R768" t="s">
        <v>6076</v>
      </c>
      <c r="S768" t="s">
        <v>7324</v>
      </c>
      <c r="U768" t="s">
        <v>467</v>
      </c>
      <c r="V768">
        <v>1600</v>
      </c>
      <c r="W768" t="s">
        <v>7363</v>
      </c>
      <c r="X768" t="s">
        <v>7367</v>
      </c>
      <c r="Y768" t="s">
        <v>7386</v>
      </c>
      <c r="Z768" t="s">
        <v>7474</v>
      </c>
      <c r="AA768" t="s">
        <v>10037</v>
      </c>
      <c r="AB768" t="s">
        <v>10810</v>
      </c>
      <c r="AC768">
        <v>2</v>
      </c>
      <c r="AD768" t="s">
        <v>12419</v>
      </c>
      <c r="AE768" t="s">
        <v>12435</v>
      </c>
      <c r="AF768">
        <v>15</v>
      </c>
      <c r="AG768">
        <v>1</v>
      </c>
      <c r="AH768">
        <v>1</v>
      </c>
      <c r="AI768">
        <v>53.95</v>
      </c>
      <c r="AL768" t="s">
        <v>12460</v>
      </c>
      <c r="AM768">
        <v>8880</v>
      </c>
      <c r="AS768">
        <v>2.6</v>
      </c>
      <c r="AT768" t="s">
        <v>346</v>
      </c>
      <c r="AU768" t="s">
        <v>13080</v>
      </c>
    </row>
    <row r="769" spans="1:48">
      <c r="A769" s="1">
        <f>HYPERLINK("https://cms.ls-nyc.org/matter/dynamic-profile/view/1885593","18-1885593")</f>
        <v>0</v>
      </c>
      <c r="B769" t="s">
        <v>97</v>
      </c>
      <c r="C769" t="s">
        <v>266</v>
      </c>
      <c r="D769" t="s">
        <v>356</v>
      </c>
      <c r="E769" t="s">
        <v>767</v>
      </c>
      <c r="F769" t="s">
        <v>2523</v>
      </c>
      <c r="G769" t="s">
        <v>4176</v>
      </c>
      <c r="H769" t="s">
        <v>5355</v>
      </c>
      <c r="I769" t="s">
        <v>6047</v>
      </c>
      <c r="J769">
        <v>10453</v>
      </c>
      <c r="K769" t="s">
        <v>6074</v>
      </c>
      <c r="L769" t="s">
        <v>6074</v>
      </c>
      <c r="N769" t="s">
        <v>6104</v>
      </c>
      <c r="O769" t="s">
        <v>7307</v>
      </c>
      <c r="P769" t="s">
        <v>7315</v>
      </c>
      <c r="Q769" t="s">
        <v>7322</v>
      </c>
      <c r="R769" t="s">
        <v>6076</v>
      </c>
      <c r="S769" t="s">
        <v>7324</v>
      </c>
      <c r="U769" t="s">
        <v>266</v>
      </c>
      <c r="V769">
        <v>169</v>
      </c>
      <c r="W769" t="s">
        <v>7363</v>
      </c>
      <c r="X769" t="s">
        <v>7376</v>
      </c>
      <c r="Y769" t="s">
        <v>7386</v>
      </c>
      <c r="Z769" t="s">
        <v>8012</v>
      </c>
      <c r="AB769" t="s">
        <v>10811</v>
      </c>
      <c r="AC769">
        <v>298</v>
      </c>
      <c r="AD769" t="s">
        <v>12422</v>
      </c>
      <c r="AE769" t="s">
        <v>12434</v>
      </c>
      <c r="AF769">
        <v>37</v>
      </c>
      <c r="AG769">
        <v>2</v>
      </c>
      <c r="AH769">
        <v>0</v>
      </c>
      <c r="AI769">
        <v>53.95</v>
      </c>
      <c r="AL769" t="s">
        <v>12461</v>
      </c>
      <c r="AM769">
        <v>8880</v>
      </c>
      <c r="AS769">
        <v>2.6</v>
      </c>
      <c r="AT769" t="s">
        <v>356</v>
      </c>
      <c r="AU769" t="s">
        <v>104</v>
      </c>
    </row>
    <row r="770" spans="1:48">
      <c r="A770" s="1">
        <f>HYPERLINK("https://cms.ls-nyc.org/matter/dynamic-profile/view/1888028","19-1888028")</f>
        <v>0</v>
      </c>
      <c r="B770" t="s">
        <v>125</v>
      </c>
      <c r="C770" t="s">
        <v>466</v>
      </c>
      <c r="E770" t="s">
        <v>1065</v>
      </c>
      <c r="F770" t="s">
        <v>2524</v>
      </c>
      <c r="G770" t="s">
        <v>4174</v>
      </c>
      <c r="H770" t="s">
        <v>5411</v>
      </c>
      <c r="I770" t="s">
        <v>6049</v>
      </c>
      <c r="J770">
        <v>10032</v>
      </c>
      <c r="K770" t="s">
        <v>6074</v>
      </c>
      <c r="L770" t="s">
        <v>6074</v>
      </c>
      <c r="O770" t="s">
        <v>7308</v>
      </c>
      <c r="Q770" t="s">
        <v>7322</v>
      </c>
      <c r="R770" t="s">
        <v>6074</v>
      </c>
      <c r="S770" t="s">
        <v>7324</v>
      </c>
      <c r="U770" t="s">
        <v>466</v>
      </c>
      <c r="V770">
        <v>689</v>
      </c>
      <c r="W770" t="s">
        <v>7365</v>
      </c>
      <c r="X770" t="s">
        <v>7367</v>
      </c>
      <c r="Z770" t="s">
        <v>8013</v>
      </c>
      <c r="AB770" t="s">
        <v>10812</v>
      </c>
      <c r="AC770">
        <v>42</v>
      </c>
      <c r="AD770" t="s">
        <v>12422</v>
      </c>
      <c r="AE770" t="s">
        <v>6110</v>
      </c>
      <c r="AF770">
        <v>50</v>
      </c>
      <c r="AG770">
        <v>3</v>
      </c>
      <c r="AH770">
        <v>2</v>
      </c>
      <c r="AI770">
        <v>53.96</v>
      </c>
      <c r="AL770" t="s">
        <v>12461</v>
      </c>
      <c r="AM770">
        <v>15876</v>
      </c>
      <c r="AS770">
        <v>0</v>
      </c>
      <c r="AU770" t="s">
        <v>13106</v>
      </c>
    </row>
    <row r="771" spans="1:48">
      <c r="A771" s="1">
        <f>HYPERLINK("https://cms.ls-nyc.org/matter/dynamic-profile/view/1877068","18-1877068")</f>
        <v>0</v>
      </c>
      <c r="B771" t="s">
        <v>130</v>
      </c>
      <c r="C771" t="s">
        <v>404</v>
      </c>
      <c r="D771" t="s">
        <v>296</v>
      </c>
      <c r="E771" t="s">
        <v>1066</v>
      </c>
      <c r="F771" t="s">
        <v>2525</v>
      </c>
      <c r="G771" t="s">
        <v>4177</v>
      </c>
      <c r="I771" t="s">
        <v>6049</v>
      </c>
      <c r="J771">
        <v>10001</v>
      </c>
      <c r="K771" t="s">
        <v>6074</v>
      </c>
      <c r="L771" t="s">
        <v>6074</v>
      </c>
      <c r="M771" t="s">
        <v>6467</v>
      </c>
      <c r="N771" t="s">
        <v>7297</v>
      </c>
      <c r="O771" t="s">
        <v>7308</v>
      </c>
      <c r="P771" t="s">
        <v>7316</v>
      </c>
      <c r="Q771" t="s">
        <v>7323</v>
      </c>
      <c r="R771" t="s">
        <v>6076</v>
      </c>
      <c r="S771" t="s">
        <v>7324</v>
      </c>
      <c r="U771" t="s">
        <v>273</v>
      </c>
      <c r="V771">
        <v>1200</v>
      </c>
      <c r="W771" t="s">
        <v>7365</v>
      </c>
      <c r="X771" t="s">
        <v>7369</v>
      </c>
      <c r="Y771" t="s">
        <v>7386</v>
      </c>
      <c r="Z771" t="s">
        <v>8014</v>
      </c>
      <c r="AB771" t="s">
        <v>10813</v>
      </c>
      <c r="AC771">
        <v>309</v>
      </c>
      <c r="AD771" t="s">
        <v>12426</v>
      </c>
      <c r="AE771" t="s">
        <v>7305</v>
      </c>
      <c r="AF771">
        <v>4</v>
      </c>
      <c r="AG771">
        <v>1</v>
      </c>
      <c r="AH771">
        <v>3</v>
      </c>
      <c r="AI771">
        <v>54.02</v>
      </c>
      <c r="AL771" t="s">
        <v>12467</v>
      </c>
      <c r="AM771">
        <v>13560</v>
      </c>
      <c r="AS771">
        <v>8.4</v>
      </c>
      <c r="AT771" t="s">
        <v>468</v>
      </c>
      <c r="AU771" t="s">
        <v>13126</v>
      </c>
    </row>
    <row r="772" spans="1:48">
      <c r="A772" s="1">
        <f>HYPERLINK("https://cms.ls-nyc.org/matter/dynamic-profile/view/1888064","19-1888064")</f>
        <v>0</v>
      </c>
      <c r="B772" t="s">
        <v>125</v>
      </c>
      <c r="C772" t="s">
        <v>466</v>
      </c>
      <c r="E772" t="s">
        <v>586</v>
      </c>
      <c r="F772" t="s">
        <v>2526</v>
      </c>
      <c r="G772" t="s">
        <v>4174</v>
      </c>
      <c r="H772" t="s">
        <v>5398</v>
      </c>
      <c r="I772" t="s">
        <v>6049</v>
      </c>
      <c r="J772">
        <v>10032</v>
      </c>
      <c r="K772" t="s">
        <v>6074</v>
      </c>
      <c r="L772" t="s">
        <v>6074</v>
      </c>
      <c r="O772" t="s">
        <v>7308</v>
      </c>
      <c r="Q772" t="s">
        <v>7322</v>
      </c>
      <c r="R772" t="s">
        <v>6074</v>
      </c>
      <c r="S772" t="s">
        <v>7324</v>
      </c>
      <c r="U772" t="s">
        <v>466</v>
      </c>
      <c r="V772">
        <v>768.22</v>
      </c>
      <c r="W772" t="s">
        <v>7365</v>
      </c>
      <c r="X772" t="s">
        <v>7367</v>
      </c>
      <c r="Z772" t="s">
        <v>8015</v>
      </c>
      <c r="AC772">
        <v>42</v>
      </c>
      <c r="AD772" t="s">
        <v>12422</v>
      </c>
      <c r="AE772" t="s">
        <v>6110</v>
      </c>
      <c r="AF772">
        <v>39</v>
      </c>
      <c r="AG772">
        <v>2</v>
      </c>
      <c r="AH772">
        <v>0</v>
      </c>
      <c r="AI772">
        <v>54.09</v>
      </c>
      <c r="AL772" t="s">
        <v>12461</v>
      </c>
      <c r="AM772">
        <v>8904</v>
      </c>
      <c r="AS772">
        <v>0</v>
      </c>
      <c r="AU772" t="s">
        <v>13106</v>
      </c>
    </row>
    <row r="773" spans="1:48">
      <c r="A773" s="1">
        <f>HYPERLINK("https://cms.ls-nyc.org/matter/dynamic-profile/view/1881163","18-1881163")</f>
        <v>0</v>
      </c>
      <c r="B773" t="s">
        <v>126</v>
      </c>
      <c r="C773" t="s">
        <v>240</v>
      </c>
      <c r="D773" t="s">
        <v>297</v>
      </c>
      <c r="E773" t="s">
        <v>1067</v>
      </c>
      <c r="F773" t="s">
        <v>2527</v>
      </c>
      <c r="G773" t="s">
        <v>4178</v>
      </c>
      <c r="H773">
        <v>42</v>
      </c>
      <c r="I773" t="s">
        <v>6049</v>
      </c>
      <c r="J773">
        <v>10035</v>
      </c>
      <c r="K773" t="s">
        <v>6074</v>
      </c>
      <c r="L773" t="s">
        <v>6074</v>
      </c>
      <c r="N773" t="s">
        <v>6104</v>
      </c>
      <c r="O773" t="s">
        <v>7306</v>
      </c>
      <c r="P773" t="s">
        <v>7314</v>
      </c>
      <c r="Q773" t="s">
        <v>7322</v>
      </c>
      <c r="R773" t="s">
        <v>6076</v>
      </c>
      <c r="S773" t="s">
        <v>7324</v>
      </c>
      <c r="T773" t="s">
        <v>7336</v>
      </c>
      <c r="U773" t="s">
        <v>256</v>
      </c>
      <c r="V773">
        <v>557</v>
      </c>
      <c r="W773" t="s">
        <v>7365</v>
      </c>
      <c r="X773" t="s">
        <v>7367</v>
      </c>
      <c r="Y773" t="s">
        <v>7386</v>
      </c>
      <c r="Z773" t="s">
        <v>8016</v>
      </c>
      <c r="AB773" t="s">
        <v>10814</v>
      </c>
      <c r="AC773">
        <v>18</v>
      </c>
      <c r="AD773" t="s">
        <v>12431</v>
      </c>
      <c r="AE773" t="s">
        <v>12441</v>
      </c>
      <c r="AF773">
        <v>25</v>
      </c>
      <c r="AG773">
        <v>1</v>
      </c>
      <c r="AH773">
        <v>0</v>
      </c>
      <c r="AI773">
        <v>54.27</v>
      </c>
      <c r="AL773" t="s">
        <v>12460</v>
      </c>
      <c r="AM773">
        <v>6588</v>
      </c>
      <c r="AS773">
        <v>0.1</v>
      </c>
      <c r="AT773" t="s">
        <v>297</v>
      </c>
      <c r="AU773" t="s">
        <v>13107</v>
      </c>
    </row>
    <row r="774" spans="1:48">
      <c r="A774" s="1">
        <f>HYPERLINK("https://cms.ls-nyc.org/matter/dynamic-profile/view/1883162","18-1883162")</f>
        <v>0</v>
      </c>
      <c r="B774" t="s">
        <v>83</v>
      </c>
      <c r="C774" t="s">
        <v>331</v>
      </c>
      <c r="D774" t="s">
        <v>340</v>
      </c>
      <c r="E774" t="s">
        <v>645</v>
      </c>
      <c r="F774" t="s">
        <v>2122</v>
      </c>
      <c r="G774" t="s">
        <v>3717</v>
      </c>
      <c r="H774" t="s">
        <v>5393</v>
      </c>
      <c r="I774" t="s">
        <v>6043</v>
      </c>
      <c r="J774">
        <v>11231</v>
      </c>
      <c r="K774" t="s">
        <v>6074</v>
      </c>
      <c r="L774" t="s">
        <v>6074</v>
      </c>
      <c r="M774" t="s">
        <v>6468</v>
      </c>
      <c r="N774" t="s">
        <v>7276</v>
      </c>
      <c r="O774" t="s">
        <v>7308</v>
      </c>
      <c r="P774" t="s">
        <v>7319</v>
      </c>
      <c r="Q774" t="s">
        <v>7322</v>
      </c>
      <c r="R774" t="s">
        <v>6076</v>
      </c>
      <c r="S774" t="s">
        <v>7324</v>
      </c>
      <c r="T774" t="s">
        <v>7336</v>
      </c>
      <c r="U774" t="s">
        <v>331</v>
      </c>
      <c r="V774">
        <v>787.48</v>
      </c>
      <c r="W774" t="s">
        <v>7362</v>
      </c>
      <c r="Y774" t="s">
        <v>7388</v>
      </c>
      <c r="Z774" t="s">
        <v>7485</v>
      </c>
      <c r="AB774" t="s">
        <v>10349</v>
      </c>
      <c r="AC774">
        <v>7</v>
      </c>
      <c r="AD774" t="s">
        <v>12422</v>
      </c>
      <c r="AE774" t="s">
        <v>6110</v>
      </c>
      <c r="AF774">
        <v>0</v>
      </c>
      <c r="AG774">
        <v>2</v>
      </c>
      <c r="AH774">
        <v>0</v>
      </c>
      <c r="AI774">
        <v>54.31</v>
      </c>
      <c r="AL774" t="s">
        <v>12460</v>
      </c>
      <c r="AM774">
        <v>8940</v>
      </c>
      <c r="AO774" t="s">
        <v>12847</v>
      </c>
      <c r="AP774" t="s">
        <v>12858</v>
      </c>
      <c r="AQ774" t="s">
        <v>12909</v>
      </c>
      <c r="AR774" t="s">
        <v>12979</v>
      </c>
      <c r="AS774">
        <v>15.3</v>
      </c>
      <c r="AT774" t="s">
        <v>385</v>
      </c>
      <c r="AU774" t="s">
        <v>69</v>
      </c>
    </row>
    <row r="775" spans="1:48">
      <c r="A775" s="1">
        <f>HYPERLINK("https://cms.ls-nyc.org/matter/dynamic-profile/view/1898175","19-1898175")</f>
        <v>0</v>
      </c>
      <c r="B775" t="s">
        <v>75</v>
      </c>
      <c r="C775" t="s">
        <v>362</v>
      </c>
      <c r="E775" t="s">
        <v>1068</v>
      </c>
      <c r="F775" t="s">
        <v>2528</v>
      </c>
      <c r="G775" t="s">
        <v>4179</v>
      </c>
      <c r="H775" t="s">
        <v>5363</v>
      </c>
      <c r="I775" t="s">
        <v>6043</v>
      </c>
      <c r="J775">
        <v>11206</v>
      </c>
      <c r="K775" t="s">
        <v>6074</v>
      </c>
      <c r="L775" t="s">
        <v>6074</v>
      </c>
      <c r="N775" t="s">
        <v>7276</v>
      </c>
      <c r="O775" t="s">
        <v>7306</v>
      </c>
      <c r="Q775" t="s">
        <v>7322</v>
      </c>
      <c r="S775" t="s">
        <v>7324</v>
      </c>
      <c r="U775" t="s">
        <v>375</v>
      </c>
      <c r="V775">
        <v>1131.18</v>
      </c>
      <c r="W775" t="s">
        <v>7362</v>
      </c>
      <c r="Z775" t="s">
        <v>8017</v>
      </c>
      <c r="AB775" t="s">
        <v>10815</v>
      </c>
      <c r="AC775">
        <v>0</v>
      </c>
      <c r="AF775">
        <v>8</v>
      </c>
      <c r="AG775">
        <v>3</v>
      </c>
      <c r="AH775">
        <v>1</v>
      </c>
      <c r="AI775">
        <v>54.37</v>
      </c>
      <c r="AL775" t="s">
        <v>12460</v>
      </c>
      <c r="AM775">
        <v>14000</v>
      </c>
      <c r="AS775">
        <v>0</v>
      </c>
      <c r="AU775" t="s">
        <v>88</v>
      </c>
    </row>
    <row r="776" spans="1:48">
      <c r="A776" s="1">
        <f>HYPERLINK("https://cms.ls-nyc.org/matter/dynamic-profile/view/1885823","18-1885823")</f>
        <v>0</v>
      </c>
      <c r="B776" t="s">
        <v>120</v>
      </c>
      <c r="C776" t="s">
        <v>422</v>
      </c>
      <c r="E776" t="s">
        <v>1069</v>
      </c>
      <c r="F776" t="s">
        <v>2529</v>
      </c>
      <c r="G776" t="s">
        <v>4180</v>
      </c>
      <c r="H776" t="s">
        <v>5492</v>
      </c>
      <c r="I776" t="s">
        <v>6048</v>
      </c>
      <c r="J776">
        <v>10304</v>
      </c>
      <c r="K776" t="s">
        <v>6074</v>
      </c>
      <c r="L776" t="s">
        <v>6074</v>
      </c>
      <c r="M776" t="s">
        <v>6469</v>
      </c>
      <c r="O776" t="s">
        <v>7308</v>
      </c>
      <c r="Q776" t="s">
        <v>7322</v>
      </c>
      <c r="S776" t="s">
        <v>7324</v>
      </c>
      <c r="U776" t="s">
        <v>422</v>
      </c>
      <c r="V776">
        <v>0</v>
      </c>
      <c r="W776" t="s">
        <v>7364</v>
      </c>
      <c r="Z776" t="s">
        <v>7836</v>
      </c>
      <c r="AB776" t="s">
        <v>10816</v>
      </c>
      <c r="AC776">
        <v>0</v>
      </c>
      <c r="AF776">
        <v>0</v>
      </c>
      <c r="AG776">
        <v>4</v>
      </c>
      <c r="AH776">
        <v>1</v>
      </c>
      <c r="AI776">
        <v>54.38</v>
      </c>
      <c r="AL776" t="s">
        <v>12460</v>
      </c>
      <c r="AM776">
        <v>16000</v>
      </c>
      <c r="AS776">
        <v>2.6</v>
      </c>
      <c r="AT776" t="s">
        <v>317</v>
      </c>
      <c r="AU776" t="s">
        <v>13102</v>
      </c>
    </row>
    <row r="777" spans="1:48">
      <c r="A777" s="1">
        <f>HYPERLINK("https://cms.ls-nyc.org/matter/dynamic-profile/view/1895985","19-1895985")</f>
        <v>0</v>
      </c>
      <c r="B777" t="s">
        <v>116</v>
      </c>
      <c r="C777" t="s">
        <v>315</v>
      </c>
      <c r="D777" t="s">
        <v>343</v>
      </c>
      <c r="E777" t="s">
        <v>1070</v>
      </c>
      <c r="F777" t="s">
        <v>2530</v>
      </c>
      <c r="G777" t="s">
        <v>4181</v>
      </c>
      <c r="H777" t="s">
        <v>5372</v>
      </c>
      <c r="I777" t="s">
        <v>6047</v>
      </c>
      <c r="J777">
        <v>10458</v>
      </c>
      <c r="K777" t="s">
        <v>6074</v>
      </c>
      <c r="L777" t="s">
        <v>6074</v>
      </c>
      <c r="N777" t="s">
        <v>6104</v>
      </c>
      <c r="O777" t="s">
        <v>7306</v>
      </c>
      <c r="P777" t="s">
        <v>7314</v>
      </c>
      <c r="Q777" t="s">
        <v>7322</v>
      </c>
      <c r="R777" t="s">
        <v>6076</v>
      </c>
      <c r="S777" t="s">
        <v>7324</v>
      </c>
      <c r="U777" t="s">
        <v>315</v>
      </c>
      <c r="V777">
        <v>1678</v>
      </c>
      <c r="W777" t="s">
        <v>7363</v>
      </c>
      <c r="X777" t="s">
        <v>7376</v>
      </c>
      <c r="Y777" t="s">
        <v>7386</v>
      </c>
      <c r="Z777" t="s">
        <v>8018</v>
      </c>
      <c r="AB777" t="s">
        <v>10817</v>
      </c>
      <c r="AC777">
        <v>0</v>
      </c>
      <c r="AF777">
        <v>5</v>
      </c>
      <c r="AG777">
        <v>2</v>
      </c>
      <c r="AH777">
        <v>0</v>
      </c>
      <c r="AI777">
        <v>54.64</v>
      </c>
      <c r="AL777" t="s">
        <v>12460</v>
      </c>
      <c r="AM777">
        <v>9240</v>
      </c>
      <c r="AS777">
        <v>1.25</v>
      </c>
      <c r="AT777" t="s">
        <v>270</v>
      </c>
      <c r="AU777" t="s">
        <v>116</v>
      </c>
    </row>
    <row r="778" spans="1:48">
      <c r="A778" s="1">
        <f>HYPERLINK("https://cms.ls-nyc.org/matter/dynamic-profile/view/1897608","19-1897608")</f>
        <v>0</v>
      </c>
      <c r="B778" t="s">
        <v>130</v>
      </c>
      <c r="C778" t="s">
        <v>424</v>
      </c>
      <c r="D778" t="s">
        <v>265</v>
      </c>
      <c r="E778" t="s">
        <v>1071</v>
      </c>
      <c r="F778" t="s">
        <v>2173</v>
      </c>
      <c r="G778" t="s">
        <v>4182</v>
      </c>
      <c r="H778" t="s">
        <v>5390</v>
      </c>
      <c r="I778" t="s">
        <v>6049</v>
      </c>
      <c r="J778">
        <v>10034</v>
      </c>
      <c r="K778" t="s">
        <v>6074</v>
      </c>
      <c r="L778" t="s">
        <v>6074</v>
      </c>
      <c r="N778" t="s">
        <v>7276</v>
      </c>
      <c r="O778" t="s">
        <v>7306</v>
      </c>
      <c r="P778" t="s">
        <v>7314</v>
      </c>
      <c r="Q778" t="s">
        <v>7322</v>
      </c>
      <c r="R778" t="s">
        <v>6076</v>
      </c>
      <c r="S778" t="s">
        <v>7324</v>
      </c>
      <c r="U778" t="s">
        <v>424</v>
      </c>
      <c r="V778">
        <v>1200</v>
      </c>
      <c r="W778" t="s">
        <v>7365</v>
      </c>
      <c r="X778" t="s">
        <v>7368</v>
      </c>
      <c r="Y778" t="s">
        <v>7386</v>
      </c>
      <c r="Z778" t="s">
        <v>8019</v>
      </c>
      <c r="AB778" t="s">
        <v>10818</v>
      </c>
      <c r="AC778">
        <v>16</v>
      </c>
      <c r="AD778" t="s">
        <v>12422</v>
      </c>
      <c r="AE778" t="s">
        <v>12434</v>
      </c>
      <c r="AF778">
        <v>15</v>
      </c>
      <c r="AG778">
        <v>2</v>
      </c>
      <c r="AH778">
        <v>0</v>
      </c>
      <c r="AI778">
        <v>54.64</v>
      </c>
      <c r="AL778" t="s">
        <v>12461</v>
      </c>
      <c r="AM778">
        <v>9240</v>
      </c>
      <c r="AS778">
        <v>1.5</v>
      </c>
      <c r="AT778" t="s">
        <v>418</v>
      </c>
      <c r="AU778" t="s">
        <v>13106</v>
      </c>
      <c r="AV778" t="s">
        <v>13145</v>
      </c>
    </row>
    <row r="779" spans="1:48">
      <c r="A779" s="1">
        <f>HYPERLINK("https://cms.ls-nyc.org/matter/dynamic-profile/view/1881691","18-1881691")</f>
        <v>0</v>
      </c>
      <c r="B779" t="s">
        <v>98</v>
      </c>
      <c r="C779" t="s">
        <v>451</v>
      </c>
      <c r="D779" t="s">
        <v>472</v>
      </c>
      <c r="E779" t="s">
        <v>1072</v>
      </c>
      <c r="F779" t="s">
        <v>2104</v>
      </c>
      <c r="G779" t="s">
        <v>4183</v>
      </c>
      <c r="H779" t="s">
        <v>5580</v>
      </c>
      <c r="I779" t="s">
        <v>6047</v>
      </c>
      <c r="J779">
        <v>10453</v>
      </c>
      <c r="K779" t="s">
        <v>6074</v>
      </c>
      <c r="L779" t="s">
        <v>6074</v>
      </c>
      <c r="M779" t="s">
        <v>6470</v>
      </c>
      <c r="N779" t="s">
        <v>7276</v>
      </c>
      <c r="O779" t="s">
        <v>7308</v>
      </c>
      <c r="P779" t="s">
        <v>7316</v>
      </c>
      <c r="Q779" t="s">
        <v>7322</v>
      </c>
      <c r="R779" t="s">
        <v>6076</v>
      </c>
      <c r="S779" t="s">
        <v>7324</v>
      </c>
      <c r="T779" t="s">
        <v>7339</v>
      </c>
      <c r="U779" t="s">
        <v>451</v>
      </c>
      <c r="V779">
        <v>1956</v>
      </c>
      <c r="W779" t="s">
        <v>7363</v>
      </c>
      <c r="X779" t="s">
        <v>7367</v>
      </c>
      <c r="Y779" t="s">
        <v>7388</v>
      </c>
      <c r="Z779" t="s">
        <v>8020</v>
      </c>
      <c r="AA779" t="s">
        <v>10038</v>
      </c>
      <c r="AB779" t="s">
        <v>10819</v>
      </c>
      <c r="AC779">
        <v>11</v>
      </c>
      <c r="AD779" t="s">
        <v>6322</v>
      </c>
      <c r="AE779" t="s">
        <v>12433</v>
      </c>
      <c r="AF779">
        <v>3</v>
      </c>
      <c r="AG779">
        <v>3</v>
      </c>
      <c r="AH779">
        <v>4</v>
      </c>
      <c r="AI779">
        <v>54.65</v>
      </c>
      <c r="AL779" t="s">
        <v>12460</v>
      </c>
      <c r="AM779">
        <v>20800</v>
      </c>
      <c r="AO779" t="s">
        <v>12850</v>
      </c>
      <c r="AP779" t="s">
        <v>12879</v>
      </c>
      <c r="AQ779" t="s">
        <v>12909</v>
      </c>
      <c r="AR779" t="s">
        <v>12980</v>
      </c>
      <c r="AS779">
        <v>12.7</v>
      </c>
      <c r="AT779" t="s">
        <v>434</v>
      </c>
      <c r="AU779" t="s">
        <v>13097</v>
      </c>
    </row>
    <row r="780" spans="1:48">
      <c r="A780" s="1">
        <f>HYPERLINK("https://cms.ls-nyc.org/matter/dynamic-profile/view/1876345","18-1876345")</f>
        <v>0</v>
      </c>
      <c r="B780" t="s">
        <v>176</v>
      </c>
      <c r="C780" t="s">
        <v>253</v>
      </c>
      <c r="D780" t="s">
        <v>273</v>
      </c>
      <c r="E780" t="s">
        <v>1073</v>
      </c>
      <c r="F780" t="s">
        <v>2531</v>
      </c>
      <c r="G780" t="s">
        <v>4184</v>
      </c>
      <c r="H780" t="s">
        <v>5347</v>
      </c>
      <c r="I780" t="s">
        <v>6025</v>
      </c>
      <c r="J780">
        <v>11691</v>
      </c>
      <c r="K780" t="s">
        <v>6074</v>
      </c>
      <c r="L780" t="s">
        <v>6074</v>
      </c>
      <c r="M780" t="s">
        <v>6471</v>
      </c>
      <c r="N780" t="s">
        <v>7274</v>
      </c>
      <c r="O780" t="s">
        <v>7306</v>
      </c>
      <c r="P780" t="s">
        <v>7314</v>
      </c>
      <c r="Q780" t="s">
        <v>7322</v>
      </c>
      <c r="R780" t="s">
        <v>6076</v>
      </c>
      <c r="S780" t="s">
        <v>7324</v>
      </c>
      <c r="T780" t="s">
        <v>7336</v>
      </c>
      <c r="U780" t="s">
        <v>253</v>
      </c>
      <c r="V780">
        <v>1400</v>
      </c>
      <c r="W780" t="s">
        <v>7361</v>
      </c>
      <c r="X780" t="s">
        <v>7366</v>
      </c>
      <c r="Y780" t="s">
        <v>7386</v>
      </c>
      <c r="Z780" t="s">
        <v>8021</v>
      </c>
      <c r="AA780" t="s">
        <v>10039</v>
      </c>
      <c r="AB780" t="s">
        <v>10820</v>
      </c>
      <c r="AC780">
        <v>2</v>
      </c>
      <c r="AD780" t="s">
        <v>12419</v>
      </c>
      <c r="AE780" t="s">
        <v>12440</v>
      </c>
      <c r="AF780">
        <v>5</v>
      </c>
      <c r="AG780">
        <v>2</v>
      </c>
      <c r="AH780">
        <v>0</v>
      </c>
      <c r="AI780">
        <v>54.68</v>
      </c>
      <c r="AL780" t="s">
        <v>12460</v>
      </c>
      <c r="AM780">
        <v>9000</v>
      </c>
      <c r="AS780">
        <v>1.35</v>
      </c>
      <c r="AT780" t="s">
        <v>336</v>
      </c>
      <c r="AU780" t="s">
        <v>48</v>
      </c>
    </row>
    <row r="781" spans="1:48">
      <c r="A781" s="1">
        <f>HYPERLINK("https://cms.ls-nyc.org/matter/dynamic-profile/view/1882544","18-1882544")</f>
        <v>0</v>
      </c>
      <c r="B781" t="s">
        <v>75</v>
      </c>
      <c r="C781" t="s">
        <v>283</v>
      </c>
      <c r="E781" t="s">
        <v>1074</v>
      </c>
      <c r="F781" t="s">
        <v>2289</v>
      </c>
      <c r="G781" t="s">
        <v>3705</v>
      </c>
      <c r="H781" t="s">
        <v>5370</v>
      </c>
      <c r="I781" t="s">
        <v>6043</v>
      </c>
      <c r="J781">
        <v>11233</v>
      </c>
      <c r="K781" t="s">
        <v>6074</v>
      </c>
      <c r="L781" t="s">
        <v>6074</v>
      </c>
      <c r="M781" t="s">
        <v>6472</v>
      </c>
      <c r="N781" t="s">
        <v>7274</v>
      </c>
      <c r="O781" t="s">
        <v>7308</v>
      </c>
      <c r="Q781" t="s">
        <v>7322</v>
      </c>
      <c r="R781" t="s">
        <v>6076</v>
      </c>
      <c r="S781" t="s">
        <v>7324</v>
      </c>
      <c r="T781" t="s">
        <v>7340</v>
      </c>
      <c r="U781" t="s">
        <v>258</v>
      </c>
      <c r="V781">
        <v>2394</v>
      </c>
      <c r="W781" t="s">
        <v>7362</v>
      </c>
      <c r="X781" t="s">
        <v>7366</v>
      </c>
      <c r="Z781" t="s">
        <v>8022</v>
      </c>
      <c r="AA781" t="s">
        <v>10040</v>
      </c>
      <c r="AB781" t="s">
        <v>10821</v>
      </c>
      <c r="AC781">
        <v>2</v>
      </c>
      <c r="AD781" t="s">
        <v>12419</v>
      </c>
      <c r="AE781" t="s">
        <v>12436</v>
      </c>
      <c r="AF781">
        <v>1</v>
      </c>
      <c r="AG781">
        <v>2</v>
      </c>
      <c r="AH781">
        <v>0</v>
      </c>
      <c r="AI781">
        <v>54.68</v>
      </c>
      <c r="AL781" t="s">
        <v>12460</v>
      </c>
      <c r="AM781">
        <v>9000</v>
      </c>
      <c r="AS781">
        <v>2.95</v>
      </c>
      <c r="AT781" t="s">
        <v>422</v>
      </c>
      <c r="AU781" t="s">
        <v>218</v>
      </c>
    </row>
    <row r="782" spans="1:48">
      <c r="A782" s="1">
        <f>HYPERLINK("https://cms.ls-nyc.org/matter/dynamic-profile/view/1871432","18-1871432")</f>
        <v>0</v>
      </c>
      <c r="B782" t="s">
        <v>83</v>
      </c>
      <c r="C782" t="s">
        <v>342</v>
      </c>
      <c r="E782" t="s">
        <v>649</v>
      </c>
      <c r="F782" t="s">
        <v>2126</v>
      </c>
      <c r="G782" t="s">
        <v>3719</v>
      </c>
      <c r="H782" t="s">
        <v>5396</v>
      </c>
      <c r="I782" t="s">
        <v>6043</v>
      </c>
      <c r="J782">
        <v>11230</v>
      </c>
      <c r="K782" t="s">
        <v>6074</v>
      </c>
      <c r="L782" t="s">
        <v>6074</v>
      </c>
      <c r="N782" t="s">
        <v>6104</v>
      </c>
      <c r="O782" t="s">
        <v>7309</v>
      </c>
      <c r="Q782" t="s">
        <v>7322</v>
      </c>
      <c r="R782" t="s">
        <v>6074</v>
      </c>
      <c r="S782" t="s">
        <v>7324</v>
      </c>
      <c r="U782" t="s">
        <v>271</v>
      </c>
      <c r="V782">
        <v>611.15</v>
      </c>
      <c r="W782" t="s">
        <v>7362</v>
      </c>
      <c r="X782" t="s">
        <v>7376</v>
      </c>
      <c r="Z782" t="s">
        <v>7489</v>
      </c>
      <c r="AC782">
        <v>51</v>
      </c>
      <c r="AD782" t="s">
        <v>12422</v>
      </c>
      <c r="AE782" t="s">
        <v>6110</v>
      </c>
      <c r="AF782">
        <v>54</v>
      </c>
      <c r="AG782">
        <v>2</v>
      </c>
      <c r="AH782">
        <v>0</v>
      </c>
      <c r="AI782">
        <v>54.68</v>
      </c>
      <c r="AL782" t="s">
        <v>12460</v>
      </c>
      <c r="AM782">
        <v>9000</v>
      </c>
      <c r="AS782">
        <v>2.4</v>
      </c>
      <c r="AT782" t="s">
        <v>265</v>
      </c>
      <c r="AU782" t="s">
        <v>13087</v>
      </c>
    </row>
    <row r="783" spans="1:48">
      <c r="A783" s="1">
        <f>HYPERLINK("https://cms.ls-nyc.org/matter/dynamic-profile/view/1885788","18-1885788")</f>
        <v>0</v>
      </c>
      <c r="B783" t="s">
        <v>70</v>
      </c>
      <c r="C783" t="s">
        <v>428</v>
      </c>
      <c r="E783" t="s">
        <v>1075</v>
      </c>
      <c r="F783" t="s">
        <v>2532</v>
      </c>
      <c r="G783" t="s">
        <v>4185</v>
      </c>
      <c r="H783">
        <v>4</v>
      </c>
      <c r="I783" t="s">
        <v>6043</v>
      </c>
      <c r="J783">
        <v>11216</v>
      </c>
      <c r="K783" t="s">
        <v>6074</v>
      </c>
      <c r="L783" t="s">
        <v>6074</v>
      </c>
      <c r="M783" t="s">
        <v>6473</v>
      </c>
      <c r="N783" t="s">
        <v>7273</v>
      </c>
      <c r="O783" t="s">
        <v>7308</v>
      </c>
      <c r="Q783" t="s">
        <v>7322</v>
      </c>
      <c r="R783" t="s">
        <v>6076</v>
      </c>
      <c r="S783" t="s">
        <v>7324</v>
      </c>
      <c r="T783" t="s">
        <v>7336</v>
      </c>
      <c r="U783" t="s">
        <v>266</v>
      </c>
      <c r="V783">
        <v>0</v>
      </c>
      <c r="W783" t="s">
        <v>7362</v>
      </c>
      <c r="X783" t="s">
        <v>7373</v>
      </c>
      <c r="Z783" t="s">
        <v>8023</v>
      </c>
      <c r="AC783">
        <v>10</v>
      </c>
      <c r="AD783" t="s">
        <v>12425</v>
      </c>
      <c r="AF783">
        <v>48</v>
      </c>
      <c r="AG783">
        <v>2</v>
      </c>
      <c r="AH783">
        <v>0</v>
      </c>
      <c r="AI783">
        <v>54.68</v>
      </c>
      <c r="AL783" t="s">
        <v>12460</v>
      </c>
      <c r="AM783">
        <v>9000</v>
      </c>
      <c r="AS783">
        <v>23.4</v>
      </c>
      <c r="AT783" t="s">
        <v>554</v>
      </c>
      <c r="AU783" t="s">
        <v>88</v>
      </c>
      <c r="AV783" t="s">
        <v>13145</v>
      </c>
    </row>
    <row r="784" spans="1:48">
      <c r="A784" s="1">
        <f>HYPERLINK("https://cms.ls-nyc.org/matter/dynamic-profile/view/1876790","18-1876790")</f>
        <v>0</v>
      </c>
      <c r="B784" t="s">
        <v>177</v>
      </c>
      <c r="C784" t="s">
        <v>238</v>
      </c>
      <c r="E784" t="s">
        <v>1076</v>
      </c>
      <c r="F784" t="s">
        <v>2051</v>
      </c>
      <c r="G784" t="s">
        <v>4186</v>
      </c>
      <c r="H784" t="s">
        <v>5578</v>
      </c>
      <c r="I784" t="s">
        <v>6043</v>
      </c>
      <c r="J784">
        <v>11207</v>
      </c>
      <c r="K784" t="s">
        <v>6074</v>
      </c>
      <c r="L784" t="s">
        <v>6074</v>
      </c>
      <c r="M784" t="s">
        <v>6474</v>
      </c>
      <c r="N784" t="s">
        <v>7276</v>
      </c>
      <c r="O784" t="s">
        <v>7308</v>
      </c>
      <c r="Q784" t="s">
        <v>7322</v>
      </c>
      <c r="R784" t="s">
        <v>6076</v>
      </c>
      <c r="S784" t="s">
        <v>7324</v>
      </c>
      <c r="T784" t="s">
        <v>7339</v>
      </c>
      <c r="U784" t="s">
        <v>238</v>
      </c>
      <c r="V784">
        <v>1301</v>
      </c>
      <c r="W784" t="s">
        <v>7362</v>
      </c>
      <c r="X784" t="s">
        <v>7366</v>
      </c>
      <c r="Z784" t="s">
        <v>8024</v>
      </c>
      <c r="AA784" t="s">
        <v>10041</v>
      </c>
      <c r="AB784" t="s">
        <v>10822</v>
      </c>
      <c r="AC784">
        <v>6</v>
      </c>
      <c r="AD784" t="s">
        <v>12422</v>
      </c>
      <c r="AE784" t="s">
        <v>12440</v>
      </c>
      <c r="AF784">
        <v>10</v>
      </c>
      <c r="AG784">
        <v>2</v>
      </c>
      <c r="AH784">
        <v>0</v>
      </c>
      <c r="AI784">
        <v>54.68</v>
      </c>
      <c r="AL784" t="s">
        <v>12460</v>
      </c>
      <c r="AM784">
        <v>9000</v>
      </c>
      <c r="AN784" t="s">
        <v>12491</v>
      </c>
      <c r="AO784" t="s">
        <v>12847</v>
      </c>
      <c r="AQ784" t="s">
        <v>12909</v>
      </c>
      <c r="AR784" t="s">
        <v>12981</v>
      </c>
      <c r="AS784">
        <v>1.3</v>
      </c>
      <c r="AT784" t="s">
        <v>409</v>
      </c>
      <c r="AU784" t="s">
        <v>13083</v>
      </c>
    </row>
    <row r="785" spans="1:48">
      <c r="A785" s="1">
        <f>HYPERLINK("https://cms.ls-nyc.org/matter/dynamic-profile/view/1876794","18-1876794")</f>
        <v>0</v>
      </c>
      <c r="B785" t="s">
        <v>177</v>
      </c>
      <c r="C785" t="s">
        <v>238</v>
      </c>
      <c r="E785" t="s">
        <v>1076</v>
      </c>
      <c r="F785" t="s">
        <v>2051</v>
      </c>
      <c r="G785" t="s">
        <v>4186</v>
      </c>
      <c r="H785" t="s">
        <v>5578</v>
      </c>
      <c r="I785" t="s">
        <v>6043</v>
      </c>
      <c r="J785">
        <v>11207</v>
      </c>
      <c r="K785" t="s">
        <v>6074</v>
      </c>
      <c r="L785" t="s">
        <v>6074</v>
      </c>
      <c r="M785" t="s">
        <v>6474</v>
      </c>
      <c r="N785" t="s">
        <v>7290</v>
      </c>
      <c r="O785" t="s">
        <v>7307</v>
      </c>
      <c r="Q785" t="s">
        <v>7322</v>
      </c>
      <c r="R785" t="s">
        <v>6076</v>
      </c>
      <c r="S785" t="s">
        <v>7327</v>
      </c>
      <c r="U785" t="s">
        <v>238</v>
      </c>
      <c r="V785">
        <v>1301.25</v>
      </c>
      <c r="W785" t="s">
        <v>7362</v>
      </c>
      <c r="X785" t="s">
        <v>7366</v>
      </c>
      <c r="Z785" t="s">
        <v>8024</v>
      </c>
      <c r="AA785" t="s">
        <v>10041</v>
      </c>
      <c r="AB785" t="s">
        <v>10822</v>
      </c>
      <c r="AC785">
        <v>6</v>
      </c>
      <c r="AD785" t="s">
        <v>12422</v>
      </c>
      <c r="AE785" t="s">
        <v>12440</v>
      </c>
      <c r="AF785">
        <v>10</v>
      </c>
      <c r="AG785">
        <v>2</v>
      </c>
      <c r="AH785">
        <v>0</v>
      </c>
      <c r="AI785">
        <v>54.68</v>
      </c>
      <c r="AL785" t="s">
        <v>12460</v>
      </c>
      <c r="AM785">
        <v>9000</v>
      </c>
      <c r="AN785" t="s">
        <v>12491</v>
      </c>
      <c r="AS785">
        <v>0</v>
      </c>
      <c r="AU785" t="s">
        <v>13083</v>
      </c>
    </row>
    <row r="786" spans="1:48">
      <c r="A786" s="1">
        <f>HYPERLINK("https://cms.ls-nyc.org/matter/dynamic-profile/view/1885587","18-1885587")</f>
        <v>0</v>
      </c>
      <c r="B786" t="s">
        <v>102</v>
      </c>
      <c r="C786" t="s">
        <v>320</v>
      </c>
      <c r="E786" t="s">
        <v>1077</v>
      </c>
      <c r="F786" t="s">
        <v>2533</v>
      </c>
      <c r="G786" t="s">
        <v>3779</v>
      </c>
      <c r="H786" t="s">
        <v>5581</v>
      </c>
      <c r="I786" t="s">
        <v>6047</v>
      </c>
      <c r="J786">
        <v>10460</v>
      </c>
      <c r="K786" t="s">
        <v>6074</v>
      </c>
      <c r="L786" t="s">
        <v>6074</v>
      </c>
      <c r="M786" t="s">
        <v>6182</v>
      </c>
      <c r="N786" t="s">
        <v>7273</v>
      </c>
      <c r="O786" t="s">
        <v>7308</v>
      </c>
      <c r="Q786" t="s">
        <v>7322</v>
      </c>
      <c r="R786" t="s">
        <v>6074</v>
      </c>
      <c r="S786" t="s">
        <v>7324</v>
      </c>
      <c r="U786" t="s">
        <v>457</v>
      </c>
      <c r="V786">
        <v>1789</v>
      </c>
      <c r="W786" t="s">
        <v>7363</v>
      </c>
      <c r="X786" t="s">
        <v>7376</v>
      </c>
      <c r="Z786" t="s">
        <v>8025</v>
      </c>
      <c r="AB786" t="s">
        <v>10823</v>
      </c>
      <c r="AC786">
        <v>168</v>
      </c>
      <c r="AD786" t="s">
        <v>12422</v>
      </c>
      <c r="AE786" t="s">
        <v>12434</v>
      </c>
      <c r="AF786">
        <v>12</v>
      </c>
      <c r="AG786">
        <v>2</v>
      </c>
      <c r="AH786">
        <v>0</v>
      </c>
      <c r="AI786">
        <v>54.68</v>
      </c>
      <c r="AL786" t="s">
        <v>12460</v>
      </c>
      <c r="AM786">
        <v>9000</v>
      </c>
      <c r="AS786">
        <v>0</v>
      </c>
      <c r="AU786" t="s">
        <v>13095</v>
      </c>
      <c r="AV786" t="s">
        <v>13145</v>
      </c>
    </row>
    <row r="787" spans="1:48">
      <c r="A787" s="1">
        <f>HYPERLINK("https://cms.ls-nyc.org/matter/dynamic-profile/view/1878862","18-1878862")</f>
        <v>0</v>
      </c>
      <c r="B787" t="s">
        <v>101</v>
      </c>
      <c r="C787" t="s">
        <v>438</v>
      </c>
      <c r="E787" t="s">
        <v>1078</v>
      </c>
      <c r="F787" t="s">
        <v>2534</v>
      </c>
      <c r="G787" t="s">
        <v>4187</v>
      </c>
      <c r="H787" t="s">
        <v>5372</v>
      </c>
      <c r="I787" t="s">
        <v>6047</v>
      </c>
      <c r="J787">
        <v>10459</v>
      </c>
      <c r="K787" t="s">
        <v>6074</v>
      </c>
      <c r="L787" t="s">
        <v>6074</v>
      </c>
      <c r="M787" t="s">
        <v>6475</v>
      </c>
      <c r="N787" t="s">
        <v>7276</v>
      </c>
      <c r="O787" t="s">
        <v>7308</v>
      </c>
      <c r="Q787" t="s">
        <v>7322</v>
      </c>
      <c r="R787" t="s">
        <v>6076</v>
      </c>
      <c r="S787" t="s">
        <v>7324</v>
      </c>
      <c r="T787" t="s">
        <v>7339</v>
      </c>
      <c r="U787" t="s">
        <v>438</v>
      </c>
      <c r="V787">
        <v>1023.44</v>
      </c>
      <c r="W787" t="s">
        <v>7363</v>
      </c>
      <c r="X787" t="s">
        <v>7373</v>
      </c>
      <c r="Z787" t="s">
        <v>8026</v>
      </c>
      <c r="AA787" t="s">
        <v>10042</v>
      </c>
      <c r="AB787" t="s">
        <v>10824</v>
      </c>
      <c r="AC787">
        <v>11</v>
      </c>
      <c r="AD787" t="s">
        <v>12422</v>
      </c>
      <c r="AE787" t="s">
        <v>12434</v>
      </c>
      <c r="AF787">
        <v>9</v>
      </c>
      <c r="AG787">
        <v>1</v>
      </c>
      <c r="AH787">
        <v>1</v>
      </c>
      <c r="AI787">
        <v>54.68</v>
      </c>
      <c r="AL787" t="s">
        <v>12461</v>
      </c>
      <c r="AM787">
        <v>9000</v>
      </c>
      <c r="AS787">
        <v>12.1</v>
      </c>
      <c r="AT787" t="s">
        <v>435</v>
      </c>
      <c r="AU787" t="s">
        <v>13116</v>
      </c>
    </row>
    <row r="788" spans="1:48">
      <c r="A788" s="1">
        <f>HYPERLINK("https://cms.ls-nyc.org/matter/dynamic-profile/view/1873635","18-1873635")</f>
        <v>0</v>
      </c>
      <c r="B788" t="s">
        <v>111</v>
      </c>
      <c r="C788" t="s">
        <v>467</v>
      </c>
      <c r="D788" t="s">
        <v>357</v>
      </c>
      <c r="E788" t="s">
        <v>1079</v>
      </c>
      <c r="F788" t="s">
        <v>2535</v>
      </c>
      <c r="G788" t="s">
        <v>4188</v>
      </c>
      <c r="H788" t="s">
        <v>5372</v>
      </c>
      <c r="I788" t="s">
        <v>6047</v>
      </c>
      <c r="J788">
        <v>10457</v>
      </c>
      <c r="K788" t="s">
        <v>6074</v>
      </c>
      <c r="L788" t="s">
        <v>6074</v>
      </c>
      <c r="N788" t="s">
        <v>7274</v>
      </c>
      <c r="O788" t="s">
        <v>7307</v>
      </c>
      <c r="P788" t="s">
        <v>7315</v>
      </c>
      <c r="Q788" t="s">
        <v>7322</v>
      </c>
      <c r="R788" t="s">
        <v>6076</v>
      </c>
      <c r="S788" t="s">
        <v>7324</v>
      </c>
      <c r="T788" t="s">
        <v>7336</v>
      </c>
      <c r="U788" t="s">
        <v>467</v>
      </c>
      <c r="V788">
        <v>931</v>
      </c>
      <c r="W788" t="s">
        <v>7363</v>
      </c>
      <c r="X788" t="s">
        <v>7376</v>
      </c>
      <c r="Y788" t="s">
        <v>7387</v>
      </c>
      <c r="Z788" t="s">
        <v>8027</v>
      </c>
      <c r="AB788" t="s">
        <v>10825</v>
      </c>
      <c r="AC788">
        <v>36</v>
      </c>
      <c r="AD788" t="s">
        <v>12420</v>
      </c>
      <c r="AE788" t="s">
        <v>12434</v>
      </c>
      <c r="AF788">
        <v>30</v>
      </c>
      <c r="AG788">
        <v>2</v>
      </c>
      <c r="AH788">
        <v>0</v>
      </c>
      <c r="AI788">
        <v>54.68</v>
      </c>
      <c r="AL788" t="s">
        <v>12460</v>
      </c>
      <c r="AM788">
        <v>9000</v>
      </c>
      <c r="AO788" t="s">
        <v>12846</v>
      </c>
      <c r="AP788" t="s">
        <v>12876</v>
      </c>
      <c r="AQ788" t="s">
        <v>12909</v>
      </c>
      <c r="AR788" t="s">
        <v>12961</v>
      </c>
      <c r="AS788">
        <v>0.5</v>
      </c>
      <c r="AT788" t="s">
        <v>402</v>
      </c>
      <c r="AU788" t="s">
        <v>13095</v>
      </c>
    </row>
    <row r="789" spans="1:48">
      <c r="A789" s="1">
        <f>HYPERLINK("https://cms.ls-nyc.org/matter/dynamic-profile/view/1872467","18-1872467")</f>
        <v>0</v>
      </c>
      <c r="B789" t="s">
        <v>111</v>
      </c>
      <c r="C789" t="s">
        <v>376</v>
      </c>
      <c r="D789" t="s">
        <v>357</v>
      </c>
      <c r="E789" t="s">
        <v>1079</v>
      </c>
      <c r="F789" t="s">
        <v>2535</v>
      </c>
      <c r="G789" t="s">
        <v>4188</v>
      </c>
      <c r="H789" t="s">
        <v>5372</v>
      </c>
      <c r="I789" t="s">
        <v>6047</v>
      </c>
      <c r="J789">
        <v>10457</v>
      </c>
      <c r="K789" t="s">
        <v>6074</v>
      </c>
      <c r="L789" t="s">
        <v>6074</v>
      </c>
      <c r="N789" t="s">
        <v>7281</v>
      </c>
      <c r="O789" t="s">
        <v>7309</v>
      </c>
      <c r="P789" t="s">
        <v>7321</v>
      </c>
      <c r="Q789" t="s">
        <v>7322</v>
      </c>
      <c r="R789" t="s">
        <v>6076</v>
      </c>
      <c r="S789" t="s">
        <v>7331</v>
      </c>
      <c r="U789" t="s">
        <v>376</v>
      </c>
      <c r="V789">
        <v>931</v>
      </c>
      <c r="W789" t="s">
        <v>7363</v>
      </c>
      <c r="X789" t="s">
        <v>7376</v>
      </c>
      <c r="Y789" t="s">
        <v>7400</v>
      </c>
      <c r="Z789" t="s">
        <v>8027</v>
      </c>
      <c r="AB789" t="s">
        <v>10825</v>
      </c>
      <c r="AC789">
        <v>36</v>
      </c>
      <c r="AD789" t="s">
        <v>12420</v>
      </c>
      <c r="AE789" t="s">
        <v>12434</v>
      </c>
      <c r="AF789">
        <v>30</v>
      </c>
      <c r="AG789">
        <v>2</v>
      </c>
      <c r="AH789">
        <v>0</v>
      </c>
      <c r="AI789">
        <v>54.68</v>
      </c>
      <c r="AL789" t="s">
        <v>12460</v>
      </c>
      <c r="AM789">
        <v>9000</v>
      </c>
      <c r="AS789">
        <v>7.85</v>
      </c>
      <c r="AT789" t="s">
        <v>291</v>
      </c>
      <c r="AU789" t="s">
        <v>13104</v>
      </c>
    </row>
    <row r="790" spans="1:48">
      <c r="A790" s="1">
        <f>HYPERLINK("https://cms.ls-nyc.org/matter/dynamic-profile/view/1875776","18-1875776")</f>
        <v>0</v>
      </c>
      <c r="B790" t="s">
        <v>96</v>
      </c>
      <c r="C790" t="s">
        <v>353</v>
      </c>
      <c r="E790" t="s">
        <v>1080</v>
      </c>
      <c r="F790" t="s">
        <v>2536</v>
      </c>
      <c r="G790" t="s">
        <v>4152</v>
      </c>
      <c r="H790" t="s">
        <v>5453</v>
      </c>
      <c r="I790" t="s">
        <v>6047</v>
      </c>
      <c r="J790">
        <v>10456</v>
      </c>
      <c r="K790" t="s">
        <v>6074</v>
      </c>
      <c r="L790" t="s">
        <v>6074</v>
      </c>
      <c r="M790" t="s">
        <v>6446</v>
      </c>
      <c r="N790" t="s">
        <v>7279</v>
      </c>
      <c r="O790" t="s">
        <v>7311</v>
      </c>
      <c r="Q790" t="s">
        <v>7322</v>
      </c>
      <c r="R790" t="s">
        <v>6074</v>
      </c>
      <c r="S790" t="s">
        <v>7324</v>
      </c>
      <c r="U790" t="s">
        <v>502</v>
      </c>
      <c r="V790">
        <v>1446.39</v>
      </c>
      <c r="W790" t="s">
        <v>7363</v>
      </c>
      <c r="X790" t="s">
        <v>7376</v>
      </c>
      <c r="Z790" t="s">
        <v>8028</v>
      </c>
      <c r="AB790" t="s">
        <v>10826</v>
      </c>
      <c r="AC790">
        <v>61</v>
      </c>
      <c r="AD790" t="s">
        <v>12422</v>
      </c>
      <c r="AE790" t="s">
        <v>12434</v>
      </c>
      <c r="AF790">
        <v>17</v>
      </c>
      <c r="AG790">
        <v>2</v>
      </c>
      <c r="AH790">
        <v>0</v>
      </c>
      <c r="AI790">
        <v>54.68</v>
      </c>
      <c r="AL790" t="s">
        <v>12461</v>
      </c>
      <c r="AM790">
        <v>9000</v>
      </c>
      <c r="AS790">
        <v>0</v>
      </c>
      <c r="AU790" t="s">
        <v>13095</v>
      </c>
    </row>
    <row r="791" spans="1:48">
      <c r="A791" s="1">
        <f>HYPERLINK("https://cms.ls-nyc.org/matter/dynamic-profile/view/1878974","18-1878974")</f>
        <v>0</v>
      </c>
      <c r="B791" t="s">
        <v>117</v>
      </c>
      <c r="C791" t="s">
        <v>239</v>
      </c>
      <c r="E791" t="s">
        <v>937</v>
      </c>
      <c r="F791" t="s">
        <v>2318</v>
      </c>
      <c r="G791" t="s">
        <v>4189</v>
      </c>
      <c r="I791" t="s">
        <v>6048</v>
      </c>
      <c r="J791">
        <v>10304</v>
      </c>
      <c r="K791" t="s">
        <v>6074</v>
      </c>
      <c r="L791" t="s">
        <v>6074</v>
      </c>
      <c r="M791" t="s">
        <v>6476</v>
      </c>
      <c r="N791" t="s">
        <v>7276</v>
      </c>
      <c r="O791" t="s">
        <v>7308</v>
      </c>
      <c r="Q791" t="s">
        <v>7322</v>
      </c>
      <c r="R791" t="s">
        <v>6076</v>
      </c>
      <c r="S791" t="s">
        <v>7324</v>
      </c>
      <c r="T791" t="s">
        <v>7336</v>
      </c>
      <c r="U791" t="s">
        <v>239</v>
      </c>
      <c r="V791">
        <v>325</v>
      </c>
      <c r="W791" t="s">
        <v>7364</v>
      </c>
      <c r="X791" t="s">
        <v>7368</v>
      </c>
      <c r="Z791" t="s">
        <v>8029</v>
      </c>
      <c r="AB791" t="s">
        <v>10827</v>
      </c>
      <c r="AC791">
        <v>2</v>
      </c>
      <c r="AD791" t="s">
        <v>12420</v>
      </c>
      <c r="AE791" t="s">
        <v>12434</v>
      </c>
      <c r="AF791">
        <v>19</v>
      </c>
      <c r="AG791">
        <v>1</v>
      </c>
      <c r="AH791">
        <v>1</v>
      </c>
      <c r="AI791">
        <v>54.68</v>
      </c>
      <c r="AL791" t="s">
        <v>12460</v>
      </c>
      <c r="AM791">
        <v>9000</v>
      </c>
      <c r="AS791">
        <v>14.55</v>
      </c>
      <c r="AT791" t="s">
        <v>257</v>
      </c>
      <c r="AU791" t="s">
        <v>210</v>
      </c>
    </row>
    <row r="792" spans="1:48">
      <c r="A792" s="1">
        <f>HYPERLINK("https://cms.ls-nyc.org/matter/dynamic-profile/view/1884221","18-1884221")</f>
        <v>0</v>
      </c>
      <c r="B792" t="s">
        <v>130</v>
      </c>
      <c r="C792" t="s">
        <v>426</v>
      </c>
      <c r="D792" t="s">
        <v>379</v>
      </c>
      <c r="E792" t="s">
        <v>1081</v>
      </c>
      <c r="F792" t="s">
        <v>2111</v>
      </c>
      <c r="G792" t="s">
        <v>4190</v>
      </c>
      <c r="H792" t="s">
        <v>5582</v>
      </c>
      <c r="I792" t="s">
        <v>6049</v>
      </c>
      <c r="J792">
        <v>10032</v>
      </c>
      <c r="K792" t="s">
        <v>6074</v>
      </c>
      <c r="L792" t="s">
        <v>6074</v>
      </c>
      <c r="N792" t="s">
        <v>7273</v>
      </c>
      <c r="O792" t="s">
        <v>7306</v>
      </c>
      <c r="P792" t="s">
        <v>7314</v>
      </c>
      <c r="Q792" t="s">
        <v>7322</v>
      </c>
      <c r="R792" t="s">
        <v>6076</v>
      </c>
      <c r="S792" t="s">
        <v>7324</v>
      </c>
      <c r="U792" t="s">
        <v>426</v>
      </c>
      <c r="V792">
        <v>649.45</v>
      </c>
      <c r="W792" t="s">
        <v>7365</v>
      </c>
      <c r="X792" t="s">
        <v>7367</v>
      </c>
      <c r="Y792" t="s">
        <v>7386</v>
      </c>
      <c r="Z792" t="s">
        <v>8030</v>
      </c>
      <c r="AB792" t="s">
        <v>10828</v>
      </c>
      <c r="AC792">
        <v>47</v>
      </c>
      <c r="AD792" t="s">
        <v>12422</v>
      </c>
      <c r="AE792" t="s">
        <v>12441</v>
      </c>
      <c r="AF792">
        <v>40</v>
      </c>
      <c r="AG792">
        <v>2</v>
      </c>
      <c r="AH792">
        <v>0</v>
      </c>
      <c r="AI792">
        <v>54.68</v>
      </c>
      <c r="AL792" t="s">
        <v>12461</v>
      </c>
      <c r="AM792">
        <v>9000</v>
      </c>
      <c r="AS792">
        <v>1.1</v>
      </c>
      <c r="AT792" t="s">
        <v>456</v>
      </c>
      <c r="AU792" t="s">
        <v>13106</v>
      </c>
    </row>
    <row r="793" spans="1:48">
      <c r="A793" s="1">
        <f>HYPERLINK("https://cms.ls-nyc.org/matter/dynamic-profile/view/1872340","18-1872340")</f>
        <v>0</v>
      </c>
      <c r="B793" t="s">
        <v>161</v>
      </c>
      <c r="C793" t="s">
        <v>394</v>
      </c>
      <c r="E793" t="s">
        <v>1082</v>
      </c>
      <c r="F793" t="s">
        <v>2318</v>
      </c>
      <c r="G793" t="s">
        <v>4191</v>
      </c>
      <c r="H793">
        <v>65</v>
      </c>
      <c r="I793" t="s">
        <v>6049</v>
      </c>
      <c r="J793">
        <v>10029</v>
      </c>
      <c r="K793" t="s">
        <v>6074</v>
      </c>
      <c r="L793" t="s">
        <v>6074</v>
      </c>
      <c r="M793" t="s">
        <v>6477</v>
      </c>
      <c r="N793" t="s">
        <v>7276</v>
      </c>
      <c r="O793" t="s">
        <v>7308</v>
      </c>
      <c r="Q793" t="s">
        <v>7322</v>
      </c>
      <c r="R793" t="s">
        <v>6076</v>
      </c>
      <c r="S793" t="s">
        <v>7324</v>
      </c>
      <c r="T793" t="s">
        <v>7341</v>
      </c>
      <c r="U793" t="s">
        <v>378</v>
      </c>
      <c r="V793">
        <v>1029.07</v>
      </c>
      <c r="W793" t="s">
        <v>7365</v>
      </c>
      <c r="X793" t="s">
        <v>7382</v>
      </c>
      <c r="Z793" t="s">
        <v>8031</v>
      </c>
      <c r="AC793">
        <v>65</v>
      </c>
      <c r="AD793" t="s">
        <v>6322</v>
      </c>
      <c r="AE793" t="s">
        <v>6110</v>
      </c>
      <c r="AF793">
        <v>21</v>
      </c>
      <c r="AG793">
        <v>2</v>
      </c>
      <c r="AH793">
        <v>0</v>
      </c>
      <c r="AI793">
        <v>54.68</v>
      </c>
      <c r="AL793" t="s">
        <v>12460</v>
      </c>
      <c r="AM793">
        <v>9000</v>
      </c>
      <c r="AN793" t="s">
        <v>12562</v>
      </c>
      <c r="AS793">
        <v>19</v>
      </c>
      <c r="AT793" t="s">
        <v>345</v>
      </c>
      <c r="AU793" t="s">
        <v>13111</v>
      </c>
    </row>
    <row r="794" spans="1:48">
      <c r="A794" s="1">
        <f>HYPERLINK("https://cms.ls-nyc.org/matter/dynamic-profile/view/1878529","18-1878529")</f>
        <v>0</v>
      </c>
      <c r="B794" t="s">
        <v>86</v>
      </c>
      <c r="C794" t="s">
        <v>425</v>
      </c>
      <c r="E794" t="s">
        <v>1082</v>
      </c>
      <c r="F794" t="s">
        <v>2318</v>
      </c>
      <c r="G794" t="s">
        <v>4191</v>
      </c>
      <c r="H794">
        <v>65</v>
      </c>
      <c r="I794" t="s">
        <v>6049</v>
      </c>
      <c r="J794">
        <v>10029</v>
      </c>
      <c r="K794" t="s">
        <v>6074</v>
      </c>
      <c r="L794" t="s">
        <v>6074</v>
      </c>
      <c r="N794" t="s">
        <v>7290</v>
      </c>
      <c r="O794" t="s">
        <v>7311</v>
      </c>
      <c r="Q794" t="s">
        <v>7322</v>
      </c>
      <c r="R794" t="s">
        <v>6076</v>
      </c>
      <c r="S794" t="s">
        <v>7333</v>
      </c>
      <c r="T794" t="s">
        <v>7336</v>
      </c>
      <c r="U794" t="s">
        <v>425</v>
      </c>
      <c r="V794">
        <v>1029.07</v>
      </c>
      <c r="W794" t="s">
        <v>7365</v>
      </c>
      <c r="X794" t="s">
        <v>7382</v>
      </c>
      <c r="Z794" t="s">
        <v>8031</v>
      </c>
      <c r="AC794">
        <v>65</v>
      </c>
      <c r="AD794" t="s">
        <v>6322</v>
      </c>
      <c r="AE794" t="s">
        <v>6110</v>
      </c>
      <c r="AF794">
        <v>21</v>
      </c>
      <c r="AG794">
        <v>2</v>
      </c>
      <c r="AH794">
        <v>0</v>
      </c>
      <c r="AI794">
        <v>54.68</v>
      </c>
      <c r="AL794" t="s">
        <v>12460</v>
      </c>
      <c r="AM794">
        <v>9000</v>
      </c>
      <c r="AS794">
        <v>3.5</v>
      </c>
      <c r="AT794" t="s">
        <v>438</v>
      </c>
      <c r="AU794" t="s">
        <v>13107</v>
      </c>
    </row>
    <row r="795" spans="1:48">
      <c r="A795" s="1">
        <f>HYPERLINK("https://cms.ls-nyc.org/matter/dynamic-profile/view/1901172","19-1901172")</f>
        <v>0</v>
      </c>
      <c r="B795" t="s">
        <v>68</v>
      </c>
      <c r="C795" t="s">
        <v>324</v>
      </c>
      <c r="E795" t="s">
        <v>1083</v>
      </c>
      <c r="F795" t="s">
        <v>2537</v>
      </c>
      <c r="G795" t="s">
        <v>4192</v>
      </c>
      <c r="H795" t="s">
        <v>5352</v>
      </c>
      <c r="I795" t="s">
        <v>6043</v>
      </c>
      <c r="J795">
        <v>11212</v>
      </c>
      <c r="K795" t="s">
        <v>6074</v>
      </c>
      <c r="L795" t="s">
        <v>6075</v>
      </c>
      <c r="M795" t="s">
        <v>6110</v>
      </c>
      <c r="N795" t="s">
        <v>7273</v>
      </c>
      <c r="O795" t="s">
        <v>7310</v>
      </c>
      <c r="Q795" t="s">
        <v>7322</v>
      </c>
      <c r="R795" t="s">
        <v>6076</v>
      </c>
      <c r="S795" t="s">
        <v>7324</v>
      </c>
      <c r="U795" t="s">
        <v>324</v>
      </c>
      <c r="V795">
        <v>1640</v>
      </c>
      <c r="W795" t="s">
        <v>7362</v>
      </c>
      <c r="X795" t="s">
        <v>7305</v>
      </c>
      <c r="Z795" t="s">
        <v>8032</v>
      </c>
      <c r="AB795" t="s">
        <v>10829</v>
      </c>
      <c r="AC795">
        <v>3</v>
      </c>
      <c r="AD795" t="s">
        <v>12419</v>
      </c>
      <c r="AE795" t="s">
        <v>7305</v>
      </c>
      <c r="AF795">
        <v>5</v>
      </c>
      <c r="AG795">
        <v>2</v>
      </c>
      <c r="AH795">
        <v>0</v>
      </c>
      <c r="AI795">
        <v>54.71</v>
      </c>
      <c r="AL795" t="s">
        <v>12460</v>
      </c>
      <c r="AM795">
        <v>9252</v>
      </c>
      <c r="AS795">
        <v>0.6</v>
      </c>
      <c r="AT795" t="s">
        <v>564</v>
      </c>
      <c r="AU795" t="s">
        <v>180</v>
      </c>
      <c r="AV795" t="s">
        <v>13145</v>
      </c>
    </row>
    <row r="796" spans="1:48">
      <c r="A796" s="1">
        <f>HYPERLINK("https://cms.ls-nyc.org/matter/dynamic-profile/view/1899746","19-1899746")</f>
        <v>0</v>
      </c>
      <c r="B796" t="s">
        <v>132</v>
      </c>
      <c r="C796" t="s">
        <v>316</v>
      </c>
      <c r="E796" t="s">
        <v>980</v>
      </c>
      <c r="F796" t="s">
        <v>2538</v>
      </c>
      <c r="G796" t="s">
        <v>4193</v>
      </c>
      <c r="H796" t="s">
        <v>5583</v>
      </c>
      <c r="I796" t="s">
        <v>6049</v>
      </c>
      <c r="J796">
        <v>10034</v>
      </c>
      <c r="K796" t="s">
        <v>6074</v>
      </c>
      <c r="L796" t="s">
        <v>6075</v>
      </c>
      <c r="N796" t="s">
        <v>7276</v>
      </c>
      <c r="O796" t="s">
        <v>7306</v>
      </c>
      <c r="Q796" t="s">
        <v>7322</v>
      </c>
      <c r="R796" t="s">
        <v>6074</v>
      </c>
      <c r="S796" t="s">
        <v>7324</v>
      </c>
      <c r="U796" t="s">
        <v>316</v>
      </c>
      <c r="V796">
        <v>2200</v>
      </c>
      <c r="W796" t="s">
        <v>7365</v>
      </c>
      <c r="X796" t="s">
        <v>7368</v>
      </c>
      <c r="Z796" t="s">
        <v>8033</v>
      </c>
      <c r="AB796" t="s">
        <v>10830</v>
      </c>
      <c r="AC796">
        <v>44</v>
      </c>
      <c r="AD796" t="s">
        <v>12422</v>
      </c>
      <c r="AE796" t="s">
        <v>6110</v>
      </c>
      <c r="AF796">
        <v>2</v>
      </c>
      <c r="AG796">
        <v>2</v>
      </c>
      <c r="AH796">
        <v>0</v>
      </c>
      <c r="AI796">
        <v>54.71</v>
      </c>
      <c r="AL796" t="s">
        <v>12460</v>
      </c>
      <c r="AM796">
        <v>9252</v>
      </c>
      <c r="AS796">
        <v>0</v>
      </c>
      <c r="AU796" t="s">
        <v>13106</v>
      </c>
      <c r="AV796" t="s">
        <v>13145</v>
      </c>
    </row>
    <row r="797" spans="1:48">
      <c r="A797" s="1">
        <f>HYPERLINK("https://cms.ls-nyc.org/matter/dynamic-profile/view/0827777","17-0827777")</f>
        <v>0</v>
      </c>
      <c r="B797" t="s">
        <v>92</v>
      </c>
      <c r="C797" t="s">
        <v>427</v>
      </c>
      <c r="D797" t="s">
        <v>472</v>
      </c>
      <c r="E797" t="s">
        <v>1084</v>
      </c>
      <c r="F797" t="s">
        <v>2539</v>
      </c>
      <c r="G797" t="s">
        <v>4194</v>
      </c>
      <c r="H797">
        <v>3</v>
      </c>
      <c r="I797" t="s">
        <v>6043</v>
      </c>
      <c r="J797">
        <v>11225</v>
      </c>
      <c r="K797" t="s">
        <v>6074</v>
      </c>
      <c r="L797" t="s">
        <v>6074</v>
      </c>
      <c r="N797" t="s">
        <v>7275</v>
      </c>
      <c r="O797" t="s">
        <v>7307</v>
      </c>
      <c r="P797" t="s">
        <v>7315</v>
      </c>
      <c r="Q797" t="s">
        <v>7322</v>
      </c>
      <c r="R797" t="s">
        <v>6074</v>
      </c>
      <c r="S797" t="s">
        <v>7324</v>
      </c>
      <c r="U797" t="s">
        <v>427</v>
      </c>
      <c r="V797">
        <v>468.21</v>
      </c>
      <c r="W797" t="s">
        <v>7362</v>
      </c>
      <c r="X797" t="s">
        <v>7372</v>
      </c>
      <c r="Y797" t="s">
        <v>7387</v>
      </c>
      <c r="Z797" t="s">
        <v>7467</v>
      </c>
      <c r="AA797" t="s">
        <v>10043</v>
      </c>
      <c r="AB797" t="s">
        <v>10831</v>
      </c>
      <c r="AC797">
        <v>2</v>
      </c>
      <c r="AD797" t="s">
        <v>12422</v>
      </c>
      <c r="AF797">
        <v>19</v>
      </c>
      <c r="AG797">
        <v>2</v>
      </c>
      <c r="AH797">
        <v>1</v>
      </c>
      <c r="AI797">
        <v>54.83</v>
      </c>
      <c r="AL797" t="s">
        <v>12460</v>
      </c>
      <c r="AM797">
        <v>11196</v>
      </c>
      <c r="AR797" t="s">
        <v>12982</v>
      </c>
      <c r="AS797">
        <v>0.7</v>
      </c>
      <c r="AT797" t="s">
        <v>492</v>
      </c>
      <c r="AU797" t="s">
        <v>218</v>
      </c>
    </row>
    <row r="798" spans="1:48">
      <c r="A798" s="1">
        <f>HYPERLINK("https://cms.ls-nyc.org/matter/dynamic-profile/view/1889927","19-1889927")</f>
        <v>0</v>
      </c>
      <c r="B798" t="s">
        <v>102</v>
      </c>
      <c r="C798" t="s">
        <v>351</v>
      </c>
      <c r="D798" t="s">
        <v>381</v>
      </c>
      <c r="E798" t="s">
        <v>1085</v>
      </c>
      <c r="F798" t="s">
        <v>2540</v>
      </c>
      <c r="G798" t="s">
        <v>4195</v>
      </c>
      <c r="H798" t="s">
        <v>5390</v>
      </c>
      <c r="I798" t="s">
        <v>6047</v>
      </c>
      <c r="J798">
        <v>10472</v>
      </c>
      <c r="K798" t="s">
        <v>6074</v>
      </c>
      <c r="L798" t="s">
        <v>6074</v>
      </c>
      <c r="M798" t="s">
        <v>6478</v>
      </c>
      <c r="N798" t="s">
        <v>7276</v>
      </c>
      <c r="O798" t="s">
        <v>7309</v>
      </c>
      <c r="P798" t="s">
        <v>7314</v>
      </c>
      <c r="Q798" t="s">
        <v>7323</v>
      </c>
      <c r="R798" t="s">
        <v>6076</v>
      </c>
      <c r="S798" t="s">
        <v>7324</v>
      </c>
      <c r="U798" t="s">
        <v>359</v>
      </c>
      <c r="V798">
        <v>838</v>
      </c>
      <c r="W798" t="s">
        <v>7363</v>
      </c>
      <c r="X798" t="s">
        <v>7371</v>
      </c>
      <c r="Y798" t="s">
        <v>7391</v>
      </c>
      <c r="Z798" t="s">
        <v>8034</v>
      </c>
      <c r="AC798">
        <v>54</v>
      </c>
      <c r="AD798" t="s">
        <v>6322</v>
      </c>
      <c r="AE798" t="s">
        <v>12434</v>
      </c>
      <c r="AF798">
        <v>2</v>
      </c>
      <c r="AG798">
        <v>1</v>
      </c>
      <c r="AH798">
        <v>1</v>
      </c>
      <c r="AI798">
        <v>54.86</v>
      </c>
      <c r="AJ798" t="s">
        <v>12444</v>
      </c>
      <c r="AK798" t="s">
        <v>12455</v>
      </c>
      <c r="AL798" t="s">
        <v>12461</v>
      </c>
      <c r="AM798">
        <v>9276</v>
      </c>
      <c r="AS798">
        <v>10.4</v>
      </c>
      <c r="AT798" t="s">
        <v>362</v>
      </c>
      <c r="AU798" t="s">
        <v>13092</v>
      </c>
    </row>
    <row r="799" spans="1:48">
      <c r="A799" s="1">
        <f>HYPERLINK("https://cms.ls-nyc.org/matter/dynamic-profile/view/1871913","18-1871913")</f>
        <v>0</v>
      </c>
      <c r="B799" t="s">
        <v>104</v>
      </c>
      <c r="C799" t="s">
        <v>388</v>
      </c>
      <c r="E799" t="s">
        <v>1086</v>
      </c>
      <c r="F799" t="s">
        <v>2541</v>
      </c>
      <c r="G799" t="s">
        <v>4196</v>
      </c>
      <c r="H799" t="s">
        <v>5584</v>
      </c>
      <c r="I799" t="s">
        <v>6047</v>
      </c>
      <c r="J799">
        <v>10452</v>
      </c>
      <c r="K799" t="s">
        <v>6074</v>
      </c>
      <c r="L799" t="s">
        <v>6074</v>
      </c>
      <c r="M799" t="s">
        <v>6479</v>
      </c>
      <c r="N799" t="s">
        <v>7282</v>
      </c>
      <c r="O799" t="s">
        <v>7308</v>
      </c>
      <c r="Q799" t="s">
        <v>7322</v>
      </c>
      <c r="R799" t="s">
        <v>6076</v>
      </c>
      <c r="S799" t="s">
        <v>7324</v>
      </c>
      <c r="U799" t="s">
        <v>502</v>
      </c>
      <c r="V799">
        <v>877</v>
      </c>
      <c r="W799" t="s">
        <v>7363</v>
      </c>
      <c r="X799" t="s">
        <v>7368</v>
      </c>
      <c r="Z799" t="s">
        <v>8035</v>
      </c>
      <c r="AB799" t="s">
        <v>10832</v>
      </c>
      <c r="AC799">
        <v>43</v>
      </c>
      <c r="AD799" t="s">
        <v>12422</v>
      </c>
      <c r="AE799" t="s">
        <v>6110</v>
      </c>
      <c r="AF799">
        <v>30</v>
      </c>
      <c r="AG799">
        <v>2</v>
      </c>
      <c r="AH799">
        <v>0</v>
      </c>
      <c r="AI799">
        <v>55.04</v>
      </c>
      <c r="AL799" t="s">
        <v>12460</v>
      </c>
      <c r="AM799">
        <v>9060</v>
      </c>
      <c r="AS799">
        <v>69.09999999999999</v>
      </c>
      <c r="AT799" t="s">
        <v>446</v>
      </c>
      <c r="AU799" t="s">
        <v>13092</v>
      </c>
    </row>
    <row r="800" spans="1:48">
      <c r="A800" s="1">
        <f>HYPERLINK("https://cms.ls-nyc.org/matter/dynamic-profile/view/1873273","18-1873273")</f>
        <v>0</v>
      </c>
      <c r="B800" t="s">
        <v>176</v>
      </c>
      <c r="C800" t="s">
        <v>419</v>
      </c>
      <c r="D800" t="s">
        <v>433</v>
      </c>
      <c r="E800" t="s">
        <v>1087</v>
      </c>
      <c r="F800" t="s">
        <v>2542</v>
      </c>
      <c r="G800" t="s">
        <v>4078</v>
      </c>
      <c r="H800" t="s">
        <v>5347</v>
      </c>
      <c r="I800" t="s">
        <v>6025</v>
      </c>
      <c r="J800">
        <v>11691</v>
      </c>
      <c r="K800" t="s">
        <v>6074</v>
      </c>
      <c r="L800" t="s">
        <v>6074</v>
      </c>
      <c r="M800" t="s">
        <v>6480</v>
      </c>
      <c r="N800" t="s">
        <v>7274</v>
      </c>
      <c r="O800" t="s">
        <v>7308</v>
      </c>
      <c r="P800" t="s">
        <v>7316</v>
      </c>
      <c r="Q800" t="s">
        <v>7322</v>
      </c>
      <c r="R800" t="s">
        <v>6076</v>
      </c>
      <c r="S800" t="s">
        <v>7324</v>
      </c>
      <c r="T800" t="s">
        <v>7336</v>
      </c>
      <c r="U800" t="s">
        <v>383</v>
      </c>
      <c r="V800">
        <v>1500</v>
      </c>
      <c r="W800" t="s">
        <v>7361</v>
      </c>
      <c r="X800" t="s">
        <v>7366</v>
      </c>
      <c r="Y800" t="s">
        <v>7388</v>
      </c>
      <c r="Z800" t="s">
        <v>8036</v>
      </c>
      <c r="AA800" t="s">
        <v>10044</v>
      </c>
      <c r="AB800" t="s">
        <v>10833</v>
      </c>
      <c r="AC800">
        <v>3</v>
      </c>
      <c r="AD800" t="s">
        <v>12419</v>
      </c>
      <c r="AE800" t="s">
        <v>6110</v>
      </c>
      <c r="AF800">
        <v>4</v>
      </c>
      <c r="AG800">
        <v>2</v>
      </c>
      <c r="AH800">
        <v>3</v>
      </c>
      <c r="AI800">
        <v>55.06</v>
      </c>
      <c r="AL800" t="s">
        <v>12460</v>
      </c>
      <c r="AM800">
        <v>16200</v>
      </c>
      <c r="AP800" t="s">
        <v>12858</v>
      </c>
      <c r="AQ800" t="s">
        <v>12909</v>
      </c>
      <c r="AR800" t="s">
        <v>12914</v>
      </c>
      <c r="AS800">
        <v>3.8</v>
      </c>
      <c r="AT800" t="s">
        <v>383</v>
      </c>
      <c r="AU800" t="s">
        <v>48</v>
      </c>
    </row>
    <row r="801" spans="1:48">
      <c r="A801" s="1">
        <f>HYPERLINK("https://cms.ls-nyc.org/matter/dynamic-profile/view/1878374","18-1878374")</f>
        <v>0</v>
      </c>
      <c r="B801" t="s">
        <v>171</v>
      </c>
      <c r="C801" t="s">
        <v>373</v>
      </c>
      <c r="E801" t="s">
        <v>1061</v>
      </c>
      <c r="F801" t="s">
        <v>2520</v>
      </c>
      <c r="G801" t="s">
        <v>3919</v>
      </c>
      <c r="H801" t="s">
        <v>5400</v>
      </c>
      <c r="I801" t="s">
        <v>6043</v>
      </c>
      <c r="J801">
        <v>11212</v>
      </c>
      <c r="K801" t="s">
        <v>6074</v>
      </c>
      <c r="L801" t="s">
        <v>6074</v>
      </c>
      <c r="N801" t="s">
        <v>7275</v>
      </c>
      <c r="O801" t="s">
        <v>7307</v>
      </c>
      <c r="Q801" t="s">
        <v>7322</v>
      </c>
      <c r="S801" t="s">
        <v>7324</v>
      </c>
      <c r="U801" t="s">
        <v>248</v>
      </c>
      <c r="V801">
        <v>1300</v>
      </c>
      <c r="W801" t="s">
        <v>7362</v>
      </c>
      <c r="X801" t="s">
        <v>7375</v>
      </c>
      <c r="Z801" t="s">
        <v>8009</v>
      </c>
      <c r="AB801" t="s">
        <v>10807</v>
      </c>
      <c r="AC801">
        <v>19</v>
      </c>
      <c r="AD801" t="s">
        <v>12422</v>
      </c>
      <c r="AE801" t="s">
        <v>12434</v>
      </c>
      <c r="AF801">
        <v>15</v>
      </c>
      <c r="AG801">
        <v>2</v>
      </c>
      <c r="AH801">
        <v>0</v>
      </c>
      <c r="AI801">
        <v>55.12</v>
      </c>
      <c r="AL801" t="s">
        <v>12460</v>
      </c>
      <c r="AM801">
        <v>9072</v>
      </c>
      <c r="AN801" t="s">
        <v>12491</v>
      </c>
      <c r="AS801">
        <v>5.05</v>
      </c>
      <c r="AT801" t="s">
        <v>460</v>
      </c>
      <c r="AU801" t="s">
        <v>218</v>
      </c>
    </row>
    <row r="802" spans="1:48">
      <c r="A802" s="1">
        <f>HYPERLINK("https://cms.ls-nyc.org/matter/dynamic-profile/view/1880031","18-1880031")</f>
        <v>0</v>
      </c>
      <c r="B802" t="s">
        <v>89</v>
      </c>
      <c r="C802" t="s">
        <v>245</v>
      </c>
      <c r="E802" t="s">
        <v>586</v>
      </c>
      <c r="F802" t="s">
        <v>2083</v>
      </c>
      <c r="G802" t="s">
        <v>4085</v>
      </c>
      <c r="H802" t="s">
        <v>5359</v>
      </c>
      <c r="I802" t="s">
        <v>6043</v>
      </c>
      <c r="J802">
        <v>11207</v>
      </c>
      <c r="K802" t="s">
        <v>6074</v>
      </c>
      <c r="L802" t="s">
        <v>6074</v>
      </c>
      <c r="M802" t="s">
        <v>6104</v>
      </c>
      <c r="N802" t="s">
        <v>7295</v>
      </c>
      <c r="O802" t="s">
        <v>7308</v>
      </c>
      <c r="Q802" t="s">
        <v>7322</v>
      </c>
      <c r="R802" t="s">
        <v>6074</v>
      </c>
      <c r="S802" t="s">
        <v>7324</v>
      </c>
      <c r="T802" t="s">
        <v>7336</v>
      </c>
      <c r="U802" t="s">
        <v>442</v>
      </c>
      <c r="V802">
        <v>1365</v>
      </c>
      <c r="W802" t="s">
        <v>7362</v>
      </c>
      <c r="X802" t="s">
        <v>7368</v>
      </c>
      <c r="Z802" t="s">
        <v>7538</v>
      </c>
      <c r="AA802" t="s">
        <v>9871</v>
      </c>
      <c r="AB802" t="s">
        <v>10834</v>
      </c>
      <c r="AC802">
        <v>6</v>
      </c>
      <c r="AD802" t="s">
        <v>12422</v>
      </c>
      <c r="AE802" t="s">
        <v>12440</v>
      </c>
      <c r="AF802">
        <v>5</v>
      </c>
      <c r="AG802">
        <v>2</v>
      </c>
      <c r="AH802">
        <v>0</v>
      </c>
      <c r="AI802">
        <v>55.12</v>
      </c>
      <c r="AL802" t="s">
        <v>12460</v>
      </c>
      <c r="AM802">
        <v>9072</v>
      </c>
      <c r="AN802" t="s">
        <v>12563</v>
      </c>
      <c r="AS802">
        <v>0.1</v>
      </c>
      <c r="AT802" t="s">
        <v>462</v>
      </c>
      <c r="AU802" t="s">
        <v>218</v>
      </c>
    </row>
    <row r="803" spans="1:48">
      <c r="A803" s="1">
        <f>HYPERLINK("https://cms.ls-nyc.org/matter/dynamic-profile/view/1880033","18-1880033")</f>
        <v>0</v>
      </c>
      <c r="B803" t="s">
        <v>72</v>
      </c>
      <c r="C803" t="s">
        <v>245</v>
      </c>
      <c r="E803" t="s">
        <v>586</v>
      </c>
      <c r="F803" t="s">
        <v>2083</v>
      </c>
      <c r="G803" t="s">
        <v>4085</v>
      </c>
      <c r="H803" t="s">
        <v>5359</v>
      </c>
      <c r="I803" t="s">
        <v>6043</v>
      </c>
      <c r="J803">
        <v>11207</v>
      </c>
      <c r="K803" t="s">
        <v>6074</v>
      </c>
      <c r="L803" t="s">
        <v>6074</v>
      </c>
      <c r="M803" t="s">
        <v>6104</v>
      </c>
      <c r="N803" t="s">
        <v>7282</v>
      </c>
      <c r="O803" t="s">
        <v>7308</v>
      </c>
      <c r="Q803" t="s">
        <v>7322</v>
      </c>
      <c r="R803" t="s">
        <v>6074</v>
      </c>
      <c r="S803" t="s">
        <v>7324</v>
      </c>
      <c r="T803" t="s">
        <v>7336</v>
      </c>
      <c r="U803" t="s">
        <v>307</v>
      </c>
      <c r="V803">
        <v>1365</v>
      </c>
      <c r="W803" t="s">
        <v>7362</v>
      </c>
      <c r="X803" t="s">
        <v>7368</v>
      </c>
      <c r="Z803" t="s">
        <v>7538</v>
      </c>
      <c r="AA803" t="s">
        <v>9871</v>
      </c>
      <c r="AB803" t="s">
        <v>10834</v>
      </c>
      <c r="AC803">
        <v>6</v>
      </c>
      <c r="AD803" t="s">
        <v>12422</v>
      </c>
      <c r="AE803" t="s">
        <v>12440</v>
      </c>
      <c r="AF803">
        <v>5</v>
      </c>
      <c r="AG803">
        <v>2</v>
      </c>
      <c r="AH803">
        <v>0</v>
      </c>
      <c r="AI803">
        <v>55.12</v>
      </c>
      <c r="AL803" t="s">
        <v>12460</v>
      </c>
      <c r="AM803">
        <v>9072</v>
      </c>
      <c r="AN803" t="s">
        <v>12563</v>
      </c>
      <c r="AS803">
        <v>0.25</v>
      </c>
      <c r="AT803" t="s">
        <v>462</v>
      </c>
      <c r="AU803" t="s">
        <v>218</v>
      </c>
    </row>
    <row r="804" spans="1:48">
      <c r="A804" s="1">
        <f>HYPERLINK("https://cms.ls-nyc.org/matter/dynamic-profile/view/1880023","18-1880023")</f>
        <v>0</v>
      </c>
      <c r="B804" t="s">
        <v>72</v>
      </c>
      <c r="C804" t="s">
        <v>245</v>
      </c>
      <c r="E804" t="s">
        <v>586</v>
      </c>
      <c r="F804" t="s">
        <v>2083</v>
      </c>
      <c r="G804" t="s">
        <v>4085</v>
      </c>
      <c r="H804" t="s">
        <v>5359</v>
      </c>
      <c r="I804" t="s">
        <v>6043</v>
      </c>
      <c r="J804">
        <v>11207</v>
      </c>
      <c r="K804" t="s">
        <v>6074</v>
      </c>
      <c r="L804" t="s">
        <v>6074</v>
      </c>
      <c r="M804" t="s">
        <v>6104</v>
      </c>
      <c r="N804" t="s">
        <v>7279</v>
      </c>
      <c r="O804" t="s">
        <v>7311</v>
      </c>
      <c r="Q804" t="s">
        <v>7322</v>
      </c>
      <c r="R804" t="s">
        <v>6074</v>
      </c>
      <c r="S804" t="s">
        <v>7324</v>
      </c>
      <c r="T804" t="s">
        <v>7336</v>
      </c>
      <c r="U804" t="s">
        <v>7344</v>
      </c>
      <c r="V804">
        <v>1365</v>
      </c>
      <c r="W804" t="s">
        <v>7362</v>
      </c>
      <c r="X804" t="s">
        <v>7368</v>
      </c>
      <c r="Y804" t="s">
        <v>7387</v>
      </c>
      <c r="Z804" t="s">
        <v>7538</v>
      </c>
      <c r="AA804" t="s">
        <v>9871</v>
      </c>
      <c r="AB804" t="s">
        <v>10834</v>
      </c>
      <c r="AC804">
        <v>6</v>
      </c>
      <c r="AD804" t="s">
        <v>12422</v>
      </c>
      <c r="AE804" t="s">
        <v>12440</v>
      </c>
      <c r="AF804">
        <v>5</v>
      </c>
      <c r="AG804">
        <v>2</v>
      </c>
      <c r="AH804">
        <v>0</v>
      </c>
      <c r="AI804">
        <v>55.12</v>
      </c>
      <c r="AL804" t="s">
        <v>12460</v>
      </c>
      <c r="AM804">
        <v>9072</v>
      </c>
      <c r="AN804" t="s">
        <v>12563</v>
      </c>
      <c r="AS804">
        <v>0.5</v>
      </c>
      <c r="AT804" t="s">
        <v>390</v>
      </c>
      <c r="AU804" t="s">
        <v>218</v>
      </c>
    </row>
    <row r="805" spans="1:48">
      <c r="A805" s="1">
        <f>HYPERLINK("https://cms.ls-nyc.org/matter/dynamic-profile/view/1880028","18-1880028")</f>
        <v>0</v>
      </c>
      <c r="B805" t="s">
        <v>91</v>
      </c>
      <c r="C805" t="s">
        <v>245</v>
      </c>
      <c r="D805" t="s">
        <v>462</v>
      </c>
      <c r="E805" t="s">
        <v>586</v>
      </c>
      <c r="F805" t="s">
        <v>2083</v>
      </c>
      <c r="G805" t="s">
        <v>4085</v>
      </c>
      <c r="H805" t="s">
        <v>5359</v>
      </c>
      <c r="I805" t="s">
        <v>6043</v>
      </c>
      <c r="J805">
        <v>11207</v>
      </c>
      <c r="K805" t="s">
        <v>6074</v>
      </c>
      <c r="L805" t="s">
        <v>6074</v>
      </c>
      <c r="N805" t="s">
        <v>7279</v>
      </c>
      <c r="O805" t="s">
        <v>7306</v>
      </c>
      <c r="P805" t="s">
        <v>7314</v>
      </c>
      <c r="Q805" t="s">
        <v>7322</v>
      </c>
      <c r="R805" t="s">
        <v>6074</v>
      </c>
      <c r="S805" t="s">
        <v>7324</v>
      </c>
      <c r="T805" t="s">
        <v>7336</v>
      </c>
      <c r="U805" t="s">
        <v>442</v>
      </c>
      <c r="V805">
        <v>1365</v>
      </c>
      <c r="W805" t="s">
        <v>7362</v>
      </c>
      <c r="X805" t="s">
        <v>7368</v>
      </c>
      <c r="Y805" t="s">
        <v>7386</v>
      </c>
      <c r="Z805" t="s">
        <v>7538</v>
      </c>
      <c r="AA805" t="s">
        <v>9871</v>
      </c>
      <c r="AB805" t="s">
        <v>10834</v>
      </c>
      <c r="AC805">
        <v>6</v>
      </c>
      <c r="AD805" t="s">
        <v>12422</v>
      </c>
      <c r="AE805" t="s">
        <v>12440</v>
      </c>
      <c r="AF805">
        <v>5</v>
      </c>
      <c r="AG805">
        <v>2</v>
      </c>
      <c r="AH805">
        <v>0</v>
      </c>
      <c r="AI805">
        <v>55.12</v>
      </c>
      <c r="AL805" t="s">
        <v>12460</v>
      </c>
      <c r="AM805">
        <v>9072</v>
      </c>
      <c r="AN805" t="s">
        <v>12563</v>
      </c>
      <c r="AS805">
        <v>0.25</v>
      </c>
      <c r="AT805" t="s">
        <v>462</v>
      </c>
      <c r="AU805" t="s">
        <v>218</v>
      </c>
    </row>
    <row r="806" spans="1:48">
      <c r="A806" s="1">
        <f>HYPERLINK("https://cms.ls-nyc.org/matter/dynamic-profile/view/1880018","18-1880018")</f>
        <v>0</v>
      </c>
      <c r="B806" t="s">
        <v>89</v>
      </c>
      <c r="C806" t="s">
        <v>245</v>
      </c>
      <c r="E806" t="s">
        <v>586</v>
      </c>
      <c r="F806" t="s">
        <v>2083</v>
      </c>
      <c r="G806" t="s">
        <v>4085</v>
      </c>
      <c r="H806" t="s">
        <v>5359</v>
      </c>
      <c r="I806" t="s">
        <v>6043</v>
      </c>
      <c r="J806">
        <v>11207</v>
      </c>
      <c r="K806" t="s">
        <v>6074</v>
      </c>
      <c r="L806" t="s">
        <v>6074</v>
      </c>
      <c r="M806" t="s">
        <v>6104</v>
      </c>
      <c r="N806" t="s">
        <v>6104</v>
      </c>
      <c r="O806" t="s">
        <v>7307</v>
      </c>
      <c r="Q806" t="s">
        <v>7322</v>
      </c>
      <c r="R806" t="s">
        <v>6074</v>
      </c>
      <c r="S806" t="s">
        <v>7324</v>
      </c>
      <c r="T806" t="s">
        <v>7336</v>
      </c>
      <c r="U806" t="s">
        <v>442</v>
      </c>
      <c r="V806">
        <v>1365</v>
      </c>
      <c r="W806" t="s">
        <v>7362</v>
      </c>
      <c r="X806" t="s">
        <v>7368</v>
      </c>
      <c r="Z806" t="s">
        <v>7538</v>
      </c>
      <c r="AA806" t="s">
        <v>9871</v>
      </c>
      <c r="AB806" t="s">
        <v>10834</v>
      </c>
      <c r="AC806">
        <v>6</v>
      </c>
      <c r="AD806" t="s">
        <v>12422</v>
      </c>
      <c r="AE806" t="s">
        <v>12440</v>
      </c>
      <c r="AF806">
        <v>5</v>
      </c>
      <c r="AG806">
        <v>2</v>
      </c>
      <c r="AH806">
        <v>0</v>
      </c>
      <c r="AI806">
        <v>55.12</v>
      </c>
      <c r="AL806" t="s">
        <v>12460</v>
      </c>
      <c r="AM806">
        <v>9072</v>
      </c>
      <c r="AN806" t="s">
        <v>12563</v>
      </c>
      <c r="AS806">
        <v>0.1</v>
      </c>
      <c r="AT806" t="s">
        <v>462</v>
      </c>
      <c r="AU806" t="s">
        <v>218</v>
      </c>
    </row>
    <row r="807" spans="1:48">
      <c r="A807" s="1">
        <f>HYPERLINK("https://cms.ls-nyc.org/matter/dynamic-profile/view/1880021","18-1880021")</f>
        <v>0</v>
      </c>
      <c r="B807" t="s">
        <v>89</v>
      </c>
      <c r="C807" t="s">
        <v>245</v>
      </c>
      <c r="E807" t="s">
        <v>586</v>
      </c>
      <c r="F807" t="s">
        <v>2083</v>
      </c>
      <c r="G807" t="s">
        <v>4085</v>
      </c>
      <c r="H807" t="s">
        <v>5359</v>
      </c>
      <c r="I807" t="s">
        <v>6043</v>
      </c>
      <c r="J807">
        <v>11207</v>
      </c>
      <c r="K807" t="s">
        <v>6074</v>
      </c>
      <c r="L807" t="s">
        <v>6074</v>
      </c>
      <c r="M807" t="s">
        <v>6104</v>
      </c>
      <c r="N807" t="s">
        <v>7278</v>
      </c>
      <c r="O807" t="s">
        <v>7309</v>
      </c>
      <c r="Q807" t="s">
        <v>7322</v>
      </c>
      <c r="R807" t="s">
        <v>6074</v>
      </c>
      <c r="S807" t="s">
        <v>7324</v>
      </c>
      <c r="T807" t="s">
        <v>7336</v>
      </c>
      <c r="U807" t="s">
        <v>7344</v>
      </c>
      <c r="V807">
        <v>1365</v>
      </c>
      <c r="W807" t="s">
        <v>7362</v>
      </c>
      <c r="X807" t="s">
        <v>7368</v>
      </c>
      <c r="Z807" t="s">
        <v>7538</v>
      </c>
      <c r="AA807" t="s">
        <v>9871</v>
      </c>
      <c r="AB807" t="s">
        <v>10834</v>
      </c>
      <c r="AC807">
        <v>6</v>
      </c>
      <c r="AD807" t="s">
        <v>12422</v>
      </c>
      <c r="AE807" t="s">
        <v>12440</v>
      </c>
      <c r="AF807">
        <v>5</v>
      </c>
      <c r="AG807">
        <v>2</v>
      </c>
      <c r="AH807">
        <v>0</v>
      </c>
      <c r="AI807">
        <v>55.12</v>
      </c>
      <c r="AL807" t="s">
        <v>12460</v>
      </c>
      <c r="AM807">
        <v>9072</v>
      </c>
      <c r="AN807" t="s">
        <v>12563</v>
      </c>
      <c r="AS807">
        <v>0.25</v>
      </c>
      <c r="AT807" t="s">
        <v>462</v>
      </c>
      <c r="AU807" t="s">
        <v>218</v>
      </c>
    </row>
    <row r="808" spans="1:48">
      <c r="A808" s="1">
        <f>HYPERLINK("https://cms.ls-nyc.org/matter/dynamic-profile/view/1895930","19-1895930")</f>
        <v>0</v>
      </c>
      <c r="B808" t="s">
        <v>66</v>
      </c>
      <c r="C808" t="s">
        <v>270</v>
      </c>
      <c r="D808" t="s">
        <v>470</v>
      </c>
      <c r="E808" t="s">
        <v>1088</v>
      </c>
      <c r="F808" t="s">
        <v>2543</v>
      </c>
      <c r="G808" t="s">
        <v>4197</v>
      </c>
      <c r="H808" t="s">
        <v>5431</v>
      </c>
      <c r="I808" t="s">
        <v>6056</v>
      </c>
      <c r="J808">
        <v>11375</v>
      </c>
      <c r="K808" t="s">
        <v>6074</v>
      </c>
      <c r="L808" t="s">
        <v>6074</v>
      </c>
      <c r="M808" t="s">
        <v>6481</v>
      </c>
      <c r="N808" t="s">
        <v>7274</v>
      </c>
      <c r="O808" t="s">
        <v>7306</v>
      </c>
      <c r="P808" t="s">
        <v>7314</v>
      </c>
      <c r="Q808" t="s">
        <v>7322</v>
      </c>
      <c r="R808" t="s">
        <v>6076</v>
      </c>
      <c r="S808" t="s">
        <v>7324</v>
      </c>
      <c r="T808" t="s">
        <v>7336</v>
      </c>
      <c r="U808" t="s">
        <v>270</v>
      </c>
      <c r="V808">
        <v>850</v>
      </c>
      <c r="W808" t="s">
        <v>7361</v>
      </c>
      <c r="X808" t="s">
        <v>7366</v>
      </c>
      <c r="Y808" t="s">
        <v>7386</v>
      </c>
      <c r="Z808" t="s">
        <v>8037</v>
      </c>
      <c r="AA808" t="s">
        <v>10045</v>
      </c>
      <c r="AB808" t="s">
        <v>10835</v>
      </c>
      <c r="AC808">
        <v>2</v>
      </c>
      <c r="AD808" t="s">
        <v>12419</v>
      </c>
      <c r="AE808" t="s">
        <v>6110</v>
      </c>
      <c r="AF808">
        <v>-1</v>
      </c>
      <c r="AG808">
        <v>2</v>
      </c>
      <c r="AH808">
        <v>0</v>
      </c>
      <c r="AI808">
        <v>55.14</v>
      </c>
      <c r="AL808" t="s">
        <v>12470</v>
      </c>
      <c r="AM808">
        <v>9324</v>
      </c>
      <c r="AS808">
        <v>2</v>
      </c>
      <c r="AT808" t="s">
        <v>501</v>
      </c>
      <c r="AU808" t="s">
        <v>189</v>
      </c>
      <c r="AV808" t="s">
        <v>13145</v>
      </c>
    </row>
    <row r="809" spans="1:48">
      <c r="A809" s="1">
        <f>HYPERLINK("https://cms.ls-nyc.org/matter/dynamic-profile/view/1874519","18-1874519")</f>
        <v>0</v>
      </c>
      <c r="B809" t="s">
        <v>52</v>
      </c>
      <c r="C809" t="s">
        <v>236</v>
      </c>
      <c r="D809" t="s">
        <v>427</v>
      </c>
      <c r="E809" t="s">
        <v>1089</v>
      </c>
      <c r="F809" t="s">
        <v>2544</v>
      </c>
      <c r="G809" t="s">
        <v>4198</v>
      </c>
      <c r="H809" t="s">
        <v>5370</v>
      </c>
      <c r="I809" t="s">
        <v>6055</v>
      </c>
      <c r="J809">
        <v>11412</v>
      </c>
      <c r="K809" t="s">
        <v>6074</v>
      </c>
      <c r="L809" t="s">
        <v>6074</v>
      </c>
      <c r="M809" t="s">
        <v>6482</v>
      </c>
      <c r="N809" t="s">
        <v>7274</v>
      </c>
      <c r="O809" t="s">
        <v>7306</v>
      </c>
      <c r="P809" t="s">
        <v>7314</v>
      </c>
      <c r="Q809" t="s">
        <v>7322</v>
      </c>
      <c r="R809" t="s">
        <v>6076</v>
      </c>
      <c r="S809" t="s">
        <v>7324</v>
      </c>
      <c r="T809" t="s">
        <v>7338</v>
      </c>
      <c r="U809" t="s">
        <v>236</v>
      </c>
      <c r="V809">
        <v>1900</v>
      </c>
      <c r="W809" t="s">
        <v>7361</v>
      </c>
      <c r="X809" t="s">
        <v>7366</v>
      </c>
      <c r="Y809" t="s">
        <v>7386</v>
      </c>
      <c r="Z809" t="s">
        <v>8038</v>
      </c>
      <c r="AA809" t="s">
        <v>6110</v>
      </c>
      <c r="AB809" t="s">
        <v>10836</v>
      </c>
      <c r="AC809">
        <v>3</v>
      </c>
      <c r="AD809" t="s">
        <v>12419</v>
      </c>
      <c r="AE809" t="s">
        <v>6110</v>
      </c>
      <c r="AF809">
        <v>2</v>
      </c>
      <c r="AG809">
        <v>2</v>
      </c>
      <c r="AH809">
        <v>5</v>
      </c>
      <c r="AI809">
        <v>55.18</v>
      </c>
      <c r="AL809" t="s">
        <v>12460</v>
      </c>
      <c r="AM809">
        <v>21000</v>
      </c>
      <c r="AS809">
        <v>0.4</v>
      </c>
      <c r="AT809" t="s">
        <v>427</v>
      </c>
      <c r="AU809" t="s">
        <v>52</v>
      </c>
    </row>
    <row r="810" spans="1:48">
      <c r="A810" s="1">
        <f>HYPERLINK("https://cms.ls-nyc.org/matter/dynamic-profile/view/1883952","18-1883952")</f>
        <v>0</v>
      </c>
      <c r="B810" t="s">
        <v>128</v>
      </c>
      <c r="C810" t="s">
        <v>412</v>
      </c>
      <c r="D810" t="s">
        <v>472</v>
      </c>
      <c r="E810" t="s">
        <v>628</v>
      </c>
      <c r="F810" t="s">
        <v>2545</v>
      </c>
      <c r="G810" t="s">
        <v>4199</v>
      </c>
      <c r="H810" t="s">
        <v>5585</v>
      </c>
      <c r="I810" t="s">
        <v>6049</v>
      </c>
      <c r="J810">
        <v>10034</v>
      </c>
      <c r="K810" t="s">
        <v>6074</v>
      </c>
      <c r="L810" t="s">
        <v>6074</v>
      </c>
      <c r="N810" t="s">
        <v>7283</v>
      </c>
      <c r="O810" t="s">
        <v>7307</v>
      </c>
      <c r="P810" t="s">
        <v>7315</v>
      </c>
      <c r="Q810" t="s">
        <v>7322</v>
      </c>
      <c r="R810" t="s">
        <v>6076</v>
      </c>
      <c r="S810" t="s">
        <v>7324</v>
      </c>
      <c r="U810" t="s">
        <v>412</v>
      </c>
      <c r="V810">
        <v>913.12</v>
      </c>
      <c r="W810" t="s">
        <v>7365</v>
      </c>
      <c r="X810" t="s">
        <v>7368</v>
      </c>
      <c r="Y810" t="s">
        <v>7387</v>
      </c>
      <c r="Z810" t="s">
        <v>8039</v>
      </c>
      <c r="AB810" t="s">
        <v>10837</v>
      </c>
      <c r="AC810">
        <v>69</v>
      </c>
      <c r="AD810" t="s">
        <v>12422</v>
      </c>
      <c r="AE810" t="s">
        <v>12441</v>
      </c>
      <c r="AF810">
        <v>44</v>
      </c>
      <c r="AG810">
        <v>1</v>
      </c>
      <c r="AH810">
        <v>0</v>
      </c>
      <c r="AI810">
        <v>55.19</v>
      </c>
      <c r="AL810" t="s">
        <v>12460</v>
      </c>
      <c r="AM810">
        <v>6700</v>
      </c>
      <c r="AS810">
        <v>0.1</v>
      </c>
      <c r="AT810" t="s">
        <v>7348</v>
      </c>
      <c r="AU810" t="s">
        <v>13106</v>
      </c>
    </row>
    <row r="811" spans="1:48">
      <c r="A811" s="1">
        <f>HYPERLINK("https://cms.ls-nyc.org/matter/dynamic-profile/view/1876434","18-1876434")</f>
        <v>0</v>
      </c>
      <c r="B811" t="s">
        <v>165</v>
      </c>
      <c r="C811" t="s">
        <v>336</v>
      </c>
      <c r="E811" t="s">
        <v>1090</v>
      </c>
      <c r="F811" t="s">
        <v>2546</v>
      </c>
      <c r="G811" t="s">
        <v>4200</v>
      </c>
      <c r="H811">
        <v>30</v>
      </c>
      <c r="I811" t="s">
        <v>6049</v>
      </c>
      <c r="J811">
        <v>10026</v>
      </c>
      <c r="K811" t="s">
        <v>6074</v>
      </c>
      <c r="L811" t="s">
        <v>6074</v>
      </c>
      <c r="M811" t="s">
        <v>6483</v>
      </c>
      <c r="N811" t="s">
        <v>7276</v>
      </c>
      <c r="O811" t="s">
        <v>7310</v>
      </c>
      <c r="Q811" t="s">
        <v>7322</v>
      </c>
      <c r="R811" t="s">
        <v>6076</v>
      </c>
      <c r="S811" t="s">
        <v>7324</v>
      </c>
      <c r="U811" t="s">
        <v>336</v>
      </c>
      <c r="V811">
        <v>580.51</v>
      </c>
      <c r="W811" t="s">
        <v>7365</v>
      </c>
      <c r="X811" t="s">
        <v>7375</v>
      </c>
      <c r="Z811" t="s">
        <v>8040</v>
      </c>
      <c r="AB811" t="s">
        <v>10838</v>
      </c>
      <c r="AC811">
        <v>32</v>
      </c>
      <c r="AD811" t="s">
        <v>12422</v>
      </c>
      <c r="AE811" t="s">
        <v>6110</v>
      </c>
      <c r="AF811">
        <v>36</v>
      </c>
      <c r="AG811">
        <v>2</v>
      </c>
      <c r="AH811">
        <v>0</v>
      </c>
      <c r="AI811">
        <v>55.33</v>
      </c>
      <c r="AL811" t="s">
        <v>12460</v>
      </c>
      <c r="AM811">
        <v>9108</v>
      </c>
      <c r="AS811">
        <v>59.55</v>
      </c>
      <c r="AT811" t="s">
        <v>324</v>
      </c>
      <c r="AU811" t="s">
        <v>13107</v>
      </c>
    </row>
    <row r="812" spans="1:48">
      <c r="A812" s="1">
        <f>HYPERLINK("https://cms.ls-nyc.org/matter/dynamic-profile/view/1878534","18-1878534")</f>
        <v>0</v>
      </c>
      <c r="B812" t="s">
        <v>165</v>
      </c>
      <c r="C812" t="s">
        <v>425</v>
      </c>
      <c r="E812" t="s">
        <v>1090</v>
      </c>
      <c r="F812" t="s">
        <v>2546</v>
      </c>
      <c r="G812" t="s">
        <v>4200</v>
      </c>
      <c r="H812">
        <v>30</v>
      </c>
      <c r="I812" t="s">
        <v>6049</v>
      </c>
      <c r="J812">
        <v>10026</v>
      </c>
      <c r="K812" t="s">
        <v>6074</v>
      </c>
      <c r="L812" t="s">
        <v>6074</v>
      </c>
      <c r="N812" t="s">
        <v>7290</v>
      </c>
      <c r="O812" t="s">
        <v>7311</v>
      </c>
      <c r="Q812" t="s">
        <v>7322</v>
      </c>
      <c r="R812" t="s">
        <v>6076</v>
      </c>
      <c r="S812" t="s">
        <v>7333</v>
      </c>
      <c r="T812" t="s">
        <v>7336</v>
      </c>
      <c r="U812" t="s">
        <v>425</v>
      </c>
      <c r="V812">
        <v>580.51</v>
      </c>
      <c r="W812" t="s">
        <v>7365</v>
      </c>
      <c r="X812" t="s">
        <v>7370</v>
      </c>
      <c r="Z812" t="s">
        <v>8040</v>
      </c>
      <c r="AB812" t="s">
        <v>10838</v>
      </c>
      <c r="AC812">
        <v>32</v>
      </c>
      <c r="AD812" t="s">
        <v>12422</v>
      </c>
      <c r="AF812">
        <v>36</v>
      </c>
      <c r="AG812">
        <v>2</v>
      </c>
      <c r="AH812">
        <v>0</v>
      </c>
      <c r="AI812">
        <v>55.33</v>
      </c>
      <c r="AL812" t="s">
        <v>12460</v>
      </c>
      <c r="AM812">
        <v>9108</v>
      </c>
      <c r="AS812">
        <v>5.7</v>
      </c>
      <c r="AT812" t="s">
        <v>375</v>
      </c>
      <c r="AU812" t="s">
        <v>13107</v>
      </c>
    </row>
    <row r="813" spans="1:48">
      <c r="A813" s="1">
        <f>HYPERLINK("https://cms.ls-nyc.org/matter/dynamic-profile/view/1872000","18-1872000")</f>
        <v>0</v>
      </c>
      <c r="B813" t="s">
        <v>77</v>
      </c>
      <c r="C813" t="s">
        <v>388</v>
      </c>
      <c r="D813" t="s">
        <v>344</v>
      </c>
      <c r="E813" t="s">
        <v>1091</v>
      </c>
      <c r="F813" t="s">
        <v>2285</v>
      </c>
      <c r="G813" t="s">
        <v>4201</v>
      </c>
      <c r="H813">
        <v>3</v>
      </c>
      <c r="I813" t="s">
        <v>6043</v>
      </c>
      <c r="J813">
        <v>11208</v>
      </c>
      <c r="K813" t="s">
        <v>6074</v>
      </c>
      <c r="L813" t="s">
        <v>6074</v>
      </c>
      <c r="N813" t="s">
        <v>6104</v>
      </c>
      <c r="O813" t="s">
        <v>7306</v>
      </c>
      <c r="P813" t="s">
        <v>7314</v>
      </c>
      <c r="Q813" t="s">
        <v>7322</v>
      </c>
      <c r="S813" t="s">
        <v>7324</v>
      </c>
      <c r="U813" t="s">
        <v>231</v>
      </c>
      <c r="V813">
        <v>0</v>
      </c>
      <c r="W813" t="s">
        <v>7362</v>
      </c>
      <c r="Y813" t="s">
        <v>7386</v>
      </c>
      <c r="Z813" t="s">
        <v>8041</v>
      </c>
      <c r="AB813" t="s">
        <v>10839</v>
      </c>
      <c r="AC813">
        <v>0</v>
      </c>
      <c r="AF813">
        <v>0</v>
      </c>
      <c r="AG813">
        <v>2</v>
      </c>
      <c r="AH813">
        <v>0</v>
      </c>
      <c r="AI813">
        <v>55.41</v>
      </c>
      <c r="AL813" t="s">
        <v>12461</v>
      </c>
      <c r="AM813">
        <v>9120</v>
      </c>
      <c r="AS813">
        <v>3.5</v>
      </c>
      <c r="AT813" t="s">
        <v>497</v>
      </c>
      <c r="AU813" t="s">
        <v>77</v>
      </c>
    </row>
    <row r="814" spans="1:48">
      <c r="A814" s="1">
        <f>HYPERLINK("https://cms.ls-nyc.org/matter/dynamic-profile/view/1882354","18-1882354")</f>
        <v>0</v>
      </c>
      <c r="B814" t="s">
        <v>116</v>
      </c>
      <c r="C814" t="s">
        <v>468</v>
      </c>
      <c r="D814" t="s">
        <v>443</v>
      </c>
      <c r="E814" t="s">
        <v>737</v>
      </c>
      <c r="F814" t="s">
        <v>2062</v>
      </c>
      <c r="G814" t="s">
        <v>4202</v>
      </c>
      <c r="H814" t="s">
        <v>5364</v>
      </c>
      <c r="I814" t="s">
        <v>6047</v>
      </c>
      <c r="J814">
        <v>10458</v>
      </c>
      <c r="K814" t="s">
        <v>6074</v>
      </c>
      <c r="L814" t="s">
        <v>6074</v>
      </c>
      <c r="N814" t="s">
        <v>6104</v>
      </c>
      <c r="O814" t="s">
        <v>7307</v>
      </c>
      <c r="P814" t="s">
        <v>7315</v>
      </c>
      <c r="Q814" t="s">
        <v>7322</v>
      </c>
      <c r="R814" t="s">
        <v>6076</v>
      </c>
      <c r="S814" t="s">
        <v>7324</v>
      </c>
      <c r="U814" t="s">
        <v>416</v>
      </c>
      <c r="V814">
        <v>1360</v>
      </c>
      <c r="W814" t="s">
        <v>7363</v>
      </c>
      <c r="X814" t="s">
        <v>7376</v>
      </c>
      <c r="Y814" t="s">
        <v>7386</v>
      </c>
      <c r="Z814" t="s">
        <v>8042</v>
      </c>
      <c r="AB814" t="s">
        <v>10840</v>
      </c>
      <c r="AC814">
        <v>0</v>
      </c>
      <c r="AD814" t="s">
        <v>12422</v>
      </c>
      <c r="AE814" t="s">
        <v>6110</v>
      </c>
      <c r="AF814">
        <v>10</v>
      </c>
      <c r="AG814">
        <v>1</v>
      </c>
      <c r="AH814">
        <v>0</v>
      </c>
      <c r="AI814">
        <v>55.55</v>
      </c>
      <c r="AL814" t="s">
        <v>12461</v>
      </c>
      <c r="AM814">
        <v>6744</v>
      </c>
      <c r="AS814">
        <v>1.2</v>
      </c>
      <c r="AT814" t="s">
        <v>416</v>
      </c>
      <c r="AU814" t="s">
        <v>222</v>
      </c>
    </row>
    <row r="815" spans="1:48">
      <c r="A815" s="1">
        <f>HYPERLINK("https://cms.ls-nyc.org/matter/dynamic-profile/view/1873840","18-1873840")</f>
        <v>0</v>
      </c>
      <c r="B815" t="s">
        <v>130</v>
      </c>
      <c r="C815" t="s">
        <v>402</v>
      </c>
      <c r="E815" t="s">
        <v>1092</v>
      </c>
      <c r="F815" t="s">
        <v>2083</v>
      </c>
      <c r="G815" t="s">
        <v>3842</v>
      </c>
      <c r="H815" t="s">
        <v>5586</v>
      </c>
      <c r="I815" t="s">
        <v>6049</v>
      </c>
      <c r="J815">
        <v>10033</v>
      </c>
      <c r="K815" t="s">
        <v>6074</v>
      </c>
      <c r="L815" t="s">
        <v>6074</v>
      </c>
      <c r="N815" t="s">
        <v>7273</v>
      </c>
      <c r="O815" t="s">
        <v>7307</v>
      </c>
      <c r="Q815" t="s">
        <v>7322</v>
      </c>
      <c r="R815" t="s">
        <v>6074</v>
      </c>
      <c r="S815" t="s">
        <v>7324</v>
      </c>
      <c r="U815" t="s">
        <v>402</v>
      </c>
      <c r="V815">
        <v>1375.8</v>
      </c>
      <c r="W815" t="s">
        <v>7365</v>
      </c>
      <c r="X815" t="s">
        <v>7375</v>
      </c>
      <c r="Z815" t="s">
        <v>8043</v>
      </c>
      <c r="AB815" t="s">
        <v>10841</v>
      </c>
      <c r="AC815">
        <v>232</v>
      </c>
      <c r="AD815" t="s">
        <v>12422</v>
      </c>
      <c r="AE815" t="s">
        <v>6110</v>
      </c>
      <c r="AF815">
        <v>10</v>
      </c>
      <c r="AG815">
        <v>2</v>
      </c>
      <c r="AH815">
        <v>0</v>
      </c>
      <c r="AI815">
        <v>55.55</v>
      </c>
      <c r="AL815" t="s">
        <v>12461</v>
      </c>
      <c r="AM815">
        <v>9144</v>
      </c>
      <c r="AS815">
        <v>0.9</v>
      </c>
      <c r="AT815" t="s">
        <v>316</v>
      </c>
      <c r="AU815" t="s">
        <v>13106</v>
      </c>
    </row>
    <row r="816" spans="1:48">
      <c r="A816" s="1">
        <f>HYPERLINK("https://cms.ls-nyc.org/matter/dynamic-profile/view/1885754","18-1885754")</f>
        <v>0</v>
      </c>
      <c r="B816" t="s">
        <v>102</v>
      </c>
      <c r="C816" t="s">
        <v>344</v>
      </c>
      <c r="E816" t="s">
        <v>1093</v>
      </c>
      <c r="F816" t="s">
        <v>1209</v>
      </c>
      <c r="G816" t="s">
        <v>3779</v>
      </c>
      <c r="H816" t="s">
        <v>5587</v>
      </c>
      <c r="I816" t="s">
        <v>6047</v>
      </c>
      <c r="J816">
        <v>10460</v>
      </c>
      <c r="K816" t="s">
        <v>6074</v>
      </c>
      <c r="L816" t="s">
        <v>6074</v>
      </c>
      <c r="M816" t="s">
        <v>6182</v>
      </c>
      <c r="N816" t="s">
        <v>7273</v>
      </c>
      <c r="O816" t="s">
        <v>7308</v>
      </c>
      <c r="Q816" t="s">
        <v>7322</v>
      </c>
      <c r="R816" t="s">
        <v>6074</v>
      </c>
      <c r="S816" t="s">
        <v>7324</v>
      </c>
      <c r="U816" t="s">
        <v>457</v>
      </c>
      <c r="V816">
        <v>242</v>
      </c>
      <c r="W816" t="s">
        <v>7363</v>
      </c>
      <c r="X816" t="s">
        <v>7376</v>
      </c>
      <c r="Z816" t="s">
        <v>8044</v>
      </c>
      <c r="AB816" t="s">
        <v>10842</v>
      </c>
      <c r="AC816">
        <v>168</v>
      </c>
      <c r="AD816" t="s">
        <v>6322</v>
      </c>
      <c r="AE816" t="s">
        <v>7305</v>
      </c>
      <c r="AF816">
        <v>1</v>
      </c>
      <c r="AG816">
        <v>2</v>
      </c>
      <c r="AH816">
        <v>0</v>
      </c>
      <c r="AI816">
        <v>56.14</v>
      </c>
      <c r="AL816" t="s">
        <v>12460</v>
      </c>
      <c r="AM816">
        <v>9240</v>
      </c>
      <c r="AS816">
        <v>0</v>
      </c>
      <c r="AU816" t="s">
        <v>13092</v>
      </c>
    </row>
    <row r="817" spans="1:48">
      <c r="A817" s="1">
        <f>HYPERLINK("https://cms.ls-nyc.org/matter/dynamic-profile/view/1894066","19-1894066")</f>
        <v>0</v>
      </c>
      <c r="B817" t="s">
        <v>112</v>
      </c>
      <c r="C817" t="s">
        <v>326</v>
      </c>
      <c r="E817" t="s">
        <v>802</v>
      </c>
      <c r="F817" t="s">
        <v>1882</v>
      </c>
      <c r="G817" t="s">
        <v>3793</v>
      </c>
      <c r="H817" t="s">
        <v>5363</v>
      </c>
      <c r="I817" t="s">
        <v>6047</v>
      </c>
      <c r="J817">
        <v>10453</v>
      </c>
      <c r="K817" t="s">
        <v>6074</v>
      </c>
      <c r="L817" t="s">
        <v>6074</v>
      </c>
      <c r="N817" t="s">
        <v>7279</v>
      </c>
      <c r="O817" t="s">
        <v>7311</v>
      </c>
      <c r="Q817" t="s">
        <v>7322</v>
      </c>
      <c r="R817" t="s">
        <v>6074</v>
      </c>
      <c r="S817" t="s">
        <v>7324</v>
      </c>
      <c r="U817" t="s">
        <v>457</v>
      </c>
      <c r="V817">
        <v>957</v>
      </c>
      <c r="W817" t="s">
        <v>7363</v>
      </c>
      <c r="X817" t="s">
        <v>7376</v>
      </c>
      <c r="Z817" t="s">
        <v>8045</v>
      </c>
      <c r="AB817" t="s">
        <v>10843</v>
      </c>
      <c r="AC817">
        <v>44</v>
      </c>
      <c r="AD817" t="s">
        <v>12422</v>
      </c>
      <c r="AE817" t="s">
        <v>12434</v>
      </c>
      <c r="AF817">
        <v>28</v>
      </c>
      <c r="AG817">
        <v>2</v>
      </c>
      <c r="AH817">
        <v>0</v>
      </c>
      <c r="AI817">
        <v>56.14</v>
      </c>
      <c r="AL817" t="s">
        <v>12461</v>
      </c>
      <c r="AM817">
        <v>9240</v>
      </c>
      <c r="AS817">
        <v>0</v>
      </c>
      <c r="AU817" t="s">
        <v>13095</v>
      </c>
    </row>
    <row r="818" spans="1:48">
      <c r="A818" s="1">
        <f>HYPERLINK("https://cms.ls-nyc.org/matter/dynamic-profile/view/1894064","19-1894064")</f>
        <v>0</v>
      </c>
      <c r="B818" t="s">
        <v>112</v>
      </c>
      <c r="C818" t="s">
        <v>326</v>
      </c>
      <c r="E818" t="s">
        <v>802</v>
      </c>
      <c r="F818" t="s">
        <v>1882</v>
      </c>
      <c r="G818" t="s">
        <v>3793</v>
      </c>
      <c r="H818" t="s">
        <v>5363</v>
      </c>
      <c r="I818" t="s">
        <v>6047</v>
      </c>
      <c r="J818">
        <v>10453</v>
      </c>
      <c r="K818" t="s">
        <v>6074</v>
      </c>
      <c r="L818" t="s">
        <v>6074</v>
      </c>
      <c r="M818" t="s">
        <v>6194</v>
      </c>
      <c r="N818" t="s">
        <v>7273</v>
      </c>
      <c r="O818" t="s">
        <v>7308</v>
      </c>
      <c r="Q818" t="s">
        <v>7322</v>
      </c>
      <c r="R818" t="s">
        <v>6074</v>
      </c>
      <c r="S818" t="s">
        <v>7324</v>
      </c>
      <c r="U818" t="s">
        <v>457</v>
      </c>
      <c r="V818">
        <v>957</v>
      </c>
      <c r="W818" t="s">
        <v>7363</v>
      </c>
      <c r="X818" t="s">
        <v>7376</v>
      </c>
      <c r="Z818" t="s">
        <v>8045</v>
      </c>
      <c r="AB818" t="s">
        <v>10843</v>
      </c>
      <c r="AC818">
        <v>44</v>
      </c>
      <c r="AD818" t="s">
        <v>12422</v>
      </c>
      <c r="AE818" t="s">
        <v>12434</v>
      </c>
      <c r="AF818">
        <v>28</v>
      </c>
      <c r="AG818">
        <v>2</v>
      </c>
      <c r="AH818">
        <v>0</v>
      </c>
      <c r="AI818">
        <v>56.14</v>
      </c>
      <c r="AL818" t="s">
        <v>12461</v>
      </c>
      <c r="AM818">
        <v>9240</v>
      </c>
      <c r="AS818">
        <v>0</v>
      </c>
      <c r="AU818" t="s">
        <v>13095</v>
      </c>
    </row>
    <row r="819" spans="1:48">
      <c r="A819" s="1">
        <f>HYPERLINK("https://cms.ls-nyc.org/matter/dynamic-profile/view/1894063","18-1894063")</f>
        <v>0</v>
      </c>
      <c r="B819" t="s">
        <v>112</v>
      </c>
      <c r="C819" t="s">
        <v>326</v>
      </c>
      <c r="E819" t="s">
        <v>802</v>
      </c>
      <c r="F819" t="s">
        <v>1882</v>
      </c>
      <c r="G819" t="s">
        <v>3793</v>
      </c>
      <c r="H819" t="s">
        <v>5363</v>
      </c>
      <c r="I819" t="s">
        <v>6047</v>
      </c>
      <c r="J819">
        <v>10453</v>
      </c>
      <c r="K819" t="s">
        <v>6074</v>
      </c>
      <c r="L819" t="s">
        <v>6074</v>
      </c>
      <c r="N819" t="s">
        <v>6104</v>
      </c>
      <c r="O819" t="s">
        <v>7309</v>
      </c>
      <c r="Q819" t="s">
        <v>7322</v>
      </c>
      <c r="R819" t="s">
        <v>6074</v>
      </c>
      <c r="S819" t="s">
        <v>7324</v>
      </c>
      <c r="U819" t="s">
        <v>457</v>
      </c>
      <c r="V819">
        <v>957</v>
      </c>
      <c r="W819" t="s">
        <v>7363</v>
      </c>
      <c r="X819" t="s">
        <v>7376</v>
      </c>
      <c r="Z819" t="s">
        <v>8045</v>
      </c>
      <c r="AB819" t="s">
        <v>10843</v>
      </c>
      <c r="AC819">
        <v>44</v>
      </c>
      <c r="AD819" t="s">
        <v>12422</v>
      </c>
      <c r="AE819" t="s">
        <v>12434</v>
      </c>
      <c r="AF819">
        <v>28</v>
      </c>
      <c r="AG819">
        <v>2</v>
      </c>
      <c r="AH819">
        <v>0</v>
      </c>
      <c r="AI819">
        <v>56.14</v>
      </c>
      <c r="AL819" t="s">
        <v>12461</v>
      </c>
      <c r="AM819">
        <v>9240</v>
      </c>
      <c r="AS819">
        <v>0</v>
      </c>
      <c r="AU819" t="s">
        <v>13095</v>
      </c>
    </row>
    <row r="820" spans="1:48">
      <c r="A820" s="1">
        <f>HYPERLINK("https://cms.ls-nyc.org/matter/dynamic-profile/view/1900393","19-1900393")</f>
        <v>0</v>
      </c>
      <c r="B820" t="s">
        <v>54</v>
      </c>
      <c r="C820" t="s">
        <v>241</v>
      </c>
      <c r="E820" t="s">
        <v>636</v>
      </c>
      <c r="F820" t="s">
        <v>2547</v>
      </c>
      <c r="G820" t="s">
        <v>4203</v>
      </c>
      <c r="H820" t="s">
        <v>5588</v>
      </c>
      <c r="I820" t="s">
        <v>6058</v>
      </c>
      <c r="J820">
        <v>11372</v>
      </c>
      <c r="K820" t="s">
        <v>6074</v>
      </c>
      <c r="L820" t="s">
        <v>6075</v>
      </c>
      <c r="M820" t="s">
        <v>6484</v>
      </c>
      <c r="N820" t="s">
        <v>7274</v>
      </c>
      <c r="O820" t="s">
        <v>7310</v>
      </c>
      <c r="Q820" t="s">
        <v>7322</v>
      </c>
      <c r="R820" t="s">
        <v>6076</v>
      </c>
      <c r="S820" t="s">
        <v>7324</v>
      </c>
      <c r="U820" t="s">
        <v>241</v>
      </c>
      <c r="V820">
        <v>725</v>
      </c>
      <c r="W820" t="s">
        <v>7361</v>
      </c>
      <c r="X820" t="s">
        <v>7367</v>
      </c>
      <c r="Z820" t="s">
        <v>8046</v>
      </c>
      <c r="AB820" t="s">
        <v>9856</v>
      </c>
      <c r="AC820">
        <v>60</v>
      </c>
      <c r="AD820" t="s">
        <v>6322</v>
      </c>
      <c r="AE820" t="s">
        <v>6110</v>
      </c>
      <c r="AF820">
        <v>50</v>
      </c>
      <c r="AG820">
        <v>2</v>
      </c>
      <c r="AH820">
        <v>1</v>
      </c>
      <c r="AI820">
        <v>56.26</v>
      </c>
      <c r="AL820" t="s">
        <v>12460</v>
      </c>
      <c r="AM820">
        <v>12000</v>
      </c>
      <c r="AS820">
        <v>1.45</v>
      </c>
      <c r="AT820" t="s">
        <v>241</v>
      </c>
      <c r="AU820" t="s">
        <v>189</v>
      </c>
      <c r="AV820" t="s">
        <v>13145</v>
      </c>
    </row>
    <row r="821" spans="1:48">
      <c r="A821" s="1">
        <f>HYPERLINK("https://cms.ls-nyc.org/matter/dynamic-profile/view/1883395","18-1883395")</f>
        <v>0</v>
      </c>
      <c r="B821" t="s">
        <v>109</v>
      </c>
      <c r="C821" t="s">
        <v>411</v>
      </c>
      <c r="D821" t="s">
        <v>305</v>
      </c>
      <c r="E821" t="s">
        <v>1094</v>
      </c>
      <c r="F821" t="s">
        <v>1882</v>
      </c>
      <c r="G821" t="s">
        <v>4204</v>
      </c>
      <c r="H821" t="s">
        <v>5589</v>
      </c>
      <c r="I821" t="s">
        <v>6047</v>
      </c>
      <c r="J821">
        <v>10452</v>
      </c>
      <c r="K821" t="s">
        <v>6074</v>
      </c>
      <c r="L821" t="s">
        <v>6074</v>
      </c>
      <c r="M821" t="s">
        <v>6485</v>
      </c>
      <c r="N821" t="s">
        <v>7276</v>
      </c>
      <c r="O821" t="s">
        <v>7306</v>
      </c>
      <c r="P821" t="s">
        <v>7314</v>
      </c>
      <c r="Q821" t="s">
        <v>7322</v>
      </c>
      <c r="R821" t="s">
        <v>6076</v>
      </c>
      <c r="S821" t="s">
        <v>7324</v>
      </c>
      <c r="T821" t="s">
        <v>7336</v>
      </c>
      <c r="U821" t="s">
        <v>411</v>
      </c>
      <c r="V821">
        <v>2159</v>
      </c>
      <c r="W821" t="s">
        <v>7363</v>
      </c>
      <c r="X821" t="s">
        <v>7376</v>
      </c>
      <c r="Y821" t="s">
        <v>7386</v>
      </c>
      <c r="Z821" t="s">
        <v>8047</v>
      </c>
      <c r="AB821" t="s">
        <v>10844</v>
      </c>
      <c r="AC821">
        <v>140</v>
      </c>
      <c r="AD821" t="s">
        <v>6322</v>
      </c>
      <c r="AE821" t="s">
        <v>12434</v>
      </c>
      <c r="AF821">
        <v>15</v>
      </c>
      <c r="AG821">
        <v>3</v>
      </c>
      <c r="AH821">
        <v>0</v>
      </c>
      <c r="AI821">
        <v>56.3</v>
      </c>
      <c r="AL821" t="s">
        <v>12461</v>
      </c>
      <c r="AM821">
        <v>11700</v>
      </c>
      <c r="AS821">
        <v>1</v>
      </c>
      <c r="AT821" t="s">
        <v>403</v>
      </c>
      <c r="AU821" t="s">
        <v>13092</v>
      </c>
    </row>
    <row r="822" spans="1:48">
      <c r="A822" s="1">
        <f>HYPERLINK("https://cms.ls-nyc.org/matter/dynamic-profile/view/1881194","18-1881194")</f>
        <v>0</v>
      </c>
      <c r="B822" t="s">
        <v>50</v>
      </c>
      <c r="C822" t="s">
        <v>240</v>
      </c>
      <c r="D822" t="s">
        <v>246</v>
      </c>
      <c r="E822" t="s">
        <v>1095</v>
      </c>
      <c r="F822" t="s">
        <v>2223</v>
      </c>
      <c r="G822" t="s">
        <v>3658</v>
      </c>
      <c r="H822" t="s">
        <v>5398</v>
      </c>
      <c r="I822" t="s">
        <v>6025</v>
      </c>
      <c r="J822">
        <v>11691</v>
      </c>
      <c r="K822" t="s">
        <v>6074</v>
      </c>
      <c r="L822" t="s">
        <v>6074</v>
      </c>
      <c r="M822" t="s">
        <v>6486</v>
      </c>
      <c r="N822" t="s">
        <v>7276</v>
      </c>
      <c r="O822" t="s">
        <v>7306</v>
      </c>
      <c r="P822" t="s">
        <v>7314</v>
      </c>
      <c r="Q822" t="s">
        <v>7322</v>
      </c>
      <c r="R822" t="s">
        <v>6076</v>
      </c>
      <c r="S822" t="s">
        <v>7324</v>
      </c>
      <c r="T822" t="s">
        <v>7336</v>
      </c>
      <c r="U822" t="s">
        <v>246</v>
      </c>
      <c r="V822">
        <v>1956</v>
      </c>
      <c r="W822" t="s">
        <v>7361</v>
      </c>
      <c r="X822" t="s">
        <v>7366</v>
      </c>
      <c r="Y822" t="s">
        <v>7386</v>
      </c>
      <c r="Z822" t="s">
        <v>8048</v>
      </c>
      <c r="AA822" t="s">
        <v>10046</v>
      </c>
      <c r="AB822" t="s">
        <v>10845</v>
      </c>
      <c r="AC822">
        <v>20</v>
      </c>
      <c r="AD822" t="s">
        <v>12422</v>
      </c>
      <c r="AE822" t="s">
        <v>12438</v>
      </c>
      <c r="AF822">
        <v>1</v>
      </c>
      <c r="AG822">
        <v>1</v>
      </c>
      <c r="AH822">
        <v>5</v>
      </c>
      <c r="AI822">
        <v>56.31</v>
      </c>
      <c r="AL822" t="s">
        <v>12460</v>
      </c>
      <c r="AM822">
        <v>19000</v>
      </c>
      <c r="AS822">
        <v>1.95</v>
      </c>
      <c r="AT822" t="s">
        <v>356</v>
      </c>
      <c r="AU822" t="s">
        <v>189</v>
      </c>
    </row>
    <row r="823" spans="1:48">
      <c r="A823" s="1">
        <f>HYPERLINK("https://cms.ls-nyc.org/matter/dynamic-profile/view/1884964","18-1884964")</f>
        <v>0</v>
      </c>
      <c r="B823" t="s">
        <v>178</v>
      </c>
      <c r="C823" t="s">
        <v>269</v>
      </c>
      <c r="E823" t="s">
        <v>1096</v>
      </c>
      <c r="F823" t="s">
        <v>2548</v>
      </c>
      <c r="G823" t="s">
        <v>4205</v>
      </c>
      <c r="H823" t="s">
        <v>5395</v>
      </c>
      <c r="I823" t="s">
        <v>6047</v>
      </c>
      <c r="J823">
        <v>10456</v>
      </c>
      <c r="K823" t="s">
        <v>6074</v>
      </c>
      <c r="L823" t="s">
        <v>6074</v>
      </c>
      <c r="M823" t="s">
        <v>6170</v>
      </c>
      <c r="N823" t="s">
        <v>7283</v>
      </c>
      <c r="O823" t="s">
        <v>7309</v>
      </c>
      <c r="Q823" t="s">
        <v>7322</v>
      </c>
      <c r="R823" t="s">
        <v>6076</v>
      </c>
      <c r="S823" t="s">
        <v>7326</v>
      </c>
      <c r="U823" t="s">
        <v>457</v>
      </c>
      <c r="V823">
        <v>949.37</v>
      </c>
      <c r="W823" t="s">
        <v>7363</v>
      </c>
      <c r="X823" t="s">
        <v>7368</v>
      </c>
      <c r="Z823" t="s">
        <v>8049</v>
      </c>
      <c r="AB823" t="s">
        <v>10846</v>
      </c>
      <c r="AC823">
        <v>56</v>
      </c>
      <c r="AD823" t="s">
        <v>12422</v>
      </c>
      <c r="AE823" t="s">
        <v>6110</v>
      </c>
      <c r="AF823">
        <v>24</v>
      </c>
      <c r="AG823">
        <v>2</v>
      </c>
      <c r="AH823">
        <v>0</v>
      </c>
      <c r="AI823">
        <v>56.35</v>
      </c>
      <c r="AL823" t="s">
        <v>12460</v>
      </c>
      <c r="AM823">
        <v>9276</v>
      </c>
      <c r="AS823">
        <v>11.25</v>
      </c>
      <c r="AT823" t="s">
        <v>418</v>
      </c>
      <c r="AU823" t="s">
        <v>13127</v>
      </c>
    </row>
    <row r="824" spans="1:48">
      <c r="A824" s="1">
        <f>HYPERLINK("https://cms.ls-nyc.org/matter/dynamic-profile/view/1898369","19-1898369")</f>
        <v>0</v>
      </c>
      <c r="B824" t="s">
        <v>125</v>
      </c>
      <c r="C824" t="s">
        <v>257</v>
      </c>
      <c r="E824" t="s">
        <v>1097</v>
      </c>
      <c r="F824" t="s">
        <v>2549</v>
      </c>
      <c r="G824" t="s">
        <v>4206</v>
      </c>
      <c r="H824">
        <v>67</v>
      </c>
      <c r="I824" t="s">
        <v>6049</v>
      </c>
      <c r="J824">
        <v>10032</v>
      </c>
      <c r="K824" t="s">
        <v>6074</v>
      </c>
      <c r="L824" t="s">
        <v>6074</v>
      </c>
      <c r="N824" t="s">
        <v>7278</v>
      </c>
      <c r="O824" t="s">
        <v>7306</v>
      </c>
      <c r="Q824" t="s">
        <v>7322</v>
      </c>
      <c r="R824" t="s">
        <v>6076</v>
      </c>
      <c r="S824" t="s">
        <v>7324</v>
      </c>
      <c r="U824" t="s">
        <v>257</v>
      </c>
      <c r="V824">
        <v>1550</v>
      </c>
      <c r="W824" t="s">
        <v>7365</v>
      </c>
      <c r="X824" t="s">
        <v>7367</v>
      </c>
      <c r="Z824" t="s">
        <v>8050</v>
      </c>
      <c r="AB824" t="s">
        <v>10847</v>
      </c>
      <c r="AC824">
        <v>55</v>
      </c>
      <c r="AD824" t="s">
        <v>12422</v>
      </c>
      <c r="AE824" t="s">
        <v>12440</v>
      </c>
      <c r="AF824">
        <v>7</v>
      </c>
      <c r="AG824">
        <v>2</v>
      </c>
      <c r="AH824">
        <v>0</v>
      </c>
      <c r="AI824">
        <v>56.35</v>
      </c>
      <c r="AL824" t="s">
        <v>12461</v>
      </c>
      <c r="AM824">
        <v>9528</v>
      </c>
      <c r="AS824">
        <v>1.3</v>
      </c>
      <c r="AT824" t="s">
        <v>446</v>
      </c>
      <c r="AU824" t="s">
        <v>13106</v>
      </c>
    </row>
    <row r="825" spans="1:48">
      <c r="A825" s="1">
        <f>HYPERLINK("https://cms.ls-nyc.org/matter/dynamic-profile/view/1894538","19-1894538")</f>
        <v>0</v>
      </c>
      <c r="B825" t="s">
        <v>135</v>
      </c>
      <c r="C825" t="s">
        <v>338</v>
      </c>
      <c r="D825" t="s">
        <v>397</v>
      </c>
      <c r="E825" t="s">
        <v>1082</v>
      </c>
      <c r="F825" t="s">
        <v>2318</v>
      </c>
      <c r="G825" t="s">
        <v>4191</v>
      </c>
      <c r="H825">
        <v>65</v>
      </c>
      <c r="I825" t="s">
        <v>6049</v>
      </c>
      <c r="J825">
        <v>10029</v>
      </c>
      <c r="K825" t="s">
        <v>6074</v>
      </c>
      <c r="L825" t="s">
        <v>6074</v>
      </c>
      <c r="M825" t="s">
        <v>6487</v>
      </c>
      <c r="N825" t="s">
        <v>7274</v>
      </c>
      <c r="O825" t="s">
        <v>7307</v>
      </c>
      <c r="P825" t="s">
        <v>7314</v>
      </c>
      <c r="Q825" t="s">
        <v>7322</v>
      </c>
      <c r="R825" t="s">
        <v>6076</v>
      </c>
      <c r="S825" t="s">
        <v>7324</v>
      </c>
      <c r="T825" t="s">
        <v>7336</v>
      </c>
      <c r="U825" t="s">
        <v>338</v>
      </c>
      <c r="V825">
        <v>1029.77</v>
      </c>
      <c r="W825" t="s">
        <v>7365</v>
      </c>
      <c r="X825" t="s">
        <v>7368</v>
      </c>
      <c r="Y825" t="s">
        <v>7386</v>
      </c>
      <c r="Z825" t="s">
        <v>8031</v>
      </c>
      <c r="AB825" t="s">
        <v>10848</v>
      </c>
      <c r="AC825">
        <v>30</v>
      </c>
      <c r="AD825" t="s">
        <v>12422</v>
      </c>
      <c r="AE825" t="s">
        <v>6110</v>
      </c>
      <c r="AF825">
        <v>22</v>
      </c>
      <c r="AG825">
        <v>2</v>
      </c>
      <c r="AH825">
        <v>0</v>
      </c>
      <c r="AI825">
        <v>56.35</v>
      </c>
      <c r="AL825" t="s">
        <v>12460</v>
      </c>
      <c r="AM825">
        <v>9528</v>
      </c>
      <c r="AP825" t="s">
        <v>7305</v>
      </c>
      <c r="AS825">
        <v>4.35</v>
      </c>
      <c r="AT825" t="s">
        <v>424</v>
      </c>
      <c r="AU825" t="s">
        <v>13107</v>
      </c>
    </row>
    <row r="826" spans="1:48">
      <c r="A826" s="1">
        <f>HYPERLINK("https://cms.ls-nyc.org/matter/dynamic-profile/view/1897224","19-1897224")</f>
        <v>0</v>
      </c>
      <c r="B826" t="s">
        <v>133</v>
      </c>
      <c r="C826" t="s">
        <v>279</v>
      </c>
      <c r="E826" t="s">
        <v>812</v>
      </c>
      <c r="F826" t="s">
        <v>2079</v>
      </c>
      <c r="G826" t="s">
        <v>4207</v>
      </c>
      <c r="H826">
        <v>31</v>
      </c>
      <c r="I826" t="s">
        <v>6049</v>
      </c>
      <c r="J826">
        <v>10034</v>
      </c>
      <c r="K826" t="s">
        <v>6074</v>
      </c>
      <c r="L826" t="s">
        <v>6074</v>
      </c>
      <c r="N826" t="s">
        <v>7273</v>
      </c>
      <c r="O826" t="s">
        <v>7306</v>
      </c>
      <c r="Q826" t="s">
        <v>7322</v>
      </c>
      <c r="R826" t="s">
        <v>6074</v>
      </c>
      <c r="S826" t="s">
        <v>7324</v>
      </c>
      <c r="U826" t="s">
        <v>279</v>
      </c>
      <c r="V826">
        <v>865.1799999999999</v>
      </c>
      <c r="W826" t="s">
        <v>7365</v>
      </c>
      <c r="X826" t="s">
        <v>7367</v>
      </c>
      <c r="Z826" t="s">
        <v>8051</v>
      </c>
      <c r="AB826" t="s">
        <v>10849</v>
      </c>
      <c r="AC826">
        <v>20</v>
      </c>
      <c r="AD826" t="s">
        <v>12422</v>
      </c>
      <c r="AE826" t="s">
        <v>6110</v>
      </c>
      <c r="AF826">
        <v>28</v>
      </c>
      <c r="AG826">
        <v>1</v>
      </c>
      <c r="AH826">
        <v>0</v>
      </c>
      <c r="AI826">
        <v>56.4</v>
      </c>
      <c r="AL826" t="s">
        <v>12461</v>
      </c>
      <c r="AM826">
        <v>7044</v>
      </c>
      <c r="AS826">
        <v>0</v>
      </c>
      <c r="AU826" t="s">
        <v>13106</v>
      </c>
    </row>
    <row r="827" spans="1:48">
      <c r="A827" s="1">
        <f>HYPERLINK("https://cms.ls-nyc.org/matter/dynamic-profile/view/1884912","18-1884912")</f>
        <v>0</v>
      </c>
      <c r="B827" t="s">
        <v>101</v>
      </c>
      <c r="C827" t="s">
        <v>269</v>
      </c>
      <c r="E827" t="s">
        <v>1098</v>
      </c>
      <c r="F827" t="s">
        <v>2550</v>
      </c>
      <c r="G827" t="s">
        <v>4208</v>
      </c>
      <c r="H827" t="s">
        <v>5590</v>
      </c>
      <c r="I827" t="s">
        <v>6047</v>
      </c>
      <c r="J827">
        <v>10453</v>
      </c>
      <c r="K827" t="s">
        <v>6074</v>
      </c>
      <c r="L827" t="s">
        <v>6074</v>
      </c>
      <c r="M827" t="s">
        <v>6488</v>
      </c>
      <c r="N827" t="s">
        <v>7276</v>
      </c>
      <c r="O827" t="s">
        <v>7308</v>
      </c>
      <c r="Q827" t="s">
        <v>7322</v>
      </c>
      <c r="R827" t="s">
        <v>6076</v>
      </c>
      <c r="S827" t="s">
        <v>7324</v>
      </c>
      <c r="T827" t="s">
        <v>7339</v>
      </c>
      <c r="U827" t="s">
        <v>269</v>
      </c>
      <c r="V827">
        <v>185.34</v>
      </c>
      <c r="W827" t="s">
        <v>7363</v>
      </c>
      <c r="X827" t="s">
        <v>7366</v>
      </c>
      <c r="Z827" t="s">
        <v>8052</v>
      </c>
      <c r="AA827" t="s">
        <v>10047</v>
      </c>
      <c r="AB827" t="s">
        <v>10850</v>
      </c>
      <c r="AC827">
        <v>110</v>
      </c>
      <c r="AD827" t="s">
        <v>12422</v>
      </c>
      <c r="AE827" t="s">
        <v>6110</v>
      </c>
      <c r="AF827">
        <v>3</v>
      </c>
      <c r="AG827">
        <v>1</v>
      </c>
      <c r="AH827">
        <v>1</v>
      </c>
      <c r="AI827">
        <v>56.65</v>
      </c>
      <c r="AL827" t="s">
        <v>12460</v>
      </c>
      <c r="AM827">
        <v>9324</v>
      </c>
      <c r="AS827">
        <v>5.75</v>
      </c>
      <c r="AT827" t="s">
        <v>335</v>
      </c>
      <c r="AU827" t="s">
        <v>13095</v>
      </c>
    </row>
    <row r="828" spans="1:48">
      <c r="A828" s="1">
        <f>HYPERLINK("https://cms.ls-nyc.org/matter/dynamic-profile/view/1900437","19-1900437")</f>
        <v>0</v>
      </c>
      <c r="B828" t="s">
        <v>83</v>
      </c>
      <c r="C828" t="s">
        <v>241</v>
      </c>
      <c r="E828" t="s">
        <v>1099</v>
      </c>
      <c r="F828" t="s">
        <v>2551</v>
      </c>
      <c r="G828" t="s">
        <v>4209</v>
      </c>
      <c r="H828" t="s">
        <v>5355</v>
      </c>
      <c r="I828" t="s">
        <v>6043</v>
      </c>
      <c r="J828">
        <v>11226</v>
      </c>
      <c r="K828" t="s">
        <v>6074</v>
      </c>
      <c r="L828" t="s">
        <v>6075</v>
      </c>
      <c r="Q828" t="s">
        <v>7322</v>
      </c>
      <c r="S828" t="s">
        <v>7324</v>
      </c>
      <c r="U828" t="s">
        <v>241</v>
      </c>
      <c r="V828">
        <v>0</v>
      </c>
      <c r="W828" t="s">
        <v>7362</v>
      </c>
      <c r="Z828" t="s">
        <v>8053</v>
      </c>
      <c r="AB828" t="s">
        <v>10851</v>
      </c>
      <c r="AC828">
        <v>0</v>
      </c>
      <c r="AF828">
        <v>0</v>
      </c>
      <c r="AG828">
        <v>2</v>
      </c>
      <c r="AH828">
        <v>0</v>
      </c>
      <c r="AI828">
        <v>56.77</v>
      </c>
      <c r="AL828" t="s">
        <v>12465</v>
      </c>
      <c r="AM828">
        <v>9600</v>
      </c>
      <c r="AS828">
        <v>0.2</v>
      </c>
      <c r="AT828" t="s">
        <v>241</v>
      </c>
      <c r="AU828" t="s">
        <v>69</v>
      </c>
    </row>
    <row r="829" spans="1:48">
      <c r="A829" s="1">
        <f>HYPERLINK("https://cms.ls-nyc.org/matter/dynamic-profile/view/1898865","19-1898865")</f>
        <v>0</v>
      </c>
      <c r="B829" t="s">
        <v>116</v>
      </c>
      <c r="C829" t="s">
        <v>294</v>
      </c>
      <c r="E829" t="s">
        <v>586</v>
      </c>
      <c r="F829" t="s">
        <v>2552</v>
      </c>
      <c r="G829" t="s">
        <v>4210</v>
      </c>
      <c r="H829">
        <v>1</v>
      </c>
      <c r="I829" t="s">
        <v>6047</v>
      </c>
      <c r="J829">
        <v>10455</v>
      </c>
      <c r="K829" t="s">
        <v>6074</v>
      </c>
      <c r="L829" t="s">
        <v>6074</v>
      </c>
      <c r="N829" t="s">
        <v>6104</v>
      </c>
      <c r="O829" t="s">
        <v>7307</v>
      </c>
      <c r="Q829" t="s">
        <v>7322</v>
      </c>
      <c r="R829" t="s">
        <v>6076</v>
      </c>
      <c r="S829" t="s">
        <v>7324</v>
      </c>
      <c r="U829" t="s">
        <v>294</v>
      </c>
      <c r="V829">
        <v>900</v>
      </c>
      <c r="W829" t="s">
        <v>7363</v>
      </c>
      <c r="X829" t="s">
        <v>7376</v>
      </c>
      <c r="Z829" t="s">
        <v>8054</v>
      </c>
      <c r="AB829" t="s">
        <v>10852</v>
      </c>
      <c r="AC829">
        <v>2</v>
      </c>
      <c r="AD829" t="s">
        <v>12419</v>
      </c>
      <c r="AF829">
        <v>10</v>
      </c>
      <c r="AG829">
        <v>2</v>
      </c>
      <c r="AH829">
        <v>0</v>
      </c>
      <c r="AI829">
        <v>56.77</v>
      </c>
      <c r="AL829" t="s">
        <v>12461</v>
      </c>
      <c r="AM829">
        <v>9600</v>
      </c>
      <c r="AS829">
        <v>0.5</v>
      </c>
      <c r="AT829" t="s">
        <v>276</v>
      </c>
      <c r="AU829" t="s">
        <v>116</v>
      </c>
      <c r="AV829" t="s">
        <v>13145</v>
      </c>
    </row>
    <row r="830" spans="1:48">
      <c r="A830" s="1">
        <f>HYPERLINK("https://cms.ls-nyc.org/matter/dynamic-profile/view/1893852","19-1893852")</f>
        <v>0</v>
      </c>
      <c r="B830" t="s">
        <v>105</v>
      </c>
      <c r="C830" t="s">
        <v>275</v>
      </c>
      <c r="D830" t="s">
        <v>247</v>
      </c>
      <c r="E830" t="s">
        <v>1100</v>
      </c>
      <c r="F830" t="s">
        <v>2553</v>
      </c>
      <c r="G830">
        <v>2059</v>
      </c>
      <c r="H830" t="s">
        <v>5447</v>
      </c>
      <c r="I830" t="s">
        <v>6047</v>
      </c>
      <c r="J830">
        <v>10453</v>
      </c>
      <c r="K830" t="s">
        <v>6074</v>
      </c>
      <c r="L830" t="s">
        <v>6074</v>
      </c>
      <c r="N830" t="s">
        <v>6104</v>
      </c>
      <c r="O830" t="s">
        <v>7306</v>
      </c>
      <c r="P830" t="s">
        <v>7314</v>
      </c>
      <c r="Q830" t="s">
        <v>7322</v>
      </c>
      <c r="R830" t="s">
        <v>6076</v>
      </c>
      <c r="S830" t="s">
        <v>7324</v>
      </c>
      <c r="U830" t="s">
        <v>275</v>
      </c>
      <c r="V830">
        <v>810</v>
      </c>
      <c r="W830" t="s">
        <v>7363</v>
      </c>
      <c r="X830" t="s">
        <v>7376</v>
      </c>
      <c r="Y830" t="s">
        <v>7386</v>
      </c>
      <c r="Z830" t="s">
        <v>8055</v>
      </c>
      <c r="AB830" t="s">
        <v>10853</v>
      </c>
      <c r="AC830">
        <v>0</v>
      </c>
      <c r="AD830" t="s">
        <v>12422</v>
      </c>
      <c r="AE830" t="s">
        <v>6110</v>
      </c>
      <c r="AF830">
        <v>3</v>
      </c>
      <c r="AG830">
        <v>2</v>
      </c>
      <c r="AH830">
        <v>0</v>
      </c>
      <c r="AI830">
        <v>56.77</v>
      </c>
      <c r="AL830" t="s">
        <v>12460</v>
      </c>
      <c r="AM830">
        <v>9600</v>
      </c>
      <c r="AN830" t="s">
        <v>12564</v>
      </c>
      <c r="AS830">
        <v>1</v>
      </c>
      <c r="AT830" t="s">
        <v>275</v>
      </c>
      <c r="AU830" t="s">
        <v>105</v>
      </c>
    </row>
    <row r="831" spans="1:48">
      <c r="A831" s="1">
        <f>HYPERLINK("https://cms.ls-nyc.org/matter/dynamic-profile/view/1879377","18-1879377")</f>
        <v>0</v>
      </c>
      <c r="B831" t="s">
        <v>77</v>
      </c>
      <c r="C831" t="s">
        <v>249</v>
      </c>
      <c r="D831" t="s">
        <v>344</v>
      </c>
      <c r="E831" t="s">
        <v>1016</v>
      </c>
      <c r="F831" t="s">
        <v>2554</v>
      </c>
      <c r="G831" t="s">
        <v>4211</v>
      </c>
      <c r="H831" t="s">
        <v>5591</v>
      </c>
      <c r="I831" t="s">
        <v>6043</v>
      </c>
      <c r="J831">
        <v>11208</v>
      </c>
      <c r="K831" t="s">
        <v>6074</v>
      </c>
      <c r="L831" t="s">
        <v>6074</v>
      </c>
      <c r="M831" t="s">
        <v>6489</v>
      </c>
      <c r="N831" t="s">
        <v>7274</v>
      </c>
      <c r="O831" t="s">
        <v>7306</v>
      </c>
      <c r="P831" t="s">
        <v>7314</v>
      </c>
      <c r="Q831" t="s">
        <v>7322</v>
      </c>
      <c r="S831" t="s">
        <v>7324</v>
      </c>
      <c r="U831" t="s">
        <v>249</v>
      </c>
      <c r="V831">
        <v>750</v>
      </c>
      <c r="W831" t="s">
        <v>7362</v>
      </c>
      <c r="X831" t="s">
        <v>7366</v>
      </c>
      <c r="Y831" t="s">
        <v>7386</v>
      </c>
      <c r="Z831" t="s">
        <v>8056</v>
      </c>
      <c r="AB831" t="s">
        <v>10854</v>
      </c>
      <c r="AC831">
        <v>2</v>
      </c>
      <c r="AE831" t="s">
        <v>12434</v>
      </c>
      <c r="AF831">
        <v>11</v>
      </c>
      <c r="AG831">
        <v>2</v>
      </c>
      <c r="AH831">
        <v>0</v>
      </c>
      <c r="AI831">
        <v>56.87</v>
      </c>
      <c r="AL831" t="s">
        <v>12460</v>
      </c>
      <c r="AM831">
        <v>9360</v>
      </c>
      <c r="AS831">
        <v>2.5</v>
      </c>
      <c r="AT831" t="s">
        <v>259</v>
      </c>
      <c r="AU831" t="s">
        <v>13082</v>
      </c>
    </row>
    <row r="832" spans="1:48">
      <c r="A832" s="1">
        <f>HYPERLINK("https://cms.ls-nyc.org/matter/dynamic-profile/view/1898897","19-1898897")</f>
        <v>0</v>
      </c>
      <c r="B832" t="s">
        <v>76</v>
      </c>
      <c r="C832" t="s">
        <v>294</v>
      </c>
      <c r="E832" t="s">
        <v>1101</v>
      </c>
      <c r="F832" t="s">
        <v>1954</v>
      </c>
      <c r="G832" t="s">
        <v>4212</v>
      </c>
      <c r="H832" t="s">
        <v>5592</v>
      </c>
      <c r="I832" t="s">
        <v>6043</v>
      </c>
      <c r="J832">
        <v>11233</v>
      </c>
      <c r="K832" t="s">
        <v>6074</v>
      </c>
      <c r="L832" t="s">
        <v>6074</v>
      </c>
      <c r="M832" t="s">
        <v>6490</v>
      </c>
      <c r="N832" t="s">
        <v>7276</v>
      </c>
      <c r="O832" t="s">
        <v>7310</v>
      </c>
      <c r="Q832" t="s">
        <v>7322</v>
      </c>
      <c r="S832" t="s">
        <v>7324</v>
      </c>
      <c r="U832" t="s">
        <v>505</v>
      </c>
      <c r="V832">
        <v>850</v>
      </c>
      <c r="W832" t="s">
        <v>7362</v>
      </c>
      <c r="X832" t="s">
        <v>7366</v>
      </c>
      <c r="Z832" t="s">
        <v>8057</v>
      </c>
      <c r="AA832" t="s">
        <v>10048</v>
      </c>
      <c r="AC832">
        <v>0</v>
      </c>
      <c r="AF832">
        <v>0</v>
      </c>
      <c r="AG832">
        <v>1</v>
      </c>
      <c r="AH832">
        <v>3</v>
      </c>
      <c r="AI832">
        <v>57.18</v>
      </c>
      <c r="AL832" t="s">
        <v>12460</v>
      </c>
      <c r="AM832">
        <v>14724</v>
      </c>
      <c r="AS832">
        <v>1.3</v>
      </c>
      <c r="AT832" t="s">
        <v>423</v>
      </c>
      <c r="AU832" t="s">
        <v>13085</v>
      </c>
      <c r="AV832" t="s">
        <v>13145</v>
      </c>
    </row>
    <row r="833" spans="1:48">
      <c r="A833" s="1">
        <f>HYPERLINK("https://cms.ls-nyc.org/matter/dynamic-profile/view/1886471","18-1886471")</f>
        <v>0</v>
      </c>
      <c r="B833" t="s">
        <v>101</v>
      </c>
      <c r="C833" t="s">
        <v>300</v>
      </c>
      <c r="E833" t="s">
        <v>1102</v>
      </c>
      <c r="F833" t="s">
        <v>2555</v>
      </c>
      <c r="G833" t="s">
        <v>4213</v>
      </c>
      <c r="H833" t="s">
        <v>5593</v>
      </c>
      <c r="I833" t="s">
        <v>6047</v>
      </c>
      <c r="J833">
        <v>10459</v>
      </c>
      <c r="K833" t="s">
        <v>6074</v>
      </c>
      <c r="L833" t="s">
        <v>6074</v>
      </c>
      <c r="M833" t="s">
        <v>6491</v>
      </c>
      <c r="N833" t="s">
        <v>7276</v>
      </c>
      <c r="O833" t="s">
        <v>7307</v>
      </c>
      <c r="Q833" t="s">
        <v>7322</v>
      </c>
      <c r="S833" t="s">
        <v>7324</v>
      </c>
      <c r="U833" t="s">
        <v>410</v>
      </c>
      <c r="V833">
        <v>1750</v>
      </c>
      <c r="W833" t="s">
        <v>7363</v>
      </c>
      <c r="X833" t="s">
        <v>7305</v>
      </c>
      <c r="Z833" t="s">
        <v>8058</v>
      </c>
      <c r="AA833" t="s">
        <v>10049</v>
      </c>
      <c r="AB833" t="s">
        <v>10855</v>
      </c>
      <c r="AC833">
        <v>9</v>
      </c>
      <c r="AD833" t="s">
        <v>12422</v>
      </c>
      <c r="AE833" t="s">
        <v>6110</v>
      </c>
      <c r="AF833">
        <v>4</v>
      </c>
      <c r="AG833">
        <v>3</v>
      </c>
      <c r="AH833">
        <v>2</v>
      </c>
      <c r="AI833">
        <v>57.27</v>
      </c>
      <c r="AL833" t="s">
        <v>12461</v>
      </c>
      <c r="AM833">
        <v>16848</v>
      </c>
      <c r="AN833" t="s">
        <v>12565</v>
      </c>
      <c r="AS833">
        <v>1.5</v>
      </c>
      <c r="AT833" t="s">
        <v>410</v>
      </c>
      <c r="AU833" t="s">
        <v>13088</v>
      </c>
    </row>
    <row r="834" spans="1:48">
      <c r="A834" s="1">
        <f>HYPERLINK("https://cms.ls-nyc.org/matter/dynamic-profile/view/1889077","19-1889077")</f>
        <v>0</v>
      </c>
      <c r="B834" t="s">
        <v>125</v>
      </c>
      <c r="C834" t="s">
        <v>379</v>
      </c>
      <c r="D834" t="s">
        <v>420</v>
      </c>
      <c r="E834" t="s">
        <v>1091</v>
      </c>
      <c r="F834" t="s">
        <v>2556</v>
      </c>
      <c r="G834" t="s">
        <v>4214</v>
      </c>
      <c r="H834">
        <v>32</v>
      </c>
      <c r="I834" t="s">
        <v>6049</v>
      </c>
      <c r="J834">
        <v>10033</v>
      </c>
      <c r="K834" t="s">
        <v>6074</v>
      </c>
      <c r="L834" t="s">
        <v>6074</v>
      </c>
      <c r="M834" t="s">
        <v>6492</v>
      </c>
      <c r="N834" t="s">
        <v>7276</v>
      </c>
      <c r="O834" t="s">
        <v>7306</v>
      </c>
      <c r="P834" t="s">
        <v>7314</v>
      </c>
      <c r="Q834" t="s">
        <v>7322</v>
      </c>
      <c r="R834" t="s">
        <v>6076</v>
      </c>
      <c r="S834" t="s">
        <v>7324</v>
      </c>
      <c r="U834" t="s">
        <v>379</v>
      </c>
      <c r="V834">
        <v>1486.14</v>
      </c>
      <c r="W834" t="s">
        <v>7365</v>
      </c>
      <c r="X834" t="s">
        <v>7367</v>
      </c>
      <c r="Y834" t="s">
        <v>7386</v>
      </c>
      <c r="Z834" t="s">
        <v>8059</v>
      </c>
      <c r="AB834" t="s">
        <v>10856</v>
      </c>
      <c r="AC834">
        <v>30</v>
      </c>
      <c r="AD834" t="s">
        <v>12422</v>
      </c>
      <c r="AE834" t="s">
        <v>6110</v>
      </c>
      <c r="AF834">
        <v>2</v>
      </c>
      <c r="AG834">
        <v>1</v>
      </c>
      <c r="AH834">
        <v>1</v>
      </c>
      <c r="AI834">
        <v>57.34</v>
      </c>
      <c r="AL834" t="s">
        <v>12461</v>
      </c>
      <c r="AM834">
        <v>9696</v>
      </c>
      <c r="AS834">
        <v>4.5</v>
      </c>
      <c r="AT834" t="s">
        <v>366</v>
      </c>
      <c r="AU834" t="s">
        <v>13106</v>
      </c>
    </row>
    <row r="835" spans="1:48">
      <c r="A835" s="1">
        <f>HYPERLINK("https://cms.ls-nyc.org/matter/dynamic-profile/view/1872431","18-1872431")</f>
        <v>0</v>
      </c>
      <c r="B835" t="s">
        <v>132</v>
      </c>
      <c r="C835" t="s">
        <v>376</v>
      </c>
      <c r="D835" t="s">
        <v>312</v>
      </c>
      <c r="E835" t="s">
        <v>689</v>
      </c>
      <c r="F835" t="s">
        <v>2557</v>
      </c>
      <c r="G835" t="s">
        <v>4215</v>
      </c>
      <c r="I835" t="s">
        <v>6043</v>
      </c>
      <c r="J835">
        <v>11214</v>
      </c>
      <c r="K835" t="s">
        <v>6074</v>
      </c>
      <c r="L835" t="s">
        <v>6074</v>
      </c>
      <c r="N835" t="s">
        <v>7278</v>
      </c>
      <c r="O835" t="s">
        <v>7307</v>
      </c>
      <c r="P835" t="s">
        <v>7314</v>
      </c>
      <c r="Q835" t="s">
        <v>7322</v>
      </c>
      <c r="R835" t="s">
        <v>6076</v>
      </c>
      <c r="S835" t="s">
        <v>7324</v>
      </c>
      <c r="U835" t="s">
        <v>376</v>
      </c>
      <c r="V835">
        <v>0</v>
      </c>
      <c r="W835" t="s">
        <v>7365</v>
      </c>
      <c r="X835" t="s">
        <v>7375</v>
      </c>
      <c r="Y835" t="s">
        <v>7386</v>
      </c>
      <c r="Z835" t="s">
        <v>8060</v>
      </c>
      <c r="AB835" t="s">
        <v>10857</v>
      </c>
      <c r="AC835">
        <v>3</v>
      </c>
      <c r="AD835" t="s">
        <v>12422</v>
      </c>
      <c r="AE835" t="s">
        <v>6110</v>
      </c>
      <c r="AF835">
        <v>6</v>
      </c>
      <c r="AG835">
        <v>3</v>
      </c>
      <c r="AH835">
        <v>1</v>
      </c>
      <c r="AI835">
        <v>57.37</v>
      </c>
      <c r="AL835" t="s">
        <v>12460</v>
      </c>
      <c r="AM835">
        <v>14400</v>
      </c>
      <c r="AS835">
        <v>0.3</v>
      </c>
      <c r="AT835" t="s">
        <v>312</v>
      </c>
      <c r="AU835" t="s">
        <v>13106</v>
      </c>
    </row>
    <row r="836" spans="1:48">
      <c r="A836" s="1">
        <f>HYPERLINK("https://cms.ls-nyc.org/matter/dynamic-profile/view/1875194","18-1875194")</f>
        <v>0</v>
      </c>
      <c r="B836" t="s">
        <v>94</v>
      </c>
      <c r="C836" t="s">
        <v>427</v>
      </c>
      <c r="E836" t="s">
        <v>791</v>
      </c>
      <c r="F836" t="s">
        <v>2558</v>
      </c>
      <c r="G836" t="s">
        <v>4216</v>
      </c>
      <c r="H836" t="s">
        <v>5431</v>
      </c>
      <c r="I836" t="s">
        <v>6059</v>
      </c>
      <c r="J836">
        <v>11426</v>
      </c>
      <c r="K836" t="s">
        <v>6074</v>
      </c>
      <c r="L836" t="s">
        <v>6074</v>
      </c>
      <c r="M836" t="s">
        <v>6493</v>
      </c>
      <c r="N836" t="s">
        <v>7274</v>
      </c>
      <c r="O836" t="s">
        <v>7308</v>
      </c>
      <c r="Q836" t="s">
        <v>7322</v>
      </c>
      <c r="R836" t="s">
        <v>6076</v>
      </c>
      <c r="S836" t="s">
        <v>7324</v>
      </c>
      <c r="T836" t="s">
        <v>7336</v>
      </c>
      <c r="U836" t="s">
        <v>427</v>
      </c>
      <c r="V836">
        <v>850</v>
      </c>
      <c r="W836" t="s">
        <v>7361</v>
      </c>
      <c r="X836" t="s">
        <v>7366</v>
      </c>
      <c r="Z836" t="s">
        <v>8061</v>
      </c>
      <c r="AA836" t="s">
        <v>10050</v>
      </c>
      <c r="AB836" t="s">
        <v>10858</v>
      </c>
      <c r="AC836">
        <v>3</v>
      </c>
      <c r="AD836" t="s">
        <v>12419</v>
      </c>
      <c r="AE836" t="s">
        <v>6110</v>
      </c>
      <c r="AF836">
        <v>8</v>
      </c>
      <c r="AG836">
        <v>1</v>
      </c>
      <c r="AH836">
        <v>0</v>
      </c>
      <c r="AI836">
        <v>57.53</v>
      </c>
      <c r="AL836" t="s">
        <v>12460</v>
      </c>
      <c r="AM836">
        <v>6984</v>
      </c>
      <c r="AO836" t="s">
        <v>12847</v>
      </c>
      <c r="AP836" t="s">
        <v>12858</v>
      </c>
      <c r="AQ836" t="s">
        <v>12909</v>
      </c>
      <c r="AR836" t="s">
        <v>12983</v>
      </c>
      <c r="AS836">
        <v>1.2</v>
      </c>
      <c r="AT836" t="s">
        <v>372</v>
      </c>
      <c r="AU836" t="s">
        <v>189</v>
      </c>
    </row>
    <row r="837" spans="1:48">
      <c r="A837" s="1">
        <f>HYPERLINK("https://cms.ls-nyc.org/matter/dynamic-profile/view/1895881","19-1895881")</f>
        <v>0</v>
      </c>
      <c r="B837" t="s">
        <v>52</v>
      </c>
      <c r="C837" t="s">
        <v>270</v>
      </c>
      <c r="D837" t="s">
        <v>317</v>
      </c>
      <c r="E837" t="s">
        <v>1103</v>
      </c>
      <c r="F837" t="s">
        <v>2559</v>
      </c>
      <c r="G837" t="s">
        <v>4217</v>
      </c>
      <c r="H837" t="s">
        <v>5431</v>
      </c>
      <c r="I837" t="s">
        <v>6026</v>
      </c>
      <c r="J837">
        <v>11435</v>
      </c>
      <c r="K837" t="s">
        <v>6074</v>
      </c>
      <c r="L837" t="s">
        <v>6074</v>
      </c>
      <c r="M837" t="s">
        <v>6494</v>
      </c>
      <c r="N837" t="s">
        <v>7276</v>
      </c>
      <c r="O837" t="s">
        <v>7307</v>
      </c>
      <c r="P837" t="s">
        <v>7315</v>
      </c>
      <c r="Q837" t="s">
        <v>7322</v>
      </c>
      <c r="R837" t="s">
        <v>6076</v>
      </c>
      <c r="S837" t="s">
        <v>7324</v>
      </c>
      <c r="T837" t="s">
        <v>7336</v>
      </c>
      <c r="U837" t="s">
        <v>270</v>
      </c>
      <c r="V837">
        <v>600</v>
      </c>
      <c r="W837" t="s">
        <v>7361</v>
      </c>
      <c r="X837" t="s">
        <v>7366</v>
      </c>
      <c r="Y837" t="s">
        <v>7390</v>
      </c>
      <c r="Z837" t="s">
        <v>8062</v>
      </c>
      <c r="AA837" t="s">
        <v>9856</v>
      </c>
      <c r="AB837" t="s">
        <v>10859</v>
      </c>
      <c r="AC837">
        <v>3</v>
      </c>
      <c r="AD837" t="s">
        <v>12419</v>
      </c>
      <c r="AE837" t="s">
        <v>6110</v>
      </c>
      <c r="AF837">
        <v>11</v>
      </c>
      <c r="AG837">
        <v>1</v>
      </c>
      <c r="AH837">
        <v>0</v>
      </c>
      <c r="AI837">
        <v>57.65</v>
      </c>
      <c r="AL837" t="s">
        <v>12460</v>
      </c>
      <c r="AM837">
        <v>7200</v>
      </c>
      <c r="AP837" t="s">
        <v>7305</v>
      </c>
      <c r="AQ837" t="s">
        <v>12910</v>
      </c>
      <c r="AR837" t="s">
        <v>12943</v>
      </c>
      <c r="AS837">
        <v>3.35</v>
      </c>
      <c r="AT837" t="s">
        <v>279</v>
      </c>
      <c r="AU837" t="s">
        <v>189</v>
      </c>
      <c r="AV837" t="s">
        <v>13145</v>
      </c>
    </row>
    <row r="838" spans="1:48">
      <c r="A838" s="1">
        <f>HYPERLINK("https://cms.ls-nyc.org/matter/dynamic-profile/view/1895324","19-1895324")</f>
        <v>0</v>
      </c>
      <c r="B838" t="s">
        <v>148</v>
      </c>
      <c r="C838" t="s">
        <v>247</v>
      </c>
      <c r="E838" t="s">
        <v>1104</v>
      </c>
      <c r="F838" t="s">
        <v>2560</v>
      </c>
      <c r="G838" t="s">
        <v>3871</v>
      </c>
      <c r="H838" t="s">
        <v>5373</v>
      </c>
      <c r="I838" t="s">
        <v>6043</v>
      </c>
      <c r="J838">
        <v>11213</v>
      </c>
      <c r="K838" t="s">
        <v>6074</v>
      </c>
      <c r="L838" t="s">
        <v>6074</v>
      </c>
      <c r="N838" t="s">
        <v>7287</v>
      </c>
      <c r="O838" t="s">
        <v>7312</v>
      </c>
      <c r="Q838" t="s">
        <v>7322</v>
      </c>
      <c r="R838" t="s">
        <v>6074</v>
      </c>
      <c r="S838" t="s">
        <v>7329</v>
      </c>
      <c r="U838" t="s">
        <v>247</v>
      </c>
      <c r="V838">
        <v>1229.5</v>
      </c>
      <c r="W838" t="s">
        <v>7362</v>
      </c>
      <c r="X838" t="s">
        <v>7381</v>
      </c>
      <c r="Z838" t="s">
        <v>8063</v>
      </c>
      <c r="AB838" t="s">
        <v>10860</v>
      </c>
      <c r="AC838">
        <v>19</v>
      </c>
      <c r="AD838" t="s">
        <v>12422</v>
      </c>
      <c r="AE838" t="s">
        <v>12434</v>
      </c>
      <c r="AF838">
        <v>25</v>
      </c>
      <c r="AG838">
        <v>1</v>
      </c>
      <c r="AH838">
        <v>0</v>
      </c>
      <c r="AI838">
        <v>57.65</v>
      </c>
      <c r="AL838" t="s">
        <v>12460</v>
      </c>
      <c r="AM838">
        <v>7200</v>
      </c>
      <c r="AS838">
        <v>0</v>
      </c>
      <c r="AU838" t="s">
        <v>180</v>
      </c>
    </row>
    <row r="839" spans="1:48">
      <c r="A839" s="1">
        <f>HYPERLINK("https://cms.ls-nyc.org/matter/dynamic-profile/view/1887202","19-1887202")</f>
        <v>0</v>
      </c>
      <c r="B839" t="s">
        <v>75</v>
      </c>
      <c r="C839" t="s">
        <v>452</v>
      </c>
      <c r="E839" t="s">
        <v>1105</v>
      </c>
      <c r="F839" t="s">
        <v>2561</v>
      </c>
      <c r="G839" t="s">
        <v>3732</v>
      </c>
      <c r="H839" t="s">
        <v>5490</v>
      </c>
      <c r="I839" t="s">
        <v>6043</v>
      </c>
      <c r="J839">
        <v>11221</v>
      </c>
      <c r="K839" t="s">
        <v>6074</v>
      </c>
      <c r="L839" t="s">
        <v>6074</v>
      </c>
      <c r="M839" t="s">
        <v>6495</v>
      </c>
      <c r="N839" t="s">
        <v>7274</v>
      </c>
      <c r="O839" t="s">
        <v>7308</v>
      </c>
      <c r="Q839" t="s">
        <v>7322</v>
      </c>
      <c r="S839" t="s">
        <v>7324</v>
      </c>
      <c r="U839" t="s">
        <v>396</v>
      </c>
      <c r="V839">
        <v>0</v>
      </c>
      <c r="W839" t="s">
        <v>7362</v>
      </c>
      <c r="X839" t="s">
        <v>7368</v>
      </c>
      <c r="Z839" t="s">
        <v>7517</v>
      </c>
      <c r="AC839">
        <v>7</v>
      </c>
      <c r="AD839" t="s">
        <v>12422</v>
      </c>
      <c r="AF839">
        <v>0</v>
      </c>
      <c r="AG839">
        <v>1</v>
      </c>
      <c r="AH839">
        <v>0</v>
      </c>
      <c r="AI839">
        <v>57.66</v>
      </c>
      <c r="AL839" t="s">
        <v>12460</v>
      </c>
      <c r="AM839">
        <v>6999.96</v>
      </c>
      <c r="AO839" t="s">
        <v>12847</v>
      </c>
      <c r="AP839" t="s">
        <v>12858</v>
      </c>
      <c r="AQ839" t="s">
        <v>12909</v>
      </c>
      <c r="AR839" t="s">
        <v>12984</v>
      </c>
      <c r="AS839">
        <v>2</v>
      </c>
      <c r="AT839" t="s">
        <v>422</v>
      </c>
      <c r="AU839" t="s">
        <v>88</v>
      </c>
    </row>
    <row r="840" spans="1:48">
      <c r="A840" s="1">
        <f>HYPERLINK("https://cms.ls-nyc.org/matter/dynamic-profile/view/1880701","18-1880701")</f>
        <v>0</v>
      </c>
      <c r="B840" t="s">
        <v>87</v>
      </c>
      <c r="C840" t="s">
        <v>256</v>
      </c>
      <c r="E840" t="s">
        <v>1105</v>
      </c>
      <c r="F840" t="s">
        <v>2561</v>
      </c>
      <c r="G840" t="s">
        <v>3732</v>
      </c>
      <c r="H840" t="s">
        <v>5490</v>
      </c>
      <c r="I840" t="s">
        <v>6043</v>
      </c>
      <c r="J840">
        <v>11221</v>
      </c>
      <c r="K840" t="s">
        <v>6074</v>
      </c>
      <c r="L840" t="s">
        <v>6074</v>
      </c>
      <c r="M840" t="s">
        <v>6146</v>
      </c>
      <c r="N840" t="s">
        <v>7273</v>
      </c>
      <c r="O840" t="s">
        <v>7308</v>
      </c>
      <c r="Q840" t="s">
        <v>7322</v>
      </c>
      <c r="S840" t="s">
        <v>7324</v>
      </c>
      <c r="U840" t="s">
        <v>256</v>
      </c>
      <c r="V840">
        <v>640</v>
      </c>
      <c r="W840" t="s">
        <v>7362</v>
      </c>
      <c r="Z840" t="s">
        <v>7517</v>
      </c>
      <c r="AC840">
        <v>7</v>
      </c>
      <c r="AE840" t="s">
        <v>6110</v>
      </c>
      <c r="AF840">
        <v>18</v>
      </c>
      <c r="AG840">
        <v>1</v>
      </c>
      <c r="AH840">
        <v>0</v>
      </c>
      <c r="AI840">
        <v>57.66</v>
      </c>
      <c r="AL840" t="s">
        <v>12460</v>
      </c>
      <c r="AM840">
        <v>7000</v>
      </c>
      <c r="AS840">
        <v>12.95</v>
      </c>
      <c r="AT840" t="s">
        <v>272</v>
      </c>
      <c r="AU840" t="s">
        <v>13083</v>
      </c>
    </row>
    <row r="841" spans="1:48">
      <c r="A841" s="1">
        <f>HYPERLINK("https://cms.ls-nyc.org/matter/dynamic-profile/view/1887819","19-1887819")</f>
        <v>0</v>
      </c>
      <c r="B841" t="s">
        <v>171</v>
      </c>
      <c r="C841" t="s">
        <v>310</v>
      </c>
      <c r="D841" t="s">
        <v>424</v>
      </c>
      <c r="E841" t="s">
        <v>828</v>
      </c>
      <c r="F841" t="s">
        <v>2128</v>
      </c>
      <c r="G841" t="s">
        <v>4218</v>
      </c>
      <c r="H841" t="s">
        <v>5436</v>
      </c>
      <c r="I841" t="s">
        <v>6043</v>
      </c>
      <c r="J841">
        <v>11207</v>
      </c>
      <c r="K841" t="s">
        <v>6074</v>
      </c>
      <c r="L841" t="s">
        <v>6074</v>
      </c>
      <c r="M841" t="s">
        <v>6104</v>
      </c>
      <c r="N841" t="s">
        <v>7275</v>
      </c>
      <c r="O841" t="s">
        <v>7307</v>
      </c>
      <c r="P841" t="s">
        <v>7315</v>
      </c>
      <c r="Q841" t="s">
        <v>7322</v>
      </c>
      <c r="R841" t="s">
        <v>6076</v>
      </c>
      <c r="S841" t="s">
        <v>7324</v>
      </c>
      <c r="T841" t="s">
        <v>7336</v>
      </c>
      <c r="U841" t="s">
        <v>340</v>
      </c>
      <c r="V841">
        <v>1211</v>
      </c>
      <c r="W841" t="s">
        <v>7362</v>
      </c>
      <c r="Y841" t="s">
        <v>7386</v>
      </c>
      <c r="Z841" t="s">
        <v>8064</v>
      </c>
      <c r="AA841" t="s">
        <v>9871</v>
      </c>
      <c r="AB841" t="s">
        <v>10861</v>
      </c>
      <c r="AC841">
        <v>0</v>
      </c>
      <c r="AE841" t="s">
        <v>12440</v>
      </c>
      <c r="AF841">
        <v>11</v>
      </c>
      <c r="AG841">
        <v>2</v>
      </c>
      <c r="AH841">
        <v>0</v>
      </c>
      <c r="AI841">
        <v>57.67</v>
      </c>
      <c r="AL841" t="s">
        <v>12460</v>
      </c>
      <c r="AM841">
        <v>9492</v>
      </c>
      <c r="AS841">
        <v>32.15</v>
      </c>
      <c r="AT841" t="s">
        <v>280</v>
      </c>
      <c r="AU841" t="s">
        <v>218</v>
      </c>
    </row>
    <row r="842" spans="1:48">
      <c r="A842" s="1">
        <f>HYPERLINK("https://cms.ls-nyc.org/matter/dynamic-profile/view/1889053","19-1889053")</f>
        <v>0</v>
      </c>
      <c r="B842" t="s">
        <v>83</v>
      </c>
      <c r="C842" t="s">
        <v>379</v>
      </c>
      <c r="E842" t="s">
        <v>1106</v>
      </c>
      <c r="F842" t="s">
        <v>2562</v>
      </c>
      <c r="G842" t="s">
        <v>4219</v>
      </c>
      <c r="H842">
        <v>10</v>
      </c>
      <c r="I842" t="s">
        <v>6043</v>
      </c>
      <c r="J842">
        <v>11225</v>
      </c>
      <c r="K842" t="s">
        <v>6074</v>
      </c>
      <c r="L842" t="s">
        <v>6074</v>
      </c>
      <c r="M842" t="s">
        <v>6496</v>
      </c>
      <c r="N842" t="s">
        <v>7273</v>
      </c>
      <c r="O842" t="s">
        <v>7308</v>
      </c>
      <c r="Q842" t="s">
        <v>7322</v>
      </c>
      <c r="R842" t="s">
        <v>6076</v>
      </c>
      <c r="S842" t="s">
        <v>7324</v>
      </c>
      <c r="T842" t="s">
        <v>7336</v>
      </c>
      <c r="U842" t="s">
        <v>306</v>
      </c>
      <c r="V842">
        <v>1519.6</v>
      </c>
      <c r="W842" t="s">
        <v>7362</v>
      </c>
      <c r="Z842" t="s">
        <v>8065</v>
      </c>
      <c r="AC842">
        <v>12</v>
      </c>
      <c r="AD842" t="s">
        <v>12422</v>
      </c>
      <c r="AE842" t="s">
        <v>12434</v>
      </c>
      <c r="AF842">
        <v>17</v>
      </c>
      <c r="AG842">
        <v>2</v>
      </c>
      <c r="AH842">
        <v>0</v>
      </c>
      <c r="AI842">
        <v>57.69</v>
      </c>
      <c r="AL842" t="s">
        <v>12461</v>
      </c>
      <c r="AM842">
        <v>9756</v>
      </c>
      <c r="AS842">
        <v>43.6</v>
      </c>
      <c r="AT842" t="s">
        <v>460</v>
      </c>
      <c r="AU842" t="s">
        <v>88</v>
      </c>
    </row>
    <row r="843" spans="1:48">
      <c r="A843" s="1">
        <f>HYPERLINK("https://cms.ls-nyc.org/matter/dynamic-profile/view/1893248","19-1893248")</f>
        <v>0</v>
      </c>
      <c r="B843" t="s">
        <v>83</v>
      </c>
      <c r="C843" t="s">
        <v>293</v>
      </c>
      <c r="E843" t="s">
        <v>1106</v>
      </c>
      <c r="F843" t="s">
        <v>2562</v>
      </c>
      <c r="G843" t="s">
        <v>4219</v>
      </c>
      <c r="H843">
        <v>10</v>
      </c>
      <c r="I843" t="s">
        <v>6043</v>
      </c>
      <c r="J843">
        <v>11225</v>
      </c>
      <c r="K843" t="s">
        <v>6074</v>
      </c>
      <c r="L843" t="s">
        <v>6074</v>
      </c>
      <c r="O843" t="s">
        <v>7309</v>
      </c>
      <c r="Q843" t="s">
        <v>7322</v>
      </c>
      <c r="R843" t="s">
        <v>6076</v>
      </c>
      <c r="S843" t="s">
        <v>7324</v>
      </c>
      <c r="U843" t="s">
        <v>332</v>
      </c>
      <c r="V843">
        <v>0</v>
      </c>
      <c r="W843" t="s">
        <v>7362</v>
      </c>
      <c r="Z843" t="s">
        <v>8065</v>
      </c>
      <c r="AC843">
        <v>0</v>
      </c>
      <c r="AF843">
        <v>0</v>
      </c>
      <c r="AG843">
        <v>2</v>
      </c>
      <c r="AH843">
        <v>0</v>
      </c>
      <c r="AI843">
        <v>57.69</v>
      </c>
      <c r="AL843" t="s">
        <v>12461</v>
      </c>
      <c r="AM843">
        <v>9756</v>
      </c>
      <c r="AS843">
        <v>1.1</v>
      </c>
      <c r="AT843" t="s">
        <v>322</v>
      </c>
      <c r="AU843" t="s">
        <v>88</v>
      </c>
    </row>
    <row r="844" spans="1:48">
      <c r="A844" s="1">
        <f>HYPERLINK("https://cms.ls-nyc.org/matter/dynamic-profile/view/1879591","18-1879591")</f>
        <v>0</v>
      </c>
      <c r="B844" t="s">
        <v>48</v>
      </c>
      <c r="C844" t="s">
        <v>239</v>
      </c>
      <c r="D844" t="s">
        <v>483</v>
      </c>
      <c r="E844" t="s">
        <v>949</v>
      </c>
      <c r="F844" t="s">
        <v>2563</v>
      </c>
      <c r="G844" t="s">
        <v>4220</v>
      </c>
      <c r="H844" t="s">
        <v>5360</v>
      </c>
      <c r="I844" t="s">
        <v>6055</v>
      </c>
      <c r="J844">
        <v>11412</v>
      </c>
      <c r="K844" t="s">
        <v>6074</v>
      </c>
      <c r="L844" t="s">
        <v>6074</v>
      </c>
      <c r="M844" t="s">
        <v>6497</v>
      </c>
      <c r="N844" t="s">
        <v>7273</v>
      </c>
      <c r="O844" t="s">
        <v>7306</v>
      </c>
      <c r="P844" t="s">
        <v>7314</v>
      </c>
      <c r="Q844" t="s">
        <v>7322</v>
      </c>
      <c r="R844" t="s">
        <v>6076</v>
      </c>
      <c r="S844" t="s">
        <v>7324</v>
      </c>
      <c r="T844" t="s">
        <v>7336</v>
      </c>
      <c r="U844" t="s">
        <v>299</v>
      </c>
      <c r="V844">
        <v>800</v>
      </c>
      <c r="W844" t="s">
        <v>7361</v>
      </c>
      <c r="X844" t="s">
        <v>7366</v>
      </c>
      <c r="Y844" t="s">
        <v>7386</v>
      </c>
      <c r="Z844" t="s">
        <v>8066</v>
      </c>
      <c r="AB844" t="s">
        <v>10862</v>
      </c>
      <c r="AC844">
        <v>2</v>
      </c>
      <c r="AD844" t="s">
        <v>12419</v>
      </c>
      <c r="AE844" t="s">
        <v>6110</v>
      </c>
      <c r="AF844">
        <v>1</v>
      </c>
      <c r="AG844">
        <v>1</v>
      </c>
      <c r="AH844">
        <v>2</v>
      </c>
      <c r="AI844">
        <v>57.75</v>
      </c>
      <c r="AL844" t="s">
        <v>12460</v>
      </c>
      <c r="AM844">
        <v>12000</v>
      </c>
      <c r="AS844">
        <v>0.2</v>
      </c>
      <c r="AT844" t="s">
        <v>483</v>
      </c>
      <c r="AU844" t="s">
        <v>48</v>
      </c>
    </row>
    <row r="845" spans="1:48">
      <c r="A845" s="1">
        <f>HYPERLINK("https://cms.ls-nyc.org/matter/dynamic-profile/view/1876456","18-1876456")</f>
        <v>0</v>
      </c>
      <c r="B845" t="s">
        <v>96</v>
      </c>
      <c r="C845" t="s">
        <v>336</v>
      </c>
      <c r="E845" t="s">
        <v>1107</v>
      </c>
      <c r="F845" t="s">
        <v>2059</v>
      </c>
      <c r="G845" t="s">
        <v>4152</v>
      </c>
      <c r="H845" t="s">
        <v>5564</v>
      </c>
      <c r="I845" t="s">
        <v>6047</v>
      </c>
      <c r="J845">
        <v>10456</v>
      </c>
      <c r="K845" t="s">
        <v>6074</v>
      </c>
      <c r="L845" t="s">
        <v>6074</v>
      </c>
      <c r="M845" t="s">
        <v>6446</v>
      </c>
      <c r="N845" t="s">
        <v>7279</v>
      </c>
      <c r="O845" t="s">
        <v>7311</v>
      </c>
      <c r="Q845" t="s">
        <v>7322</v>
      </c>
      <c r="R845" t="s">
        <v>6074</v>
      </c>
      <c r="S845" t="s">
        <v>7324</v>
      </c>
      <c r="U845" t="s">
        <v>502</v>
      </c>
      <c r="V845">
        <v>1290</v>
      </c>
      <c r="W845" t="s">
        <v>7363</v>
      </c>
      <c r="X845" t="s">
        <v>7376</v>
      </c>
      <c r="Z845" t="s">
        <v>8067</v>
      </c>
      <c r="AB845" t="s">
        <v>10863</v>
      </c>
      <c r="AC845">
        <v>61</v>
      </c>
      <c r="AD845" t="s">
        <v>12422</v>
      </c>
      <c r="AE845" t="s">
        <v>12434</v>
      </c>
      <c r="AF845">
        <v>21</v>
      </c>
      <c r="AG845">
        <v>1</v>
      </c>
      <c r="AH845">
        <v>1</v>
      </c>
      <c r="AI845">
        <v>57.81</v>
      </c>
      <c r="AL845" t="s">
        <v>12461</v>
      </c>
      <c r="AM845">
        <v>9516</v>
      </c>
      <c r="AS845">
        <v>0</v>
      </c>
      <c r="AU845" t="s">
        <v>13095</v>
      </c>
    </row>
    <row r="846" spans="1:48">
      <c r="A846" s="1">
        <f>HYPERLINK("https://cms.ls-nyc.org/matter/dynamic-profile/view/1880595","18-1880595")</f>
        <v>0</v>
      </c>
      <c r="B846" t="s">
        <v>96</v>
      </c>
      <c r="C846" t="s">
        <v>360</v>
      </c>
      <c r="E846" t="s">
        <v>1107</v>
      </c>
      <c r="F846" t="s">
        <v>2059</v>
      </c>
      <c r="G846" t="s">
        <v>4152</v>
      </c>
      <c r="H846" t="s">
        <v>5564</v>
      </c>
      <c r="I846" t="s">
        <v>6047</v>
      </c>
      <c r="J846">
        <v>10456</v>
      </c>
      <c r="K846" t="s">
        <v>6074</v>
      </c>
      <c r="L846" t="s">
        <v>6074</v>
      </c>
      <c r="M846" t="s">
        <v>6498</v>
      </c>
      <c r="N846" t="s">
        <v>7279</v>
      </c>
      <c r="O846" t="s">
        <v>7311</v>
      </c>
      <c r="Q846" t="s">
        <v>7322</v>
      </c>
      <c r="R846" t="s">
        <v>6074</v>
      </c>
      <c r="S846" t="s">
        <v>7324</v>
      </c>
      <c r="U846" t="s">
        <v>424</v>
      </c>
      <c r="V846">
        <v>1290</v>
      </c>
      <c r="W846" t="s">
        <v>7363</v>
      </c>
      <c r="X846" t="s">
        <v>7376</v>
      </c>
      <c r="Z846" t="s">
        <v>8067</v>
      </c>
      <c r="AB846" t="s">
        <v>10863</v>
      </c>
      <c r="AC846">
        <v>61</v>
      </c>
      <c r="AD846" t="s">
        <v>12422</v>
      </c>
      <c r="AE846" t="s">
        <v>12434</v>
      </c>
      <c r="AF846">
        <v>21</v>
      </c>
      <c r="AG846">
        <v>1</v>
      </c>
      <c r="AH846">
        <v>1</v>
      </c>
      <c r="AI846">
        <v>57.81</v>
      </c>
      <c r="AL846" t="s">
        <v>12461</v>
      </c>
      <c r="AM846">
        <v>9516</v>
      </c>
      <c r="AS846">
        <v>0</v>
      </c>
      <c r="AU846" t="s">
        <v>13092</v>
      </c>
    </row>
    <row r="847" spans="1:48">
      <c r="A847" s="1">
        <f>HYPERLINK("https://cms.ls-nyc.org/matter/dynamic-profile/view/1882287","18-1882287")</f>
        <v>0</v>
      </c>
      <c r="B847" t="s">
        <v>103</v>
      </c>
      <c r="C847" t="s">
        <v>409</v>
      </c>
      <c r="E847" t="s">
        <v>618</v>
      </c>
      <c r="F847" t="s">
        <v>2564</v>
      </c>
      <c r="G847" t="s">
        <v>3810</v>
      </c>
      <c r="H847" t="s">
        <v>5594</v>
      </c>
      <c r="I847" t="s">
        <v>6047</v>
      </c>
      <c r="J847">
        <v>10451</v>
      </c>
      <c r="K847" t="s">
        <v>6074</v>
      </c>
      <c r="L847" t="s">
        <v>6074</v>
      </c>
      <c r="M847" t="s">
        <v>6201</v>
      </c>
      <c r="N847" t="s">
        <v>7273</v>
      </c>
      <c r="O847" t="s">
        <v>7308</v>
      </c>
      <c r="Q847" t="s">
        <v>7322</v>
      </c>
      <c r="R847" t="s">
        <v>6074</v>
      </c>
      <c r="S847" t="s">
        <v>7324</v>
      </c>
      <c r="U847" t="s">
        <v>472</v>
      </c>
      <c r="V847">
        <v>1205</v>
      </c>
      <c r="W847" t="s">
        <v>7363</v>
      </c>
      <c r="X847" t="s">
        <v>7376</v>
      </c>
      <c r="Z847" t="s">
        <v>8068</v>
      </c>
      <c r="AB847" t="s">
        <v>10864</v>
      </c>
      <c r="AC847">
        <v>100</v>
      </c>
      <c r="AD847" t="s">
        <v>12422</v>
      </c>
      <c r="AE847" t="s">
        <v>12434</v>
      </c>
      <c r="AF847">
        <v>46</v>
      </c>
      <c r="AG847">
        <v>2</v>
      </c>
      <c r="AH847">
        <v>0</v>
      </c>
      <c r="AI847">
        <v>57.81</v>
      </c>
      <c r="AL847" t="s">
        <v>12461</v>
      </c>
      <c r="AM847">
        <v>9516</v>
      </c>
      <c r="AS847">
        <v>0</v>
      </c>
      <c r="AU847" t="s">
        <v>13095</v>
      </c>
    </row>
    <row r="848" spans="1:48">
      <c r="A848" s="1">
        <f>HYPERLINK("https://cms.ls-nyc.org/matter/dynamic-profile/view/1891713","19-1891713")</f>
        <v>0</v>
      </c>
      <c r="B848" t="s">
        <v>72</v>
      </c>
      <c r="C848" t="s">
        <v>364</v>
      </c>
      <c r="E848" t="s">
        <v>783</v>
      </c>
      <c r="F848" t="s">
        <v>2257</v>
      </c>
      <c r="G848" t="s">
        <v>3700</v>
      </c>
      <c r="H848" t="s">
        <v>5468</v>
      </c>
      <c r="I848" t="s">
        <v>6043</v>
      </c>
      <c r="J848">
        <v>11233</v>
      </c>
      <c r="K848" t="s">
        <v>6074</v>
      </c>
      <c r="L848" t="s">
        <v>6074</v>
      </c>
      <c r="M848" t="s">
        <v>6101</v>
      </c>
      <c r="N848" t="s">
        <v>7275</v>
      </c>
      <c r="O848" t="s">
        <v>7307</v>
      </c>
      <c r="Q848" t="s">
        <v>7322</v>
      </c>
      <c r="R848" t="s">
        <v>6074</v>
      </c>
      <c r="S848" t="s">
        <v>7324</v>
      </c>
      <c r="T848" t="s">
        <v>7336</v>
      </c>
      <c r="U848" t="s">
        <v>287</v>
      </c>
      <c r="V848">
        <v>1036</v>
      </c>
      <c r="W848" t="s">
        <v>7362</v>
      </c>
      <c r="Z848" t="s">
        <v>7640</v>
      </c>
      <c r="AB848" t="s">
        <v>10471</v>
      </c>
      <c r="AC848">
        <v>359</v>
      </c>
      <c r="AD848" t="s">
        <v>12422</v>
      </c>
      <c r="AE848" t="s">
        <v>12434</v>
      </c>
      <c r="AF848">
        <v>13</v>
      </c>
      <c r="AG848">
        <v>2</v>
      </c>
      <c r="AH848">
        <v>4</v>
      </c>
      <c r="AI848">
        <v>57.82</v>
      </c>
      <c r="AL848" t="s">
        <v>12460</v>
      </c>
      <c r="AM848">
        <v>20000</v>
      </c>
      <c r="AN848" t="s">
        <v>12566</v>
      </c>
      <c r="AS848">
        <v>0</v>
      </c>
      <c r="AU848" t="s">
        <v>218</v>
      </c>
    </row>
    <row r="849" spans="1:48">
      <c r="A849" s="1">
        <f>HYPERLINK("https://cms.ls-nyc.org/matter/dynamic-profile/view/1898722","19-1898722")</f>
        <v>0</v>
      </c>
      <c r="B849" t="s">
        <v>54</v>
      </c>
      <c r="C849" t="s">
        <v>309</v>
      </c>
      <c r="E849" t="s">
        <v>586</v>
      </c>
      <c r="F849" t="s">
        <v>2076</v>
      </c>
      <c r="G849" t="s">
        <v>4221</v>
      </c>
      <c r="H849" t="s">
        <v>5402</v>
      </c>
      <c r="I849" t="s">
        <v>6037</v>
      </c>
      <c r="J849">
        <v>11372</v>
      </c>
      <c r="K849" t="s">
        <v>6074</v>
      </c>
      <c r="L849" t="s">
        <v>6074</v>
      </c>
      <c r="M849" t="s">
        <v>6499</v>
      </c>
      <c r="N849" t="s">
        <v>7276</v>
      </c>
      <c r="O849" t="s">
        <v>7308</v>
      </c>
      <c r="Q849" t="s">
        <v>7322</v>
      </c>
      <c r="R849" t="s">
        <v>6076</v>
      </c>
      <c r="S849" t="s">
        <v>7324</v>
      </c>
      <c r="U849" t="s">
        <v>309</v>
      </c>
      <c r="V849">
        <v>1010.12</v>
      </c>
      <c r="W849" t="s">
        <v>7361</v>
      </c>
      <c r="X849" t="s">
        <v>7366</v>
      </c>
      <c r="Z849" t="s">
        <v>8069</v>
      </c>
      <c r="AB849" t="s">
        <v>10865</v>
      </c>
      <c r="AC849">
        <v>0</v>
      </c>
      <c r="AD849" t="s">
        <v>6322</v>
      </c>
      <c r="AE849" t="s">
        <v>6110</v>
      </c>
      <c r="AF849">
        <v>25</v>
      </c>
      <c r="AG849">
        <v>3</v>
      </c>
      <c r="AH849">
        <v>0</v>
      </c>
      <c r="AI849">
        <v>57.83</v>
      </c>
      <c r="AL849" t="s">
        <v>12461</v>
      </c>
      <c r="AM849">
        <v>12336</v>
      </c>
      <c r="AS849">
        <v>3.75</v>
      </c>
      <c r="AT849" t="s">
        <v>382</v>
      </c>
      <c r="AU849" t="s">
        <v>189</v>
      </c>
    </row>
    <row r="850" spans="1:48">
      <c r="A850" s="1">
        <f>HYPERLINK("https://cms.ls-nyc.org/matter/dynamic-profile/view/1894868","19-1894868")</f>
        <v>0</v>
      </c>
      <c r="B850" t="s">
        <v>128</v>
      </c>
      <c r="C850" t="s">
        <v>457</v>
      </c>
      <c r="E850" t="s">
        <v>1108</v>
      </c>
      <c r="F850" t="s">
        <v>2565</v>
      </c>
      <c r="G850" t="s">
        <v>3934</v>
      </c>
      <c r="H850">
        <v>51</v>
      </c>
      <c r="I850" t="s">
        <v>6049</v>
      </c>
      <c r="J850">
        <v>10034</v>
      </c>
      <c r="K850" t="s">
        <v>6074</v>
      </c>
      <c r="L850" t="s">
        <v>6074</v>
      </c>
      <c r="M850" t="s">
        <v>6500</v>
      </c>
      <c r="N850" t="s">
        <v>7273</v>
      </c>
      <c r="O850" t="s">
        <v>7308</v>
      </c>
      <c r="Q850" t="s">
        <v>7322</v>
      </c>
      <c r="R850" t="s">
        <v>6074</v>
      </c>
      <c r="S850" t="s">
        <v>7324</v>
      </c>
      <c r="U850" t="s">
        <v>457</v>
      </c>
      <c r="V850">
        <v>1023</v>
      </c>
      <c r="W850" t="s">
        <v>7365</v>
      </c>
      <c r="X850" t="s">
        <v>7367</v>
      </c>
      <c r="Z850" t="s">
        <v>8070</v>
      </c>
      <c r="AB850" t="s">
        <v>10866</v>
      </c>
      <c r="AC850">
        <v>25</v>
      </c>
      <c r="AD850" t="s">
        <v>12422</v>
      </c>
      <c r="AE850" t="s">
        <v>6110</v>
      </c>
      <c r="AF850">
        <v>38</v>
      </c>
      <c r="AG850">
        <v>4</v>
      </c>
      <c r="AH850">
        <v>1</v>
      </c>
      <c r="AI850">
        <v>58.11</v>
      </c>
      <c r="AM850">
        <v>17532</v>
      </c>
      <c r="AS850">
        <v>0.8</v>
      </c>
      <c r="AT850" t="s">
        <v>457</v>
      </c>
      <c r="AU850" t="s">
        <v>13119</v>
      </c>
      <c r="AV850" t="s">
        <v>13145</v>
      </c>
    </row>
    <row r="851" spans="1:48">
      <c r="A851" s="1">
        <f>HYPERLINK("https://cms.ls-nyc.org/matter/dynamic-profile/view/1898093","19-1898093")</f>
        <v>0</v>
      </c>
      <c r="B851" t="s">
        <v>66</v>
      </c>
      <c r="C851" t="s">
        <v>362</v>
      </c>
      <c r="E851" t="s">
        <v>954</v>
      </c>
      <c r="F851" t="s">
        <v>2403</v>
      </c>
      <c r="G851" t="s">
        <v>4045</v>
      </c>
      <c r="H851" t="s">
        <v>5357</v>
      </c>
      <c r="I851" t="s">
        <v>6041</v>
      </c>
      <c r="J851">
        <v>11365</v>
      </c>
      <c r="K851" t="s">
        <v>6074</v>
      </c>
      <c r="L851" t="s">
        <v>6074</v>
      </c>
      <c r="N851" t="s">
        <v>7298</v>
      </c>
      <c r="O851" t="s">
        <v>7309</v>
      </c>
      <c r="Q851" t="s">
        <v>7323</v>
      </c>
      <c r="R851" t="s">
        <v>6076</v>
      </c>
      <c r="S851" t="s">
        <v>7330</v>
      </c>
      <c r="T851" t="s">
        <v>7336</v>
      </c>
      <c r="U851" t="s">
        <v>362</v>
      </c>
      <c r="V851">
        <v>532</v>
      </c>
      <c r="W851" t="s">
        <v>7361</v>
      </c>
      <c r="X851" t="s">
        <v>7367</v>
      </c>
      <c r="Z851" t="s">
        <v>7843</v>
      </c>
      <c r="AA851" t="s">
        <v>10051</v>
      </c>
      <c r="AB851" t="s">
        <v>10657</v>
      </c>
      <c r="AC851">
        <v>701</v>
      </c>
      <c r="AD851" t="s">
        <v>12427</v>
      </c>
      <c r="AF851">
        <v>13</v>
      </c>
      <c r="AG851">
        <v>1</v>
      </c>
      <c r="AH851">
        <v>2</v>
      </c>
      <c r="AI851">
        <v>58.17</v>
      </c>
      <c r="AJ851" t="s">
        <v>12443</v>
      </c>
      <c r="AL851" t="s">
        <v>12460</v>
      </c>
      <c r="AM851">
        <v>12408</v>
      </c>
      <c r="AS851">
        <v>7.8</v>
      </c>
      <c r="AT851" t="s">
        <v>324</v>
      </c>
      <c r="AU851" t="s">
        <v>66</v>
      </c>
    </row>
    <row r="852" spans="1:48">
      <c r="A852" s="1">
        <f>HYPERLINK("https://cms.ls-nyc.org/matter/dynamic-profile/view/1891985","19-1891985")</f>
        <v>0</v>
      </c>
      <c r="B852" t="s">
        <v>92</v>
      </c>
      <c r="C852" t="s">
        <v>329</v>
      </c>
      <c r="D852" t="s">
        <v>264</v>
      </c>
      <c r="E852" t="s">
        <v>961</v>
      </c>
      <c r="F852" t="s">
        <v>2356</v>
      </c>
      <c r="G852" t="s">
        <v>3748</v>
      </c>
      <c r="H852">
        <v>1</v>
      </c>
      <c r="I852" t="s">
        <v>6043</v>
      </c>
      <c r="J852">
        <v>11208</v>
      </c>
      <c r="K852" t="s">
        <v>6074</v>
      </c>
      <c r="L852" t="s">
        <v>6074</v>
      </c>
      <c r="M852" t="s">
        <v>6158</v>
      </c>
      <c r="N852" t="s">
        <v>7273</v>
      </c>
      <c r="O852" t="s">
        <v>7308</v>
      </c>
      <c r="P852" t="s">
        <v>7316</v>
      </c>
      <c r="Q852" t="s">
        <v>7322</v>
      </c>
      <c r="R852" t="s">
        <v>6074</v>
      </c>
      <c r="S852" t="s">
        <v>7324</v>
      </c>
      <c r="T852" t="s">
        <v>7336</v>
      </c>
      <c r="U852" t="s">
        <v>502</v>
      </c>
      <c r="V852">
        <v>450</v>
      </c>
      <c r="W852" t="s">
        <v>7362</v>
      </c>
      <c r="Y852" t="s">
        <v>7386</v>
      </c>
      <c r="Z852" t="s">
        <v>8071</v>
      </c>
      <c r="AC852">
        <v>7</v>
      </c>
      <c r="AD852" t="s">
        <v>6322</v>
      </c>
      <c r="AE852" t="s">
        <v>6110</v>
      </c>
      <c r="AF852">
        <v>5</v>
      </c>
      <c r="AG852">
        <v>2</v>
      </c>
      <c r="AH852">
        <v>0</v>
      </c>
      <c r="AI852">
        <v>58.19</v>
      </c>
      <c r="AL852" t="s">
        <v>12461</v>
      </c>
      <c r="AM852">
        <v>9840</v>
      </c>
      <c r="AN852" t="s">
        <v>12567</v>
      </c>
      <c r="AP852" t="s">
        <v>12864</v>
      </c>
      <c r="AS852">
        <v>0.1</v>
      </c>
      <c r="AT852" t="s">
        <v>264</v>
      </c>
      <c r="AU852" t="s">
        <v>218</v>
      </c>
    </row>
    <row r="853" spans="1:48">
      <c r="A853" s="1">
        <f>HYPERLINK("https://cms.ls-nyc.org/matter/dynamic-profile/view/1889304","19-1889304")</f>
        <v>0</v>
      </c>
      <c r="B853" t="s">
        <v>92</v>
      </c>
      <c r="C853" t="s">
        <v>261</v>
      </c>
      <c r="D853" t="s">
        <v>264</v>
      </c>
      <c r="E853" t="s">
        <v>961</v>
      </c>
      <c r="F853" t="s">
        <v>2356</v>
      </c>
      <c r="G853" t="s">
        <v>3748</v>
      </c>
      <c r="H853">
        <v>1</v>
      </c>
      <c r="I853" t="s">
        <v>6043</v>
      </c>
      <c r="J853">
        <v>11208</v>
      </c>
      <c r="K853" t="s">
        <v>6074</v>
      </c>
      <c r="L853" t="s">
        <v>6074</v>
      </c>
      <c r="M853" t="s">
        <v>6110</v>
      </c>
      <c r="N853" t="s">
        <v>7275</v>
      </c>
      <c r="O853" t="s">
        <v>7307</v>
      </c>
      <c r="P853" t="s">
        <v>7315</v>
      </c>
      <c r="Q853" t="s">
        <v>7322</v>
      </c>
      <c r="R853" t="s">
        <v>6074</v>
      </c>
      <c r="S853" t="s">
        <v>7324</v>
      </c>
      <c r="T853" t="s">
        <v>7336</v>
      </c>
      <c r="U853" t="s">
        <v>250</v>
      </c>
      <c r="V853">
        <v>450</v>
      </c>
      <c r="W853" t="s">
        <v>7362</v>
      </c>
      <c r="Y853" t="s">
        <v>7387</v>
      </c>
      <c r="Z853" t="s">
        <v>8071</v>
      </c>
      <c r="AC853">
        <v>7</v>
      </c>
      <c r="AD853" t="s">
        <v>12419</v>
      </c>
      <c r="AE853" t="s">
        <v>6110</v>
      </c>
      <c r="AF853">
        <v>5</v>
      </c>
      <c r="AG853">
        <v>2</v>
      </c>
      <c r="AH853">
        <v>0</v>
      </c>
      <c r="AI853">
        <v>58.19</v>
      </c>
      <c r="AL853" t="s">
        <v>12461</v>
      </c>
      <c r="AM853">
        <v>9840</v>
      </c>
      <c r="AS853">
        <v>0.1</v>
      </c>
      <c r="AT853" t="s">
        <v>420</v>
      </c>
      <c r="AU853" t="s">
        <v>180</v>
      </c>
    </row>
    <row r="854" spans="1:48">
      <c r="A854" s="1">
        <f>HYPERLINK("https://cms.ls-nyc.org/matter/dynamic-profile/view/1887762","19-1887762")</f>
        <v>0</v>
      </c>
      <c r="B854" t="s">
        <v>179</v>
      </c>
      <c r="C854" t="s">
        <v>310</v>
      </c>
      <c r="E854" t="s">
        <v>1109</v>
      </c>
      <c r="F854" t="s">
        <v>2566</v>
      </c>
      <c r="G854" t="s">
        <v>3922</v>
      </c>
      <c r="H854" t="s">
        <v>5357</v>
      </c>
      <c r="I854" t="s">
        <v>6043</v>
      </c>
      <c r="J854">
        <v>11208</v>
      </c>
      <c r="K854" t="s">
        <v>6074</v>
      </c>
      <c r="L854" t="s">
        <v>6076</v>
      </c>
      <c r="M854" t="s">
        <v>6501</v>
      </c>
      <c r="N854" t="s">
        <v>7276</v>
      </c>
      <c r="O854" t="s">
        <v>7308</v>
      </c>
      <c r="Q854" t="s">
        <v>7322</v>
      </c>
      <c r="R854" t="s">
        <v>6076</v>
      </c>
      <c r="S854" t="s">
        <v>7324</v>
      </c>
      <c r="U854" t="s">
        <v>289</v>
      </c>
      <c r="V854">
        <v>984.01</v>
      </c>
      <c r="W854" t="s">
        <v>7362</v>
      </c>
      <c r="Z854" t="s">
        <v>8072</v>
      </c>
      <c r="AA854" t="s">
        <v>10052</v>
      </c>
      <c r="AB854" t="s">
        <v>10867</v>
      </c>
      <c r="AC854">
        <v>0</v>
      </c>
      <c r="AE854" t="s">
        <v>12435</v>
      </c>
      <c r="AF854">
        <v>0</v>
      </c>
      <c r="AG854">
        <v>1</v>
      </c>
      <c r="AH854">
        <v>1</v>
      </c>
      <c r="AI854">
        <v>58.32</v>
      </c>
      <c r="AL854" t="s">
        <v>12460</v>
      </c>
      <c r="AM854">
        <v>9600</v>
      </c>
      <c r="AS854">
        <v>4</v>
      </c>
      <c r="AT854" t="s">
        <v>460</v>
      </c>
      <c r="AU854" t="s">
        <v>179</v>
      </c>
    </row>
    <row r="855" spans="1:48">
      <c r="A855" s="1">
        <f>HYPERLINK("https://cms.ls-nyc.org/matter/dynamic-profile/view/1871914","18-1871914")</f>
        <v>0</v>
      </c>
      <c r="B855" t="s">
        <v>101</v>
      </c>
      <c r="C855" t="s">
        <v>388</v>
      </c>
      <c r="E855" t="s">
        <v>966</v>
      </c>
      <c r="F855" t="s">
        <v>2567</v>
      </c>
      <c r="G855" t="s">
        <v>4222</v>
      </c>
      <c r="H855" t="s">
        <v>5489</v>
      </c>
      <c r="I855" t="s">
        <v>6047</v>
      </c>
      <c r="J855">
        <v>10459</v>
      </c>
      <c r="K855" t="s">
        <v>6074</v>
      </c>
      <c r="L855" t="s">
        <v>6074</v>
      </c>
      <c r="M855" t="s">
        <v>6502</v>
      </c>
      <c r="N855" t="s">
        <v>7274</v>
      </c>
      <c r="O855" t="s">
        <v>7308</v>
      </c>
      <c r="Q855" t="s">
        <v>7322</v>
      </c>
      <c r="R855" t="s">
        <v>6076</v>
      </c>
      <c r="S855" t="s">
        <v>7324</v>
      </c>
      <c r="T855" t="s">
        <v>7336</v>
      </c>
      <c r="U855" t="s">
        <v>447</v>
      </c>
      <c r="V855">
        <v>1451</v>
      </c>
      <c r="W855" t="s">
        <v>7363</v>
      </c>
      <c r="X855" t="s">
        <v>7377</v>
      </c>
      <c r="Z855" t="s">
        <v>8073</v>
      </c>
      <c r="AA855" t="s">
        <v>10053</v>
      </c>
      <c r="AB855" t="s">
        <v>10868</v>
      </c>
      <c r="AC855">
        <v>39</v>
      </c>
      <c r="AD855" t="s">
        <v>12421</v>
      </c>
      <c r="AE855" t="s">
        <v>12439</v>
      </c>
      <c r="AF855">
        <v>14</v>
      </c>
      <c r="AG855">
        <v>2</v>
      </c>
      <c r="AH855">
        <v>0</v>
      </c>
      <c r="AI855">
        <v>58.32</v>
      </c>
      <c r="AL855" t="s">
        <v>12461</v>
      </c>
      <c r="AM855">
        <v>9600</v>
      </c>
      <c r="AS855">
        <v>35.4</v>
      </c>
      <c r="AT855" t="s">
        <v>267</v>
      </c>
      <c r="AU855" t="s">
        <v>13095</v>
      </c>
    </row>
    <row r="856" spans="1:48">
      <c r="A856" s="1">
        <f>HYPERLINK("https://cms.ls-nyc.org/matter/dynamic-profile/view/1883970","18-1883970")</f>
        <v>0</v>
      </c>
      <c r="B856" t="s">
        <v>104</v>
      </c>
      <c r="C856" t="s">
        <v>412</v>
      </c>
      <c r="E856" t="s">
        <v>710</v>
      </c>
      <c r="F856" t="s">
        <v>1315</v>
      </c>
      <c r="G856" t="s">
        <v>4223</v>
      </c>
      <c r="H856" t="s">
        <v>5387</v>
      </c>
      <c r="I856" t="s">
        <v>6047</v>
      </c>
      <c r="J856">
        <v>10453</v>
      </c>
      <c r="K856" t="s">
        <v>6074</v>
      </c>
      <c r="L856" t="s">
        <v>6074</v>
      </c>
      <c r="M856" t="s">
        <v>6503</v>
      </c>
      <c r="N856" t="s">
        <v>7276</v>
      </c>
      <c r="O856" t="s">
        <v>7306</v>
      </c>
      <c r="Q856" t="s">
        <v>7322</v>
      </c>
      <c r="S856" t="s">
        <v>7324</v>
      </c>
      <c r="T856" t="s">
        <v>7339</v>
      </c>
      <c r="U856" t="s">
        <v>269</v>
      </c>
      <c r="V856">
        <v>833.1</v>
      </c>
      <c r="W856" t="s">
        <v>7363</v>
      </c>
      <c r="X856" t="s">
        <v>7368</v>
      </c>
      <c r="Z856" t="s">
        <v>8074</v>
      </c>
      <c r="AB856" t="s">
        <v>10869</v>
      </c>
      <c r="AC856">
        <v>30</v>
      </c>
      <c r="AD856" t="s">
        <v>12425</v>
      </c>
      <c r="AE856" t="s">
        <v>12441</v>
      </c>
      <c r="AF856">
        <v>7</v>
      </c>
      <c r="AG856">
        <v>2</v>
      </c>
      <c r="AH856">
        <v>0</v>
      </c>
      <c r="AI856">
        <v>58.32</v>
      </c>
      <c r="AL856" t="s">
        <v>12460</v>
      </c>
      <c r="AM856">
        <v>9600</v>
      </c>
      <c r="AN856" t="s">
        <v>12568</v>
      </c>
      <c r="AS856">
        <v>1.6</v>
      </c>
      <c r="AT856" t="s">
        <v>302</v>
      </c>
      <c r="AU856" t="s">
        <v>13081</v>
      </c>
    </row>
    <row r="857" spans="1:48">
      <c r="A857" s="1">
        <f>HYPERLINK("https://cms.ls-nyc.org/matter/dynamic-profile/view/1888033","19-1888033")</f>
        <v>0</v>
      </c>
      <c r="B857" t="s">
        <v>125</v>
      </c>
      <c r="C857" t="s">
        <v>466</v>
      </c>
      <c r="E857" t="s">
        <v>1110</v>
      </c>
      <c r="F857" t="s">
        <v>2568</v>
      </c>
      <c r="G857" t="s">
        <v>4174</v>
      </c>
      <c r="H857" t="s">
        <v>5418</v>
      </c>
      <c r="I857" t="s">
        <v>6049</v>
      </c>
      <c r="J857">
        <v>10032</v>
      </c>
      <c r="K857" t="s">
        <v>6074</v>
      </c>
      <c r="L857" t="s">
        <v>6074</v>
      </c>
      <c r="O857" t="s">
        <v>7308</v>
      </c>
      <c r="Q857" t="s">
        <v>7322</v>
      </c>
      <c r="R857" t="s">
        <v>6074</v>
      </c>
      <c r="S857" t="s">
        <v>7324</v>
      </c>
      <c r="U857" t="s">
        <v>466</v>
      </c>
      <c r="V857">
        <v>982.2</v>
      </c>
      <c r="W857" t="s">
        <v>7365</v>
      </c>
      <c r="X857" t="s">
        <v>7367</v>
      </c>
      <c r="Z857" t="s">
        <v>8075</v>
      </c>
      <c r="AB857" t="s">
        <v>10870</v>
      </c>
      <c r="AC857">
        <v>42</v>
      </c>
      <c r="AD857" t="s">
        <v>12422</v>
      </c>
      <c r="AE857" t="s">
        <v>12434</v>
      </c>
      <c r="AF857">
        <v>37</v>
      </c>
      <c r="AG857">
        <v>2</v>
      </c>
      <c r="AH857">
        <v>0</v>
      </c>
      <c r="AI857">
        <v>58.32</v>
      </c>
      <c r="AL857" t="s">
        <v>12461</v>
      </c>
      <c r="AM857">
        <v>9600</v>
      </c>
      <c r="AS857">
        <v>0</v>
      </c>
      <c r="AU857" t="s">
        <v>13106</v>
      </c>
    </row>
    <row r="858" spans="1:48">
      <c r="A858" s="1">
        <f>HYPERLINK("https://cms.ls-nyc.org/matter/dynamic-profile/view/1897127","19-1897127")</f>
        <v>0</v>
      </c>
      <c r="B858" t="s">
        <v>118</v>
      </c>
      <c r="C858" t="s">
        <v>279</v>
      </c>
      <c r="E858" t="s">
        <v>638</v>
      </c>
      <c r="F858" t="s">
        <v>2569</v>
      </c>
      <c r="G858" t="s">
        <v>4081</v>
      </c>
      <c r="H858" t="s">
        <v>5418</v>
      </c>
      <c r="I858" t="s">
        <v>6048</v>
      </c>
      <c r="J858">
        <v>10304</v>
      </c>
      <c r="K858" t="s">
        <v>6074</v>
      </c>
      <c r="L858" t="s">
        <v>6075</v>
      </c>
      <c r="M858" t="s">
        <v>6504</v>
      </c>
      <c r="N858" t="s">
        <v>7274</v>
      </c>
      <c r="O858" t="s">
        <v>7308</v>
      </c>
      <c r="Q858" t="s">
        <v>7322</v>
      </c>
      <c r="R858" t="s">
        <v>6076</v>
      </c>
      <c r="S858" t="s">
        <v>7331</v>
      </c>
      <c r="T858" t="s">
        <v>7336</v>
      </c>
      <c r="U858" t="s">
        <v>418</v>
      </c>
      <c r="V858">
        <v>232</v>
      </c>
      <c r="W858" t="s">
        <v>7364</v>
      </c>
      <c r="X858" t="s">
        <v>7368</v>
      </c>
      <c r="Z858" t="s">
        <v>8076</v>
      </c>
      <c r="AB858" t="s">
        <v>9856</v>
      </c>
      <c r="AC858">
        <v>150</v>
      </c>
      <c r="AD858" t="s">
        <v>12420</v>
      </c>
      <c r="AE858" t="s">
        <v>12434</v>
      </c>
      <c r="AF858">
        <v>1</v>
      </c>
      <c r="AG858">
        <v>1</v>
      </c>
      <c r="AH858">
        <v>1</v>
      </c>
      <c r="AI858">
        <v>58.47</v>
      </c>
      <c r="AL858" t="s">
        <v>12460</v>
      </c>
      <c r="AM858">
        <v>9888</v>
      </c>
      <c r="AS858">
        <v>9.4</v>
      </c>
      <c r="AT858" t="s">
        <v>496</v>
      </c>
      <c r="AU858" t="s">
        <v>13101</v>
      </c>
      <c r="AV858" t="s">
        <v>13145</v>
      </c>
    </row>
    <row r="859" spans="1:48">
      <c r="A859" s="1">
        <f>HYPERLINK("https://cms.ls-nyc.org/matter/dynamic-profile/view/1891471","19-1891471")</f>
        <v>0</v>
      </c>
      <c r="B859" t="s">
        <v>109</v>
      </c>
      <c r="C859" t="s">
        <v>278</v>
      </c>
      <c r="D859" t="s">
        <v>235</v>
      </c>
      <c r="E859" t="s">
        <v>1111</v>
      </c>
      <c r="F859" t="s">
        <v>2570</v>
      </c>
      <c r="G859" t="s">
        <v>4224</v>
      </c>
      <c r="H859" t="s">
        <v>5393</v>
      </c>
      <c r="I859" t="s">
        <v>6047</v>
      </c>
      <c r="J859">
        <v>10468</v>
      </c>
      <c r="K859" t="s">
        <v>6074</v>
      </c>
      <c r="L859" t="s">
        <v>6074</v>
      </c>
      <c r="N859" t="s">
        <v>7276</v>
      </c>
      <c r="O859" t="s">
        <v>7306</v>
      </c>
      <c r="P859" t="s">
        <v>7314</v>
      </c>
      <c r="Q859" t="s">
        <v>7322</v>
      </c>
      <c r="R859" t="s">
        <v>6076</v>
      </c>
      <c r="S859" t="s">
        <v>7324</v>
      </c>
      <c r="T859" t="s">
        <v>7336</v>
      </c>
      <c r="U859" t="s">
        <v>278</v>
      </c>
      <c r="V859">
        <v>1183.65</v>
      </c>
      <c r="W859" t="s">
        <v>7363</v>
      </c>
      <c r="X859" t="s">
        <v>7376</v>
      </c>
      <c r="Y859" t="s">
        <v>7386</v>
      </c>
      <c r="Z859" t="s">
        <v>8077</v>
      </c>
      <c r="AB859" t="s">
        <v>10871</v>
      </c>
      <c r="AC859">
        <v>55</v>
      </c>
      <c r="AD859" t="s">
        <v>6322</v>
      </c>
      <c r="AE859" t="s">
        <v>6110</v>
      </c>
      <c r="AF859">
        <v>7</v>
      </c>
      <c r="AG859">
        <v>1</v>
      </c>
      <c r="AH859">
        <v>2</v>
      </c>
      <c r="AI859">
        <v>58.51</v>
      </c>
      <c r="AL859" t="s">
        <v>12460</v>
      </c>
      <c r="AM859">
        <v>12480</v>
      </c>
      <c r="AS859">
        <v>1.5</v>
      </c>
      <c r="AT859" t="s">
        <v>364</v>
      </c>
      <c r="AU859" t="s">
        <v>13092</v>
      </c>
    </row>
    <row r="860" spans="1:48">
      <c r="A860" s="1">
        <f>HYPERLINK("https://cms.ls-nyc.org/matter/dynamic-profile/view/1890002","19-1890002")</f>
        <v>0</v>
      </c>
      <c r="B860" t="s">
        <v>96</v>
      </c>
      <c r="C860" t="s">
        <v>351</v>
      </c>
      <c r="E860" t="s">
        <v>1112</v>
      </c>
      <c r="F860" t="s">
        <v>2571</v>
      </c>
      <c r="G860" t="s">
        <v>3792</v>
      </c>
      <c r="H860" t="s">
        <v>5514</v>
      </c>
      <c r="I860" t="s">
        <v>6047</v>
      </c>
      <c r="J860">
        <v>10453</v>
      </c>
      <c r="K860" t="s">
        <v>6074</v>
      </c>
      <c r="L860" t="s">
        <v>6074</v>
      </c>
      <c r="N860" t="s">
        <v>7279</v>
      </c>
      <c r="O860" t="s">
        <v>7311</v>
      </c>
      <c r="Q860" t="s">
        <v>7322</v>
      </c>
      <c r="R860" t="s">
        <v>6074</v>
      </c>
      <c r="S860" t="s">
        <v>7324</v>
      </c>
      <c r="U860" t="s">
        <v>457</v>
      </c>
      <c r="V860">
        <v>1172</v>
      </c>
      <c r="W860" t="s">
        <v>7363</v>
      </c>
      <c r="X860" t="s">
        <v>7376</v>
      </c>
      <c r="Z860" t="s">
        <v>8078</v>
      </c>
      <c r="AB860" t="s">
        <v>10872</v>
      </c>
      <c r="AC860">
        <v>167</v>
      </c>
      <c r="AD860" t="s">
        <v>12422</v>
      </c>
      <c r="AE860" t="s">
        <v>12435</v>
      </c>
      <c r="AF860">
        <v>16</v>
      </c>
      <c r="AG860">
        <v>1</v>
      </c>
      <c r="AH860">
        <v>3</v>
      </c>
      <c r="AI860">
        <v>58.56</v>
      </c>
      <c r="AL860" t="s">
        <v>12461</v>
      </c>
      <c r="AM860">
        <v>15080</v>
      </c>
      <c r="AS860">
        <v>0</v>
      </c>
      <c r="AU860" t="s">
        <v>13092</v>
      </c>
    </row>
    <row r="861" spans="1:48">
      <c r="A861" s="1">
        <f>HYPERLINK("https://cms.ls-nyc.org/matter/dynamic-profile/view/1889998","19-1889998")</f>
        <v>0</v>
      </c>
      <c r="B861" t="s">
        <v>96</v>
      </c>
      <c r="C861" t="s">
        <v>351</v>
      </c>
      <c r="E861" t="s">
        <v>1112</v>
      </c>
      <c r="F861" t="s">
        <v>2571</v>
      </c>
      <c r="G861" t="s">
        <v>3792</v>
      </c>
      <c r="H861" t="s">
        <v>5514</v>
      </c>
      <c r="I861" t="s">
        <v>6047</v>
      </c>
      <c r="J861">
        <v>10453</v>
      </c>
      <c r="K861" t="s">
        <v>6074</v>
      </c>
      <c r="L861" t="s">
        <v>6074</v>
      </c>
      <c r="M861" t="s">
        <v>6259</v>
      </c>
      <c r="N861" t="s">
        <v>7273</v>
      </c>
      <c r="O861" t="s">
        <v>7308</v>
      </c>
      <c r="Q861" t="s">
        <v>7322</v>
      </c>
      <c r="R861" t="s">
        <v>6074</v>
      </c>
      <c r="S861" t="s">
        <v>7324</v>
      </c>
      <c r="U861" t="s">
        <v>457</v>
      </c>
      <c r="V861">
        <v>1172</v>
      </c>
      <c r="W861" t="s">
        <v>7363</v>
      </c>
      <c r="X861" t="s">
        <v>7376</v>
      </c>
      <c r="Z861" t="s">
        <v>8078</v>
      </c>
      <c r="AB861" t="s">
        <v>10872</v>
      </c>
      <c r="AC861">
        <v>167</v>
      </c>
      <c r="AD861" t="s">
        <v>12422</v>
      </c>
      <c r="AE861" t="s">
        <v>12438</v>
      </c>
      <c r="AF861">
        <v>15</v>
      </c>
      <c r="AG861">
        <v>1</v>
      </c>
      <c r="AH861">
        <v>3</v>
      </c>
      <c r="AI861">
        <v>58.56</v>
      </c>
      <c r="AL861" t="s">
        <v>12461</v>
      </c>
      <c r="AM861">
        <v>15080</v>
      </c>
      <c r="AS861">
        <v>0</v>
      </c>
      <c r="AU861" t="s">
        <v>13092</v>
      </c>
    </row>
    <row r="862" spans="1:48">
      <c r="A862" s="1">
        <f>HYPERLINK("https://cms.ls-nyc.org/matter/dynamic-profile/view/1880333","18-1880333")</f>
        <v>0</v>
      </c>
      <c r="B862" t="s">
        <v>153</v>
      </c>
      <c r="C862" t="s">
        <v>354</v>
      </c>
      <c r="E862" t="s">
        <v>1113</v>
      </c>
      <c r="F862" t="s">
        <v>2528</v>
      </c>
      <c r="G862" t="s">
        <v>4225</v>
      </c>
      <c r="H862" t="s">
        <v>5364</v>
      </c>
      <c r="I862" t="s">
        <v>6047</v>
      </c>
      <c r="J862">
        <v>10454</v>
      </c>
      <c r="K862" t="s">
        <v>6074</v>
      </c>
      <c r="L862" t="s">
        <v>6074</v>
      </c>
      <c r="N862" t="s">
        <v>7288</v>
      </c>
      <c r="O862" t="s">
        <v>7309</v>
      </c>
      <c r="Q862" t="s">
        <v>7322</v>
      </c>
      <c r="R862" t="s">
        <v>6076</v>
      </c>
      <c r="S862" t="s">
        <v>7331</v>
      </c>
      <c r="T862" t="s">
        <v>7338</v>
      </c>
      <c r="U862" t="s">
        <v>354</v>
      </c>
      <c r="V862">
        <v>1900</v>
      </c>
      <c r="W862" t="s">
        <v>7363</v>
      </c>
      <c r="X862" t="s">
        <v>7368</v>
      </c>
      <c r="Z862" t="s">
        <v>8079</v>
      </c>
      <c r="AA862">
        <v>35493636</v>
      </c>
      <c r="AB862" t="s">
        <v>10873</v>
      </c>
      <c r="AC862">
        <v>173</v>
      </c>
      <c r="AD862" t="s">
        <v>12422</v>
      </c>
      <c r="AE862" t="s">
        <v>12434</v>
      </c>
      <c r="AF862">
        <v>4</v>
      </c>
      <c r="AG862">
        <v>1</v>
      </c>
      <c r="AH862">
        <v>6</v>
      </c>
      <c r="AI862">
        <v>58.74</v>
      </c>
      <c r="AL862" t="s">
        <v>12460</v>
      </c>
      <c r="AM862">
        <v>22356</v>
      </c>
      <c r="AS862">
        <v>0.25</v>
      </c>
      <c r="AT862" t="s">
        <v>431</v>
      </c>
      <c r="AU862" t="s">
        <v>13095</v>
      </c>
    </row>
    <row r="863" spans="1:48">
      <c r="A863" s="1">
        <f>HYPERLINK("https://cms.ls-nyc.org/matter/dynamic-profile/view/1896815","19-1896815")</f>
        <v>0</v>
      </c>
      <c r="B863" t="s">
        <v>52</v>
      </c>
      <c r="C863" t="s">
        <v>459</v>
      </c>
      <c r="E863" t="s">
        <v>737</v>
      </c>
      <c r="F863" t="s">
        <v>2572</v>
      </c>
      <c r="G863" t="s">
        <v>4226</v>
      </c>
      <c r="H863" t="s">
        <v>5362</v>
      </c>
      <c r="I863" t="s">
        <v>6030</v>
      </c>
      <c r="J863">
        <v>11421</v>
      </c>
      <c r="K863" t="s">
        <v>6074</v>
      </c>
      <c r="L863" t="s">
        <v>6074</v>
      </c>
      <c r="M863" t="s">
        <v>6505</v>
      </c>
      <c r="N863" t="s">
        <v>7274</v>
      </c>
      <c r="O863" t="s">
        <v>7308</v>
      </c>
      <c r="Q863" t="s">
        <v>7322</v>
      </c>
      <c r="R863" t="s">
        <v>6076</v>
      </c>
      <c r="S863" t="s">
        <v>7324</v>
      </c>
      <c r="T863" t="s">
        <v>7336</v>
      </c>
      <c r="U863" t="s">
        <v>459</v>
      </c>
      <c r="V863">
        <v>2000</v>
      </c>
      <c r="W863" t="s">
        <v>7361</v>
      </c>
      <c r="X863" t="s">
        <v>7370</v>
      </c>
      <c r="Z863" t="s">
        <v>8080</v>
      </c>
      <c r="AA863" t="s">
        <v>10054</v>
      </c>
      <c r="AB863" t="s">
        <v>10874</v>
      </c>
      <c r="AC863">
        <v>3</v>
      </c>
      <c r="AD863" t="s">
        <v>6322</v>
      </c>
      <c r="AE863" t="s">
        <v>6110</v>
      </c>
      <c r="AF863">
        <v>1</v>
      </c>
      <c r="AG863">
        <v>2</v>
      </c>
      <c r="AH863">
        <v>2</v>
      </c>
      <c r="AI863">
        <v>58.87</v>
      </c>
      <c r="AL863" t="s">
        <v>12461</v>
      </c>
      <c r="AM863">
        <v>15160</v>
      </c>
      <c r="AS863">
        <v>24.45</v>
      </c>
      <c r="AT863" t="s">
        <v>460</v>
      </c>
      <c r="AU863" t="s">
        <v>189</v>
      </c>
    </row>
    <row r="864" spans="1:48">
      <c r="A864" s="1">
        <f>HYPERLINK("https://cms.ls-nyc.org/matter/dynamic-profile/view/1894123","19-1894123")</f>
        <v>0</v>
      </c>
      <c r="B864" t="s">
        <v>96</v>
      </c>
      <c r="C864" t="s">
        <v>469</v>
      </c>
      <c r="E864" t="s">
        <v>1114</v>
      </c>
      <c r="F864" t="s">
        <v>2573</v>
      </c>
      <c r="G864" t="s">
        <v>3792</v>
      </c>
      <c r="H864" t="s">
        <v>5595</v>
      </c>
      <c r="I864" t="s">
        <v>6047</v>
      </c>
      <c r="J864">
        <v>10453</v>
      </c>
      <c r="K864" t="s">
        <v>6074</v>
      </c>
      <c r="L864" t="s">
        <v>6074</v>
      </c>
      <c r="M864" t="s">
        <v>6259</v>
      </c>
      <c r="N864" t="s">
        <v>7273</v>
      </c>
      <c r="O864" t="s">
        <v>7308</v>
      </c>
      <c r="Q864" t="s">
        <v>7322</v>
      </c>
      <c r="R864" t="s">
        <v>6074</v>
      </c>
      <c r="S864" t="s">
        <v>7324</v>
      </c>
      <c r="U864" t="s">
        <v>457</v>
      </c>
      <c r="V864">
        <v>506</v>
      </c>
      <c r="W864" t="s">
        <v>7363</v>
      </c>
      <c r="X864" t="s">
        <v>7376</v>
      </c>
      <c r="Z864" t="s">
        <v>8081</v>
      </c>
      <c r="AB864" t="s">
        <v>10875</v>
      </c>
      <c r="AC864">
        <v>167</v>
      </c>
      <c r="AD864" t="s">
        <v>12422</v>
      </c>
      <c r="AE864" t="s">
        <v>12434</v>
      </c>
      <c r="AF864">
        <v>10</v>
      </c>
      <c r="AG864">
        <v>2</v>
      </c>
      <c r="AH864">
        <v>4</v>
      </c>
      <c r="AI864">
        <v>58.98</v>
      </c>
      <c r="AL864" t="s">
        <v>12461</v>
      </c>
      <c r="AM864">
        <v>20400</v>
      </c>
      <c r="AS864">
        <v>0</v>
      </c>
      <c r="AU864" t="s">
        <v>13092</v>
      </c>
    </row>
    <row r="865" spans="1:48">
      <c r="A865" s="1">
        <f>HYPERLINK("https://cms.ls-nyc.org/matter/dynamic-profile/view/1894220","19-1894220")</f>
        <v>0</v>
      </c>
      <c r="B865" t="s">
        <v>115</v>
      </c>
      <c r="C865" t="s">
        <v>334</v>
      </c>
      <c r="E865" t="s">
        <v>1114</v>
      </c>
      <c r="F865" t="s">
        <v>2573</v>
      </c>
      <c r="G865" t="s">
        <v>3792</v>
      </c>
      <c r="H865" t="s">
        <v>5595</v>
      </c>
      <c r="I865" t="s">
        <v>6047</v>
      </c>
      <c r="J865">
        <v>10453</v>
      </c>
      <c r="K865" t="s">
        <v>6074</v>
      </c>
      <c r="L865" t="s">
        <v>6074</v>
      </c>
      <c r="M865" t="s">
        <v>6506</v>
      </c>
      <c r="N865" t="s">
        <v>7276</v>
      </c>
      <c r="O865" t="s">
        <v>7308</v>
      </c>
      <c r="Q865" t="s">
        <v>7322</v>
      </c>
      <c r="R865" t="s">
        <v>6076</v>
      </c>
      <c r="S865" t="s">
        <v>7324</v>
      </c>
      <c r="U865" t="s">
        <v>334</v>
      </c>
      <c r="V865">
        <v>506</v>
      </c>
      <c r="W865" t="s">
        <v>7363</v>
      </c>
      <c r="X865" t="s">
        <v>7368</v>
      </c>
      <c r="Z865" t="s">
        <v>8081</v>
      </c>
      <c r="AB865" t="s">
        <v>10875</v>
      </c>
      <c r="AC865">
        <v>170</v>
      </c>
      <c r="AD865" t="s">
        <v>12420</v>
      </c>
      <c r="AE865" t="s">
        <v>12434</v>
      </c>
      <c r="AF865">
        <v>10</v>
      </c>
      <c r="AG865">
        <v>2</v>
      </c>
      <c r="AH865">
        <v>4</v>
      </c>
      <c r="AI865">
        <v>58.98</v>
      </c>
      <c r="AL865" t="s">
        <v>12461</v>
      </c>
      <c r="AM865">
        <v>20400</v>
      </c>
      <c r="AS865">
        <v>2</v>
      </c>
      <c r="AT865" t="s">
        <v>270</v>
      </c>
      <c r="AU865" t="s">
        <v>13092</v>
      </c>
    </row>
    <row r="866" spans="1:48">
      <c r="A866" s="1">
        <f>HYPERLINK("https://cms.ls-nyc.org/matter/dynamic-profile/view/1891498","19-1891498")</f>
        <v>0</v>
      </c>
      <c r="B866" t="s">
        <v>64</v>
      </c>
      <c r="C866" t="s">
        <v>278</v>
      </c>
      <c r="D866" t="s">
        <v>317</v>
      </c>
      <c r="E866" t="s">
        <v>1115</v>
      </c>
      <c r="F866" t="s">
        <v>2487</v>
      </c>
      <c r="G866" t="s">
        <v>3766</v>
      </c>
      <c r="H866" t="s">
        <v>5596</v>
      </c>
      <c r="I866" t="s">
        <v>6045</v>
      </c>
      <c r="J866">
        <v>11101</v>
      </c>
      <c r="K866" t="s">
        <v>6074</v>
      </c>
      <c r="L866" t="s">
        <v>6074</v>
      </c>
      <c r="M866" t="s">
        <v>6507</v>
      </c>
      <c r="N866" t="s">
        <v>7274</v>
      </c>
      <c r="O866" t="s">
        <v>7308</v>
      </c>
      <c r="P866" t="s">
        <v>7316</v>
      </c>
      <c r="Q866" t="s">
        <v>7322</v>
      </c>
      <c r="R866" t="s">
        <v>6076</v>
      </c>
      <c r="S866" t="s">
        <v>7324</v>
      </c>
      <c r="T866" t="s">
        <v>7336</v>
      </c>
      <c r="U866" t="s">
        <v>278</v>
      </c>
      <c r="V866">
        <v>336</v>
      </c>
      <c r="W866" t="s">
        <v>7361</v>
      </c>
      <c r="X866" t="s">
        <v>7368</v>
      </c>
      <c r="Y866" t="s">
        <v>7388</v>
      </c>
      <c r="Z866" t="s">
        <v>8082</v>
      </c>
      <c r="AA866" t="s">
        <v>10055</v>
      </c>
      <c r="AB866" t="s">
        <v>10876</v>
      </c>
      <c r="AC866">
        <v>306</v>
      </c>
      <c r="AD866" t="s">
        <v>12426</v>
      </c>
      <c r="AE866" t="s">
        <v>12434</v>
      </c>
      <c r="AF866">
        <v>3</v>
      </c>
      <c r="AG866">
        <v>1</v>
      </c>
      <c r="AH866">
        <v>1</v>
      </c>
      <c r="AI866">
        <v>59.14</v>
      </c>
      <c r="AL866" t="s">
        <v>12460</v>
      </c>
      <c r="AM866">
        <v>10000</v>
      </c>
      <c r="AO866" t="s">
        <v>12847</v>
      </c>
      <c r="AP866" t="s">
        <v>12882</v>
      </c>
      <c r="AQ866" t="s">
        <v>12909</v>
      </c>
      <c r="AR866" t="s">
        <v>12985</v>
      </c>
      <c r="AS866">
        <v>34.9</v>
      </c>
      <c r="AT866" t="s">
        <v>316</v>
      </c>
      <c r="AU866" t="s">
        <v>64</v>
      </c>
      <c r="AV866" t="s">
        <v>13145</v>
      </c>
    </row>
    <row r="867" spans="1:48">
      <c r="A867" s="1">
        <f>HYPERLINK("https://cms.ls-nyc.org/matter/dynamic-profile/view/1900776","19-1900776")</f>
        <v>0</v>
      </c>
      <c r="B867" t="s">
        <v>64</v>
      </c>
      <c r="C867" t="s">
        <v>470</v>
      </c>
      <c r="D867" t="s">
        <v>470</v>
      </c>
      <c r="E867" t="s">
        <v>1115</v>
      </c>
      <c r="F867" t="s">
        <v>2487</v>
      </c>
      <c r="G867" t="s">
        <v>3766</v>
      </c>
      <c r="H867" t="s">
        <v>5596</v>
      </c>
      <c r="I867" t="s">
        <v>6045</v>
      </c>
      <c r="J867">
        <v>11101</v>
      </c>
      <c r="K867" t="s">
        <v>6074</v>
      </c>
      <c r="L867" t="s">
        <v>6075</v>
      </c>
      <c r="O867" t="s">
        <v>7307</v>
      </c>
      <c r="P867" t="s">
        <v>7315</v>
      </c>
      <c r="Q867" t="s">
        <v>7322</v>
      </c>
      <c r="R867" t="s">
        <v>6076</v>
      </c>
      <c r="S867" t="s">
        <v>7324</v>
      </c>
      <c r="T867" t="s">
        <v>7336</v>
      </c>
      <c r="U867" t="s">
        <v>470</v>
      </c>
      <c r="V867">
        <v>336</v>
      </c>
      <c r="W867" t="s">
        <v>7361</v>
      </c>
      <c r="X867" t="s">
        <v>7368</v>
      </c>
      <c r="Y867" t="s">
        <v>7387</v>
      </c>
      <c r="Z867" t="s">
        <v>8082</v>
      </c>
      <c r="AA867" t="s">
        <v>10055</v>
      </c>
      <c r="AB867" t="s">
        <v>10876</v>
      </c>
      <c r="AC867">
        <v>306</v>
      </c>
      <c r="AD867" t="s">
        <v>12426</v>
      </c>
      <c r="AE867" t="s">
        <v>12434</v>
      </c>
      <c r="AF867">
        <v>3</v>
      </c>
      <c r="AG867">
        <v>1</v>
      </c>
      <c r="AH867">
        <v>1</v>
      </c>
      <c r="AI867">
        <v>59.14</v>
      </c>
      <c r="AL867" t="s">
        <v>12460</v>
      </c>
      <c r="AM867">
        <v>10000</v>
      </c>
      <c r="AS867">
        <v>0.6</v>
      </c>
      <c r="AT867" t="s">
        <v>470</v>
      </c>
      <c r="AU867" t="s">
        <v>64</v>
      </c>
      <c r="AV867" t="s">
        <v>13145</v>
      </c>
    </row>
    <row r="868" spans="1:48">
      <c r="A868" s="1">
        <f>HYPERLINK("https://cms.ls-nyc.org/matter/dynamic-profile/view/1874385","18-1874385")</f>
        <v>0</v>
      </c>
      <c r="B868" t="s">
        <v>103</v>
      </c>
      <c r="C868" t="s">
        <v>471</v>
      </c>
      <c r="E868" t="s">
        <v>1116</v>
      </c>
      <c r="F868" t="s">
        <v>2574</v>
      </c>
      <c r="G868" t="s">
        <v>4227</v>
      </c>
      <c r="H868">
        <v>7</v>
      </c>
      <c r="I868" t="s">
        <v>6047</v>
      </c>
      <c r="J868">
        <v>10460</v>
      </c>
      <c r="K868" t="s">
        <v>6074</v>
      </c>
      <c r="L868" t="s">
        <v>6074</v>
      </c>
      <c r="M868" t="s">
        <v>6508</v>
      </c>
      <c r="N868" t="s">
        <v>7276</v>
      </c>
      <c r="O868" t="s">
        <v>7308</v>
      </c>
      <c r="Q868" t="s">
        <v>7322</v>
      </c>
      <c r="R868" t="s">
        <v>6076</v>
      </c>
      <c r="S868" t="s">
        <v>7324</v>
      </c>
      <c r="U868" t="s">
        <v>355</v>
      </c>
      <c r="V868">
        <v>0</v>
      </c>
      <c r="W868" t="s">
        <v>7363</v>
      </c>
      <c r="X868" t="s">
        <v>7377</v>
      </c>
      <c r="Z868" t="s">
        <v>8083</v>
      </c>
      <c r="AA868" t="s">
        <v>10056</v>
      </c>
      <c r="AB868" t="s">
        <v>10877</v>
      </c>
      <c r="AC868">
        <v>30</v>
      </c>
      <c r="AD868" t="s">
        <v>12420</v>
      </c>
      <c r="AE868" t="s">
        <v>12434</v>
      </c>
      <c r="AF868">
        <v>0</v>
      </c>
      <c r="AG868">
        <v>2</v>
      </c>
      <c r="AH868">
        <v>1</v>
      </c>
      <c r="AI868">
        <v>59.25</v>
      </c>
      <c r="AL868" t="s">
        <v>12460</v>
      </c>
      <c r="AM868">
        <v>12312</v>
      </c>
      <c r="AS868">
        <v>32.6</v>
      </c>
      <c r="AT868" t="s">
        <v>241</v>
      </c>
      <c r="AU868" t="s">
        <v>13099</v>
      </c>
    </row>
    <row r="869" spans="1:48">
      <c r="A869" s="1">
        <f>HYPERLINK("https://cms.ls-nyc.org/matter/dynamic-profile/view/1886735","18-1886735")</f>
        <v>0</v>
      </c>
      <c r="B869" t="s">
        <v>144</v>
      </c>
      <c r="C869" t="s">
        <v>472</v>
      </c>
      <c r="E869" t="s">
        <v>1117</v>
      </c>
      <c r="F869" t="s">
        <v>2575</v>
      </c>
      <c r="G869" t="s">
        <v>4228</v>
      </c>
      <c r="H869" t="s">
        <v>5597</v>
      </c>
      <c r="I869" t="s">
        <v>6043</v>
      </c>
      <c r="J869">
        <v>11233</v>
      </c>
      <c r="K869" t="s">
        <v>6074</v>
      </c>
      <c r="L869" t="s">
        <v>6074</v>
      </c>
      <c r="M869" t="s">
        <v>6509</v>
      </c>
      <c r="N869" t="s">
        <v>7274</v>
      </c>
      <c r="O869" t="s">
        <v>7307</v>
      </c>
      <c r="Q869" t="s">
        <v>7322</v>
      </c>
      <c r="R869" t="s">
        <v>6076</v>
      </c>
      <c r="S869" t="s">
        <v>7324</v>
      </c>
      <c r="U869" t="s">
        <v>456</v>
      </c>
      <c r="V869">
        <v>1860</v>
      </c>
      <c r="W869" t="s">
        <v>7362</v>
      </c>
      <c r="Z869" t="s">
        <v>8084</v>
      </c>
      <c r="AB869" t="s">
        <v>10878</v>
      </c>
      <c r="AC869">
        <v>2</v>
      </c>
      <c r="AE869" t="s">
        <v>6110</v>
      </c>
      <c r="AF869">
        <v>2</v>
      </c>
      <c r="AG869">
        <v>1</v>
      </c>
      <c r="AH869">
        <v>0</v>
      </c>
      <c r="AI869">
        <v>59.31</v>
      </c>
      <c r="AL869" t="s">
        <v>12460</v>
      </c>
      <c r="AM869">
        <v>7200</v>
      </c>
      <c r="AS869">
        <v>0.9</v>
      </c>
      <c r="AT869" t="s">
        <v>472</v>
      </c>
      <c r="AU869" t="s">
        <v>13104</v>
      </c>
    </row>
    <row r="870" spans="1:48">
      <c r="A870" s="1">
        <f>HYPERLINK("https://cms.ls-nyc.org/matter/dynamic-profile/view/1885163","18-1885163")</f>
        <v>0</v>
      </c>
      <c r="B870" t="s">
        <v>80</v>
      </c>
      <c r="C870" t="s">
        <v>435</v>
      </c>
      <c r="E870" t="s">
        <v>1104</v>
      </c>
      <c r="F870" t="s">
        <v>2560</v>
      </c>
      <c r="G870" t="s">
        <v>3871</v>
      </c>
      <c r="H870" t="s">
        <v>5373</v>
      </c>
      <c r="I870" t="s">
        <v>6043</v>
      </c>
      <c r="J870">
        <v>11213</v>
      </c>
      <c r="K870" t="s">
        <v>6074</v>
      </c>
      <c r="L870" t="s">
        <v>6074</v>
      </c>
      <c r="M870" t="s">
        <v>6104</v>
      </c>
      <c r="N870" t="s">
        <v>7279</v>
      </c>
      <c r="O870" t="s">
        <v>7311</v>
      </c>
      <c r="Q870" t="s">
        <v>7322</v>
      </c>
      <c r="R870" t="s">
        <v>6074</v>
      </c>
      <c r="S870" t="s">
        <v>7324</v>
      </c>
      <c r="T870" t="s">
        <v>7336</v>
      </c>
      <c r="U870" t="s">
        <v>255</v>
      </c>
      <c r="V870">
        <v>1229.5</v>
      </c>
      <c r="W870" t="s">
        <v>7362</v>
      </c>
      <c r="X870" t="s">
        <v>7381</v>
      </c>
      <c r="Z870" t="s">
        <v>8063</v>
      </c>
      <c r="AA870" t="s">
        <v>6110</v>
      </c>
      <c r="AB870" t="s">
        <v>10860</v>
      </c>
      <c r="AC870">
        <v>19</v>
      </c>
      <c r="AD870" t="s">
        <v>12422</v>
      </c>
      <c r="AE870" t="s">
        <v>12434</v>
      </c>
      <c r="AF870">
        <v>25</v>
      </c>
      <c r="AG870">
        <v>1</v>
      </c>
      <c r="AH870">
        <v>0</v>
      </c>
      <c r="AI870">
        <v>59.31</v>
      </c>
      <c r="AL870" t="s">
        <v>12460</v>
      </c>
      <c r="AM870">
        <v>7200</v>
      </c>
      <c r="AN870" t="s">
        <v>12569</v>
      </c>
      <c r="AS870">
        <v>0</v>
      </c>
      <c r="AU870" t="s">
        <v>218</v>
      </c>
    </row>
    <row r="871" spans="1:48">
      <c r="A871" s="1">
        <f>HYPERLINK("https://cms.ls-nyc.org/matter/dynamic-profile/view/1885151","18-1885151")</f>
        <v>0</v>
      </c>
      <c r="B871" t="s">
        <v>80</v>
      </c>
      <c r="C871" t="s">
        <v>435</v>
      </c>
      <c r="E871" t="s">
        <v>1104</v>
      </c>
      <c r="F871" t="s">
        <v>2560</v>
      </c>
      <c r="G871" t="s">
        <v>3871</v>
      </c>
      <c r="H871" t="s">
        <v>5373</v>
      </c>
      <c r="I871" t="s">
        <v>6043</v>
      </c>
      <c r="J871">
        <v>11213</v>
      </c>
      <c r="K871" t="s">
        <v>6074</v>
      </c>
      <c r="L871" t="s">
        <v>6074</v>
      </c>
      <c r="N871" t="s">
        <v>7273</v>
      </c>
      <c r="O871" t="s">
        <v>7308</v>
      </c>
      <c r="Q871" t="s">
        <v>7322</v>
      </c>
      <c r="R871" t="s">
        <v>6074</v>
      </c>
      <c r="S871" t="s">
        <v>7324</v>
      </c>
      <c r="T871" t="s">
        <v>7336</v>
      </c>
      <c r="U871" t="s">
        <v>396</v>
      </c>
      <c r="V871">
        <v>1229.5</v>
      </c>
      <c r="W871" t="s">
        <v>7362</v>
      </c>
      <c r="X871" t="s">
        <v>7381</v>
      </c>
      <c r="Z871" t="s">
        <v>8063</v>
      </c>
      <c r="AA871" t="s">
        <v>9871</v>
      </c>
      <c r="AB871" t="s">
        <v>10860</v>
      </c>
      <c r="AC871">
        <v>19</v>
      </c>
      <c r="AD871" t="s">
        <v>12422</v>
      </c>
      <c r="AE871" t="s">
        <v>12434</v>
      </c>
      <c r="AF871">
        <v>25</v>
      </c>
      <c r="AG871">
        <v>1</v>
      </c>
      <c r="AH871">
        <v>0</v>
      </c>
      <c r="AI871">
        <v>59.31</v>
      </c>
      <c r="AL871" t="s">
        <v>12460</v>
      </c>
      <c r="AM871">
        <v>7200</v>
      </c>
      <c r="AN871" t="s">
        <v>12570</v>
      </c>
      <c r="AS871">
        <v>0</v>
      </c>
      <c r="AU871" t="s">
        <v>218</v>
      </c>
    </row>
    <row r="872" spans="1:48">
      <c r="A872" s="1">
        <f>HYPERLINK("https://cms.ls-nyc.org/matter/dynamic-profile/view/1885030","18-1885030")</f>
        <v>0</v>
      </c>
      <c r="B872" t="s">
        <v>80</v>
      </c>
      <c r="C872" t="s">
        <v>269</v>
      </c>
      <c r="D872" t="s">
        <v>396</v>
      </c>
      <c r="E872" t="s">
        <v>1104</v>
      </c>
      <c r="F872" t="s">
        <v>2560</v>
      </c>
      <c r="G872" t="s">
        <v>3871</v>
      </c>
      <c r="H872" t="s">
        <v>5373</v>
      </c>
      <c r="I872" t="s">
        <v>6043</v>
      </c>
      <c r="J872">
        <v>11213</v>
      </c>
      <c r="K872" t="s">
        <v>6074</v>
      </c>
      <c r="L872" t="s">
        <v>6074</v>
      </c>
      <c r="M872" t="s">
        <v>6104</v>
      </c>
      <c r="N872" t="s">
        <v>7275</v>
      </c>
      <c r="O872" t="s">
        <v>7307</v>
      </c>
      <c r="P872" t="s">
        <v>7315</v>
      </c>
      <c r="Q872" t="s">
        <v>7322</v>
      </c>
      <c r="R872" t="s">
        <v>6074</v>
      </c>
      <c r="S872" t="s">
        <v>7324</v>
      </c>
      <c r="T872" t="s">
        <v>7336</v>
      </c>
      <c r="U872" t="s">
        <v>255</v>
      </c>
      <c r="V872">
        <v>1229.5</v>
      </c>
      <c r="W872" t="s">
        <v>7362</v>
      </c>
      <c r="X872" t="s">
        <v>7381</v>
      </c>
      <c r="Y872" t="s">
        <v>7394</v>
      </c>
      <c r="Z872" t="s">
        <v>8063</v>
      </c>
      <c r="AA872" t="s">
        <v>9871</v>
      </c>
      <c r="AB872" t="s">
        <v>10860</v>
      </c>
      <c r="AC872">
        <v>19</v>
      </c>
      <c r="AD872" t="s">
        <v>12422</v>
      </c>
      <c r="AE872" t="s">
        <v>12434</v>
      </c>
      <c r="AF872">
        <v>25</v>
      </c>
      <c r="AG872">
        <v>1</v>
      </c>
      <c r="AH872">
        <v>0</v>
      </c>
      <c r="AI872">
        <v>59.31</v>
      </c>
      <c r="AL872" t="s">
        <v>12460</v>
      </c>
      <c r="AM872">
        <v>7200</v>
      </c>
      <c r="AS872">
        <v>0.08</v>
      </c>
      <c r="AT872" t="s">
        <v>390</v>
      </c>
      <c r="AU872" t="s">
        <v>218</v>
      </c>
    </row>
    <row r="873" spans="1:48">
      <c r="A873" s="1">
        <f>HYPERLINK("https://cms.ls-nyc.org/matter/dynamic-profile/view/1864586","18-1864586")</f>
        <v>0</v>
      </c>
      <c r="B873" t="s">
        <v>110</v>
      </c>
      <c r="C873" t="s">
        <v>473</v>
      </c>
      <c r="D873" t="s">
        <v>241</v>
      </c>
      <c r="E873" t="s">
        <v>1118</v>
      </c>
      <c r="F873" t="s">
        <v>638</v>
      </c>
      <c r="G873" t="s">
        <v>4229</v>
      </c>
      <c r="H873" t="s">
        <v>5467</v>
      </c>
      <c r="I873" t="s">
        <v>6047</v>
      </c>
      <c r="J873">
        <v>10453</v>
      </c>
      <c r="K873" t="s">
        <v>6074</v>
      </c>
      <c r="L873" t="s">
        <v>6074</v>
      </c>
      <c r="M873" t="s">
        <v>6510</v>
      </c>
      <c r="N873" t="s">
        <v>7274</v>
      </c>
      <c r="O873" t="s">
        <v>7308</v>
      </c>
      <c r="P873" t="s">
        <v>7316</v>
      </c>
      <c r="Q873" t="s">
        <v>7322</v>
      </c>
      <c r="R873" t="s">
        <v>6076</v>
      </c>
      <c r="S873" t="s">
        <v>7324</v>
      </c>
      <c r="T873" t="s">
        <v>7336</v>
      </c>
      <c r="U873" t="s">
        <v>467</v>
      </c>
      <c r="V873">
        <v>1300</v>
      </c>
      <c r="W873" t="s">
        <v>7363</v>
      </c>
      <c r="X873" t="s">
        <v>7377</v>
      </c>
      <c r="Y873" t="s">
        <v>7388</v>
      </c>
      <c r="Z873" t="s">
        <v>8085</v>
      </c>
      <c r="AA873" t="s">
        <v>10057</v>
      </c>
      <c r="AB873" t="s">
        <v>10879</v>
      </c>
      <c r="AC873">
        <v>103</v>
      </c>
      <c r="AD873" t="s">
        <v>12422</v>
      </c>
      <c r="AE873" t="s">
        <v>12434</v>
      </c>
      <c r="AF873">
        <v>5</v>
      </c>
      <c r="AG873">
        <v>1</v>
      </c>
      <c r="AH873">
        <v>0</v>
      </c>
      <c r="AI873">
        <v>59.31</v>
      </c>
      <c r="AL873" t="s">
        <v>12460</v>
      </c>
      <c r="AM873">
        <v>7200</v>
      </c>
      <c r="AS873">
        <v>57.6</v>
      </c>
      <c r="AT873" t="s">
        <v>293</v>
      </c>
      <c r="AU873" t="s">
        <v>13077</v>
      </c>
    </row>
    <row r="874" spans="1:48">
      <c r="A874" s="1">
        <f>HYPERLINK("https://cms.ls-nyc.org/matter/dynamic-profile/view/1888130","19-1888130")</f>
        <v>0</v>
      </c>
      <c r="B874" t="s">
        <v>96</v>
      </c>
      <c r="C874" t="s">
        <v>466</v>
      </c>
      <c r="D874" t="s">
        <v>365</v>
      </c>
      <c r="E874" t="s">
        <v>878</v>
      </c>
      <c r="F874" t="s">
        <v>1647</v>
      </c>
      <c r="G874" t="s">
        <v>4230</v>
      </c>
      <c r="H874" t="s">
        <v>5598</v>
      </c>
      <c r="I874" t="s">
        <v>6047</v>
      </c>
      <c r="J874">
        <v>10457</v>
      </c>
      <c r="K874" t="s">
        <v>6074</v>
      </c>
      <c r="L874" t="s">
        <v>6074</v>
      </c>
      <c r="N874" t="s">
        <v>7276</v>
      </c>
      <c r="O874" t="s">
        <v>7306</v>
      </c>
      <c r="P874" t="s">
        <v>7314</v>
      </c>
      <c r="Q874" t="s">
        <v>7322</v>
      </c>
      <c r="R874" t="s">
        <v>6076</v>
      </c>
      <c r="S874" t="s">
        <v>7324</v>
      </c>
      <c r="U874" t="s">
        <v>466</v>
      </c>
      <c r="V874">
        <v>776</v>
      </c>
      <c r="W874" t="s">
        <v>7363</v>
      </c>
      <c r="Y874" t="s">
        <v>7386</v>
      </c>
      <c r="Z874" t="s">
        <v>8086</v>
      </c>
      <c r="AB874" t="s">
        <v>10880</v>
      </c>
      <c r="AC874">
        <v>0</v>
      </c>
      <c r="AD874" t="s">
        <v>12428</v>
      </c>
      <c r="AE874" t="s">
        <v>6110</v>
      </c>
      <c r="AF874">
        <v>15</v>
      </c>
      <c r="AG874">
        <v>1</v>
      </c>
      <c r="AH874">
        <v>0</v>
      </c>
      <c r="AI874">
        <v>59.41</v>
      </c>
      <c r="AL874" t="s">
        <v>12460</v>
      </c>
      <c r="AM874">
        <v>7212</v>
      </c>
      <c r="AN874" t="s">
        <v>12571</v>
      </c>
      <c r="AS874">
        <v>1.1</v>
      </c>
      <c r="AT874" t="s">
        <v>285</v>
      </c>
      <c r="AU874" t="s">
        <v>13100</v>
      </c>
    </row>
    <row r="875" spans="1:48">
      <c r="A875" s="1">
        <f>HYPERLINK("https://cms.ls-nyc.org/matter/dynamic-profile/view/1896243","19-1896243")</f>
        <v>0</v>
      </c>
      <c r="B875" t="s">
        <v>54</v>
      </c>
      <c r="C875" t="s">
        <v>314</v>
      </c>
      <c r="E875" t="s">
        <v>1119</v>
      </c>
      <c r="F875" t="s">
        <v>2576</v>
      </c>
      <c r="G875" t="s">
        <v>3900</v>
      </c>
      <c r="H875" t="s">
        <v>5458</v>
      </c>
      <c r="I875" t="s">
        <v>6025</v>
      </c>
      <c r="J875">
        <v>11691</v>
      </c>
      <c r="K875" t="s">
        <v>6074</v>
      </c>
      <c r="L875" t="s">
        <v>6074</v>
      </c>
      <c r="N875" t="s">
        <v>7279</v>
      </c>
      <c r="O875" t="s">
        <v>7310</v>
      </c>
      <c r="Q875" t="s">
        <v>7322</v>
      </c>
      <c r="R875" t="s">
        <v>6074</v>
      </c>
      <c r="S875" t="s">
        <v>7324</v>
      </c>
      <c r="U875" t="s">
        <v>314</v>
      </c>
      <c r="V875">
        <v>340</v>
      </c>
      <c r="W875" t="s">
        <v>7361</v>
      </c>
      <c r="X875" t="s">
        <v>7366</v>
      </c>
      <c r="Z875" t="s">
        <v>8087</v>
      </c>
      <c r="AB875" t="s">
        <v>10881</v>
      </c>
      <c r="AC875">
        <v>43</v>
      </c>
      <c r="AF875">
        <v>43</v>
      </c>
      <c r="AG875">
        <v>1</v>
      </c>
      <c r="AH875">
        <v>0</v>
      </c>
      <c r="AI875">
        <v>59.57</v>
      </c>
      <c r="AL875" t="s">
        <v>12460</v>
      </c>
      <c r="AM875">
        <v>7440</v>
      </c>
      <c r="AS875">
        <v>0</v>
      </c>
      <c r="AU875" t="s">
        <v>13078</v>
      </c>
    </row>
    <row r="876" spans="1:48">
      <c r="A876" s="1">
        <f>HYPERLINK("https://cms.ls-nyc.org/matter/dynamic-profile/view/1896249","19-1896249")</f>
        <v>0</v>
      </c>
      <c r="B876" t="s">
        <v>54</v>
      </c>
      <c r="C876" t="s">
        <v>314</v>
      </c>
      <c r="E876" t="s">
        <v>1119</v>
      </c>
      <c r="F876" t="s">
        <v>2576</v>
      </c>
      <c r="G876" t="s">
        <v>3900</v>
      </c>
      <c r="H876" t="s">
        <v>5458</v>
      </c>
      <c r="I876" t="s">
        <v>6025</v>
      </c>
      <c r="J876">
        <v>11691</v>
      </c>
      <c r="K876" t="s">
        <v>6074</v>
      </c>
      <c r="L876" t="s">
        <v>6074</v>
      </c>
      <c r="N876" t="s">
        <v>7278</v>
      </c>
      <c r="O876" t="s">
        <v>7307</v>
      </c>
      <c r="Q876" t="s">
        <v>7322</v>
      </c>
      <c r="R876" t="s">
        <v>6074</v>
      </c>
      <c r="S876" t="s">
        <v>7324</v>
      </c>
      <c r="U876" t="s">
        <v>314</v>
      </c>
      <c r="V876">
        <v>340</v>
      </c>
      <c r="W876" t="s">
        <v>7361</v>
      </c>
      <c r="Z876" t="s">
        <v>8087</v>
      </c>
      <c r="AB876" t="s">
        <v>10881</v>
      </c>
      <c r="AC876">
        <v>43</v>
      </c>
      <c r="AF876">
        <v>43</v>
      </c>
      <c r="AG876">
        <v>1</v>
      </c>
      <c r="AH876">
        <v>0</v>
      </c>
      <c r="AI876">
        <v>59.57</v>
      </c>
      <c r="AL876" t="s">
        <v>12460</v>
      </c>
      <c r="AM876">
        <v>7440</v>
      </c>
      <c r="AS876">
        <v>0</v>
      </c>
      <c r="AU876" t="s">
        <v>13078</v>
      </c>
    </row>
    <row r="877" spans="1:48">
      <c r="A877" s="1">
        <f>HYPERLINK("https://cms.ls-nyc.org/matter/dynamic-profile/view/1891980","19-1891980")</f>
        <v>0</v>
      </c>
      <c r="B877" t="s">
        <v>92</v>
      </c>
      <c r="C877" t="s">
        <v>329</v>
      </c>
      <c r="D877" t="s">
        <v>264</v>
      </c>
      <c r="E877" t="s">
        <v>1120</v>
      </c>
      <c r="F877" t="s">
        <v>1312</v>
      </c>
      <c r="G877" t="s">
        <v>3748</v>
      </c>
      <c r="H877">
        <v>2</v>
      </c>
      <c r="I877" t="s">
        <v>6043</v>
      </c>
      <c r="J877">
        <v>11208</v>
      </c>
      <c r="K877" t="s">
        <v>6074</v>
      </c>
      <c r="L877" t="s">
        <v>6074</v>
      </c>
      <c r="M877" t="s">
        <v>6511</v>
      </c>
      <c r="N877" t="s">
        <v>7273</v>
      </c>
      <c r="O877" t="s">
        <v>7308</v>
      </c>
      <c r="P877" t="s">
        <v>7316</v>
      </c>
      <c r="Q877" t="s">
        <v>7322</v>
      </c>
      <c r="R877" t="s">
        <v>6074</v>
      </c>
      <c r="S877" t="s">
        <v>7324</v>
      </c>
      <c r="T877" t="s">
        <v>7336</v>
      </c>
      <c r="U877" t="s">
        <v>502</v>
      </c>
      <c r="V877">
        <v>900</v>
      </c>
      <c r="W877" t="s">
        <v>7362</v>
      </c>
      <c r="X877" t="s">
        <v>7368</v>
      </c>
      <c r="Y877" t="s">
        <v>7386</v>
      </c>
      <c r="Z877" t="s">
        <v>8088</v>
      </c>
      <c r="AC877">
        <v>7</v>
      </c>
      <c r="AD877" t="s">
        <v>6322</v>
      </c>
      <c r="AE877" t="s">
        <v>6110</v>
      </c>
      <c r="AF877">
        <v>0</v>
      </c>
      <c r="AG877">
        <v>2</v>
      </c>
      <c r="AH877">
        <v>3</v>
      </c>
      <c r="AI877">
        <v>59.66</v>
      </c>
      <c r="AL877" t="s">
        <v>12461</v>
      </c>
      <c r="AM877">
        <v>18000</v>
      </c>
      <c r="AN877" t="s">
        <v>12572</v>
      </c>
      <c r="AP877" t="s">
        <v>12864</v>
      </c>
      <c r="AS877">
        <v>0.1</v>
      </c>
      <c r="AT877" t="s">
        <v>264</v>
      </c>
      <c r="AU877" t="s">
        <v>218</v>
      </c>
    </row>
    <row r="878" spans="1:48">
      <c r="A878" s="1">
        <f>HYPERLINK("https://cms.ls-nyc.org/matter/dynamic-profile/view/1888040","19-1888040")</f>
        <v>0</v>
      </c>
      <c r="B878" t="s">
        <v>125</v>
      </c>
      <c r="C878" t="s">
        <v>466</v>
      </c>
      <c r="E878" t="s">
        <v>1121</v>
      </c>
      <c r="F878" t="s">
        <v>2577</v>
      </c>
      <c r="G878" t="s">
        <v>4174</v>
      </c>
      <c r="H878" t="s">
        <v>5436</v>
      </c>
      <c r="I878" t="s">
        <v>6049</v>
      </c>
      <c r="J878">
        <v>10032</v>
      </c>
      <c r="K878" t="s">
        <v>6074</v>
      </c>
      <c r="L878" t="s">
        <v>6074</v>
      </c>
      <c r="O878" t="s">
        <v>7308</v>
      </c>
      <c r="Q878" t="s">
        <v>7322</v>
      </c>
      <c r="R878" t="s">
        <v>6074</v>
      </c>
      <c r="S878" t="s">
        <v>7324</v>
      </c>
      <c r="U878" t="s">
        <v>466</v>
      </c>
      <c r="V878">
        <v>1299</v>
      </c>
      <c r="W878" t="s">
        <v>7365</v>
      </c>
      <c r="X878" t="s">
        <v>7367</v>
      </c>
      <c r="Z878" t="s">
        <v>8089</v>
      </c>
      <c r="AC878">
        <v>42</v>
      </c>
      <c r="AD878" t="s">
        <v>12422</v>
      </c>
      <c r="AE878" t="s">
        <v>12434</v>
      </c>
      <c r="AF878">
        <v>0</v>
      </c>
      <c r="AG878">
        <v>4</v>
      </c>
      <c r="AH878">
        <v>0</v>
      </c>
      <c r="AI878">
        <v>59.76</v>
      </c>
      <c r="AL878" t="s">
        <v>12461</v>
      </c>
      <c r="AM878">
        <v>15000</v>
      </c>
      <c r="AS878">
        <v>0</v>
      </c>
      <c r="AU878" t="s">
        <v>13106</v>
      </c>
    </row>
    <row r="879" spans="1:48">
      <c r="A879" s="1">
        <f>HYPERLINK("https://cms.ls-nyc.org/matter/dynamic-profile/view/1882853","18-1882853")</f>
        <v>0</v>
      </c>
      <c r="B879" t="s">
        <v>92</v>
      </c>
      <c r="C879" t="s">
        <v>246</v>
      </c>
      <c r="D879" t="s">
        <v>264</v>
      </c>
      <c r="E879" t="s">
        <v>961</v>
      </c>
      <c r="F879" t="s">
        <v>2356</v>
      </c>
      <c r="G879" t="s">
        <v>3748</v>
      </c>
      <c r="H879">
        <v>1</v>
      </c>
      <c r="I879" t="s">
        <v>6043</v>
      </c>
      <c r="J879">
        <v>11208</v>
      </c>
      <c r="K879" t="s">
        <v>6074</v>
      </c>
      <c r="L879" t="s">
        <v>6074</v>
      </c>
      <c r="M879" t="s">
        <v>6157</v>
      </c>
      <c r="N879" t="s">
        <v>7274</v>
      </c>
      <c r="O879" t="s">
        <v>7308</v>
      </c>
      <c r="P879" t="s">
        <v>7316</v>
      </c>
      <c r="Q879" t="s">
        <v>7322</v>
      </c>
      <c r="R879" t="s">
        <v>6074</v>
      </c>
      <c r="S879" t="s">
        <v>7324</v>
      </c>
      <c r="T879" t="s">
        <v>7336</v>
      </c>
      <c r="U879" t="s">
        <v>238</v>
      </c>
      <c r="V879">
        <v>450</v>
      </c>
      <c r="W879" t="s">
        <v>7362</v>
      </c>
      <c r="X879" t="s">
        <v>7375</v>
      </c>
      <c r="Y879" t="s">
        <v>7386</v>
      </c>
      <c r="Z879" t="s">
        <v>8071</v>
      </c>
      <c r="AA879" t="s">
        <v>6110</v>
      </c>
      <c r="AC879">
        <v>7</v>
      </c>
      <c r="AD879" t="s">
        <v>12419</v>
      </c>
      <c r="AE879" t="s">
        <v>6110</v>
      </c>
      <c r="AF879">
        <v>5</v>
      </c>
      <c r="AG879">
        <v>2</v>
      </c>
      <c r="AH879">
        <v>0</v>
      </c>
      <c r="AI879">
        <v>59.78</v>
      </c>
      <c r="AL879" t="s">
        <v>12461</v>
      </c>
      <c r="AM879">
        <v>9840</v>
      </c>
      <c r="AN879" t="s">
        <v>12573</v>
      </c>
      <c r="AO879" t="s">
        <v>12848</v>
      </c>
      <c r="AP879" t="s">
        <v>12864</v>
      </c>
      <c r="AQ879" t="s">
        <v>12910</v>
      </c>
      <c r="AR879" t="s">
        <v>12926</v>
      </c>
      <c r="AS879">
        <v>0.1</v>
      </c>
      <c r="AT879" t="s">
        <v>264</v>
      </c>
      <c r="AU879" t="s">
        <v>218</v>
      </c>
    </row>
    <row r="880" spans="1:48">
      <c r="A880" s="1">
        <f>HYPERLINK("https://cms.ls-nyc.org/matter/dynamic-profile/view/1866069","18-1866069")</f>
        <v>0</v>
      </c>
      <c r="B880" t="s">
        <v>104</v>
      </c>
      <c r="C880" t="s">
        <v>474</v>
      </c>
      <c r="D880" t="s">
        <v>472</v>
      </c>
      <c r="E880" t="s">
        <v>618</v>
      </c>
      <c r="F880" t="s">
        <v>2578</v>
      </c>
      <c r="G880" t="s">
        <v>4231</v>
      </c>
      <c r="H880" t="s">
        <v>5495</v>
      </c>
      <c r="I880" t="s">
        <v>6047</v>
      </c>
      <c r="J880">
        <v>10463</v>
      </c>
      <c r="K880" t="s">
        <v>6074</v>
      </c>
      <c r="L880" t="s">
        <v>6074</v>
      </c>
      <c r="N880" t="s">
        <v>7273</v>
      </c>
      <c r="O880" t="s">
        <v>7307</v>
      </c>
      <c r="P880" t="s">
        <v>7315</v>
      </c>
      <c r="Q880" t="s">
        <v>7322</v>
      </c>
      <c r="R880" t="s">
        <v>6076</v>
      </c>
      <c r="S880" t="s">
        <v>7324</v>
      </c>
      <c r="U880" t="s">
        <v>465</v>
      </c>
      <c r="V880">
        <v>211</v>
      </c>
      <c r="W880" t="s">
        <v>7363</v>
      </c>
      <c r="X880" t="s">
        <v>7368</v>
      </c>
      <c r="Y880" t="s">
        <v>7387</v>
      </c>
      <c r="Z880" t="s">
        <v>8090</v>
      </c>
      <c r="AA880" t="s">
        <v>10058</v>
      </c>
      <c r="AB880" t="s">
        <v>10882</v>
      </c>
      <c r="AC880">
        <v>67</v>
      </c>
      <c r="AD880" t="s">
        <v>12422</v>
      </c>
      <c r="AE880" t="s">
        <v>12440</v>
      </c>
      <c r="AF880">
        <v>1</v>
      </c>
      <c r="AG880">
        <v>1</v>
      </c>
      <c r="AH880">
        <v>1</v>
      </c>
      <c r="AI880">
        <v>59.78</v>
      </c>
      <c r="AL880" t="s">
        <v>12460</v>
      </c>
      <c r="AM880">
        <v>9840</v>
      </c>
      <c r="AS880">
        <v>0.1</v>
      </c>
      <c r="AT880" t="s">
        <v>472</v>
      </c>
      <c r="AU880" t="s">
        <v>13099</v>
      </c>
    </row>
    <row r="881" spans="1:48">
      <c r="A881" s="1">
        <f>HYPERLINK("https://cms.ls-nyc.org/matter/dynamic-profile/view/1881986","18-1881986")</f>
        <v>0</v>
      </c>
      <c r="B881" t="s">
        <v>120</v>
      </c>
      <c r="C881" t="s">
        <v>283</v>
      </c>
      <c r="E881" t="s">
        <v>1053</v>
      </c>
      <c r="F881" t="s">
        <v>1563</v>
      </c>
      <c r="G881" t="s">
        <v>4232</v>
      </c>
      <c r="H881" t="s">
        <v>5571</v>
      </c>
      <c r="I881" t="s">
        <v>6048</v>
      </c>
      <c r="J881">
        <v>10304</v>
      </c>
      <c r="K881" t="s">
        <v>6074</v>
      </c>
      <c r="L881" t="s">
        <v>6074</v>
      </c>
      <c r="M881" t="s">
        <v>6512</v>
      </c>
      <c r="N881" t="s">
        <v>7276</v>
      </c>
      <c r="O881" t="s">
        <v>7308</v>
      </c>
      <c r="Q881" t="s">
        <v>7322</v>
      </c>
      <c r="R881" t="s">
        <v>6076</v>
      </c>
      <c r="S881" t="s">
        <v>7324</v>
      </c>
      <c r="T881" t="s">
        <v>7336</v>
      </c>
      <c r="U881" t="s">
        <v>283</v>
      </c>
      <c r="V881">
        <v>141</v>
      </c>
      <c r="W881" t="s">
        <v>7364</v>
      </c>
      <c r="X881" t="s">
        <v>7373</v>
      </c>
      <c r="Z881" t="s">
        <v>8091</v>
      </c>
      <c r="AB881" t="s">
        <v>10883</v>
      </c>
      <c r="AC881">
        <v>132</v>
      </c>
      <c r="AD881" t="s">
        <v>12420</v>
      </c>
      <c r="AE881" t="s">
        <v>12434</v>
      </c>
      <c r="AF881">
        <v>18</v>
      </c>
      <c r="AG881">
        <v>2</v>
      </c>
      <c r="AH881">
        <v>0</v>
      </c>
      <c r="AI881">
        <v>59.78</v>
      </c>
      <c r="AL881" t="s">
        <v>12460</v>
      </c>
      <c r="AM881">
        <v>9840</v>
      </c>
      <c r="AS881">
        <v>17</v>
      </c>
      <c r="AT881" t="s">
        <v>324</v>
      </c>
      <c r="AU881" t="s">
        <v>13102</v>
      </c>
    </row>
    <row r="882" spans="1:48">
      <c r="A882" s="1">
        <f>HYPERLINK("https://cms.ls-nyc.org/matter/dynamic-profile/view/1873228","18-1873228")</f>
        <v>0</v>
      </c>
      <c r="B882" t="s">
        <v>103</v>
      </c>
      <c r="C882" t="s">
        <v>419</v>
      </c>
      <c r="E882" t="s">
        <v>982</v>
      </c>
      <c r="F882" t="s">
        <v>2579</v>
      </c>
      <c r="G882" t="s">
        <v>4233</v>
      </c>
      <c r="H882" t="s">
        <v>5599</v>
      </c>
      <c r="I882" t="s">
        <v>6047</v>
      </c>
      <c r="J882">
        <v>10453</v>
      </c>
      <c r="K882" t="s">
        <v>6074</v>
      </c>
      <c r="L882" t="s">
        <v>6074</v>
      </c>
      <c r="M882" t="s">
        <v>6513</v>
      </c>
      <c r="N882" t="s">
        <v>7276</v>
      </c>
      <c r="O882" t="s">
        <v>7308</v>
      </c>
      <c r="Q882" t="s">
        <v>7322</v>
      </c>
      <c r="R882" t="s">
        <v>6076</v>
      </c>
      <c r="S882" t="s">
        <v>7324</v>
      </c>
      <c r="U882" t="s">
        <v>355</v>
      </c>
      <c r="V882">
        <v>1562</v>
      </c>
      <c r="W882" t="s">
        <v>7363</v>
      </c>
      <c r="X882" t="s">
        <v>7366</v>
      </c>
      <c r="Z882" t="s">
        <v>8092</v>
      </c>
      <c r="AB882" t="s">
        <v>10884</v>
      </c>
      <c r="AC882">
        <v>766</v>
      </c>
      <c r="AE882" t="s">
        <v>12439</v>
      </c>
      <c r="AF882">
        <v>3</v>
      </c>
      <c r="AG882">
        <v>1</v>
      </c>
      <c r="AH882">
        <v>0</v>
      </c>
      <c r="AI882">
        <v>59.96</v>
      </c>
      <c r="AL882" t="s">
        <v>12460</v>
      </c>
      <c r="AM882">
        <v>7279.44</v>
      </c>
      <c r="AS882">
        <v>7.25</v>
      </c>
      <c r="AT882" t="s">
        <v>451</v>
      </c>
      <c r="AU882" t="s">
        <v>13095</v>
      </c>
    </row>
    <row r="883" spans="1:48">
      <c r="A883" s="1">
        <f>HYPERLINK("https://cms.ls-nyc.org/matter/dynamic-profile/view/1871654","18-1871654")</f>
        <v>0</v>
      </c>
      <c r="B883" t="s">
        <v>118</v>
      </c>
      <c r="C883" t="s">
        <v>376</v>
      </c>
      <c r="E883" t="s">
        <v>638</v>
      </c>
      <c r="F883" t="s">
        <v>2569</v>
      </c>
      <c r="G883" t="s">
        <v>4081</v>
      </c>
      <c r="H883" t="s">
        <v>5418</v>
      </c>
      <c r="I883" t="s">
        <v>6048</v>
      </c>
      <c r="J883">
        <v>10304</v>
      </c>
      <c r="K883" t="s">
        <v>6074</v>
      </c>
      <c r="L883" t="s">
        <v>6076</v>
      </c>
      <c r="M883" t="s">
        <v>6514</v>
      </c>
      <c r="N883" t="s">
        <v>7274</v>
      </c>
      <c r="O883" t="s">
        <v>7308</v>
      </c>
      <c r="Q883" t="s">
        <v>7322</v>
      </c>
      <c r="R883" t="s">
        <v>6076</v>
      </c>
      <c r="S883" t="s">
        <v>7324</v>
      </c>
      <c r="T883" t="s">
        <v>7336</v>
      </c>
      <c r="U883" t="s">
        <v>376</v>
      </c>
      <c r="V883">
        <v>147</v>
      </c>
      <c r="W883" t="s">
        <v>7364</v>
      </c>
      <c r="X883" t="s">
        <v>7367</v>
      </c>
      <c r="Z883" t="s">
        <v>8076</v>
      </c>
      <c r="AC883">
        <v>150</v>
      </c>
      <c r="AD883" t="s">
        <v>12420</v>
      </c>
      <c r="AE883" t="s">
        <v>12434</v>
      </c>
      <c r="AF883">
        <v>-1</v>
      </c>
      <c r="AG883">
        <v>1</v>
      </c>
      <c r="AH883">
        <v>1</v>
      </c>
      <c r="AI883">
        <v>60.07</v>
      </c>
      <c r="AL883" t="s">
        <v>12460</v>
      </c>
      <c r="AM883">
        <v>9888</v>
      </c>
      <c r="AN883" t="s">
        <v>12574</v>
      </c>
      <c r="AO883" t="s">
        <v>12845</v>
      </c>
      <c r="AS883">
        <v>50.88</v>
      </c>
      <c r="AT883" t="s">
        <v>397</v>
      </c>
      <c r="AU883" t="s">
        <v>210</v>
      </c>
    </row>
    <row r="884" spans="1:48">
      <c r="A884" s="1">
        <f>HYPERLINK("https://cms.ls-nyc.org/matter/dynamic-profile/view/1887744","19-1887744")</f>
        <v>0</v>
      </c>
      <c r="B884" t="s">
        <v>180</v>
      </c>
      <c r="C884" t="s">
        <v>310</v>
      </c>
      <c r="D884" t="s">
        <v>332</v>
      </c>
      <c r="E884" t="s">
        <v>1122</v>
      </c>
      <c r="F884" t="s">
        <v>2580</v>
      </c>
      <c r="G884" t="s">
        <v>4234</v>
      </c>
      <c r="H884" t="s">
        <v>5361</v>
      </c>
      <c r="I884" t="s">
        <v>6043</v>
      </c>
      <c r="J884">
        <v>11212</v>
      </c>
      <c r="K884" t="s">
        <v>6074</v>
      </c>
      <c r="L884" t="s">
        <v>6074</v>
      </c>
      <c r="M884" t="s">
        <v>6515</v>
      </c>
      <c r="N884" t="s">
        <v>7274</v>
      </c>
      <c r="O884" t="s">
        <v>7307</v>
      </c>
      <c r="P884" t="s">
        <v>7315</v>
      </c>
      <c r="Q884" t="s">
        <v>7322</v>
      </c>
      <c r="R884" t="s">
        <v>6076</v>
      </c>
      <c r="S884" t="s">
        <v>7324</v>
      </c>
      <c r="U884" t="s">
        <v>332</v>
      </c>
      <c r="V884">
        <v>1650</v>
      </c>
      <c r="W884" t="s">
        <v>7362</v>
      </c>
      <c r="X884" t="s">
        <v>7366</v>
      </c>
      <c r="Y884" t="s">
        <v>7390</v>
      </c>
      <c r="Z884" t="s">
        <v>8093</v>
      </c>
      <c r="AA884" t="s">
        <v>10059</v>
      </c>
      <c r="AB884" t="s">
        <v>10885</v>
      </c>
      <c r="AC884">
        <v>2</v>
      </c>
      <c r="AD884" t="s">
        <v>12419</v>
      </c>
      <c r="AE884" t="s">
        <v>12433</v>
      </c>
      <c r="AF884">
        <v>2</v>
      </c>
      <c r="AG884">
        <v>1</v>
      </c>
      <c r="AH884">
        <v>2</v>
      </c>
      <c r="AI884">
        <v>60.15</v>
      </c>
      <c r="AL884" t="s">
        <v>12460</v>
      </c>
      <c r="AM884">
        <v>12500</v>
      </c>
      <c r="AS884">
        <v>0.25</v>
      </c>
      <c r="AT884" t="s">
        <v>332</v>
      </c>
      <c r="AU884" t="s">
        <v>180</v>
      </c>
      <c r="AV884" t="s">
        <v>13145</v>
      </c>
    </row>
    <row r="885" spans="1:48">
      <c r="A885" s="1">
        <f>HYPERLINK("https://cms.ls-nyc.org/matter/dynamic-profile/view/1881809","18-1881809")</f>
        <v>0</v>
      </c>
      <c r="B885" t="s">
        <v>103</v>
      </c>
      <c r="C885" t="s">
        <v>360</v>
      </c>
      <c r="E885" t="s">
        <v>1123</v>
      </c>
      <c r="F885" t="s">
        <v>2122</v>
      </c>
      <c r="G885" t="s">
        <v>3810</v>
      </c>
      <c r="H885" t="s">
        <v>5600</v>
      </c>
      <c r="I885" t="s">
        <v>6047</v>
      </c>
      <c r="J885">
        <v>10451</v>
      </c>
      <c r="K885" t="s">
        <v>6074</v>
      </c>
      <c r="L885" t="s">
        <v>6074</v>
      </c>
      <c r="M885" t="s">
        <v>6201</v>
      </c>
      <c r="N885" t="s">
        <v>7273</v>
      </c>
      <c r="O885" t="s">
        <v>7308</v>
      </c>
      <c r="Q885" t="s">
        <v>7322</v>
      </c>
      <c r="R885" t="s">
        <v>6074</v>
      </c>
      <c r="S885" t="s">
        <v>7324</v>
      </c>
      <c r="U885" t="s">
        <v>472</v>
      </c>
      <c r="V885">
        <v>100</v>
      </c>
      <c r="W885" t="s">
        <v>7363</v>
      </c>
      <c r="X885" t="s">
        <v>7376</v>
      </c>
      <c r="Z885" t="s">
        <v>8094</v>
      </c>
      <c r="AB885" t="s">
        <v>10886</v>
      </c>
      <c r="AC885">
        <v>100</v>
      </c>
      <c r="AD885" t="s">
        <v>12422</v>
      </c>
      <c r="AE885" t="s">
        <v>12434</v>
      </c>
      <c r="AF885">
        <v>39</v>
      </c>
      <c r="AG885">
        <v>1</v>
      </c>
      <c r="AH885">
        <v>0</v>
      </c>
      <c r="AI885">
        <v>60.2</v>
      </c>
      <c r="AL885" t="s">
        <v>12461</v>
      </c>
      <c r="AM885">
        <v>7308</v>
      </c>
      <c r="AS885">
        <v>0</v>
      </c>
      <c r="AU885" t="s">
        <v>13095</v>
      </c>
    </row>
    <row r="886" spans="1:48">
      <c r="A886" s="1">
        <f>HYPERLINK("https://cms.ls-nyc.org/matter/dynamic-profile/view/1877083","18-1877083")</f>
        <v>0</v>
      </c>
      <c r="B886" t="s">
        <v>52</v>
      </c>
      <c r="C886" t="s">
        <v>273</v>
      </c>
      <c r="D886" t="s">
        <v>291</v>
      </c>
      <c r="E886" t="s">
        <v>1124</v>
      </c>
      <c r="F886" t="s">
        <v>2581</v>
      </c>
      <c r="G886" t="s">
        <v>4235</v>
      </c>
      <c r="H886" t="s">
        <v>5435</v>
      </c>
      <c r="I886" t="s">
        <v>6040</v>
      </c>
      <c r="J886">
        <v>11355</v>
      </c>
      <c r="K886" t="s">
        <v>6074</v>
      </c>
      <c r="L886" t="s">
        <v>6074</v>
      </c>
      <c r="M886" t="s">
        <v>6110</v>
      </c>
      <c r="N886" t="s">
        <v>6104</v>
      </c>
      <c r="O886" t="s">
        <v>7306</v>
      </c>
      <c r="P886" t="s">
        <v>7314</v>
      </c>
      <c r="Q886" t="s">
        <v>7322</v>
      </c>
      <c r="R886" t="s">
        <v>6076</v>
      </c>
      <c r="S886" t="s">
        <v>7324</v>
      </c>
      <c r="T886" t="s">
        <v>7336</v>
      </c>
      <c r="U886" t="s">
        <v>404</v>
      </c>
      <c r="V886">
        <v>665</v>
      </c>
      <c r="W886" t="s">
        <v>7361</v>
      </c>
      <c r="X886" t="s">
        <v>7371</v>
      </c>
      <c r="Y886" t="s">
        <v>7386</v>
      </c>
      <c r="Z886" t="s">
        <v>8095</v>
      </c>
      <c r="AA886" t="s">
        <v>6110</v>
      </c>
      <c r="AB886" t="s">
        <v>10887</v>
      </c>
      <c r="AC886">
        <v>79</v>
      </c>
      <c r="AD886" t="s">
        <v>12424</v>
      </c>
      <c r="AE886" t="s">
        <v>6110</v>
      </c>
      <c r="AF886">
        <v>8</v>
      </c>
      <c r="AG886">
        <v>2</v>
      </c>
      <c r="AH886">
        <v>0</v>
      </c>
      <c r="AI886">
        <v>60.51</v>
      </c>
      <c r="AL886" t="s">
        <v>12464</v>
      </c>
      <c r="AM886">
        <v>9960</v>
      </c>
      <c r="AS886">
        <v>1.4</v>
      </c>
      <c r="AT886" t="s">
        <v>291</v>
      </c>
      <c r="AU886" t="s">
        <v>52</v>
      </c>
    </row>
    <row r="887" spans="1:48">
      <c r="A887" s="1">
        <f>HYPERLINK("https://cms.ls-nyc.org/matter/dynamic-profile/view/1897119","19-1897119")</f>
        <v>0</v>
      </c>
      <c r="B887" t="s">
        <v>54</v>
      </c>
      <c r="C887" t="s">
        <v>347</v>
      </c>
      <c r="E887" t="s">
        <v>1125</v>
      </c>
      <c r="F887" t="s">
        <v>2582</v>
      </c>
      <c r="G887" t="s">
        <v>3900</v>
      </c>
      <c r="H887" t="s">
        <v>5373</v>
      </c>
      <c r="I887" t="s">
        <v>6025</v>
      </c>
      <c r="J887">
        <v>11691</v>
      </c>
      <c r="K887" t="s">
        <v>6074</v>
      </c>
      <c r="L887" t="s">
        <v>6074</v>
      </c>
      <c r="N887" t="s">
        <v>7279</v>
      </c>
      <c r="O887" t="s">
        <v>7311</v>
      </c>
      <c r="Q887" t="s">
        <v>7322</v>
      </c>
      <c r="R887" t="s">
        <v>6074</v>
      </c>
      <c r="S887" t="s">
        <v>7324</v>
      </c>
      <c r="U887" t="s">
        <v>347</v>
      </c>
      <c r="V887">
        <v>660</v>
      </c>
      <c r="W887" t="s">
        <v>7361</v>
      </c>
      <c r="X887" t="s">
        <v>7375</v>
      </c>
      <c r="Z887" t="s">
        <v>8096</v>
      </c>
      <c r="AB887" t="s">
        <v>10888</v>
      </c>
      <c r="AC887">
        <v>43</v>
      </c>
      <c r="AD887" t="s">
        <v>12422</v>
      </c>
      <c r="AE887" t="s">
        <v>6110</v>
      </c>
      <c r="AF887">
        <v>10</v>
      </c>
      <c r="AG887">
        <v>3</v>
      </c>
      <c r="AH887">
        <v>1</v>
      </c>
      <c r="AI887">
        <v>60.58</v>
      </c>
      <c r="AL887" t="s">
        <v>12460</v>
      </c>
      <c r="AM887">
        <v>15600</v>
      </c>
      <c r="AS887">
        <v>0</v>
      </c>
      <c r="AU887" t="s">
        <v>189</v>
      </c>
    </row>
    <row r="888" spans="1:48">
      <c r="A888" s="1">
        <f>HYPERLINK("https://cms.ls-nyc.org/matter/dynamic-profile/view/1897230","19-1897230")</f>
        <v>0</v>
      </c>
      <c r="B888" t="s">
        <v>54</v>
      </c>
      <c r="C888" t="s">
        <v>347</v>
      </c>
      <c r="E888" t="s">
        <v>1125</v>
      </c>
      <c r="F888" t="s">
        <v>2582</v>
      </c>
      <c r="G888" t="s">
        <v>3900</v>
      </c>
      <c r="H888" t="s">
        <v>5373</v>
      </c>
      <c r="I888" t="s">
        <v>6025</v>
      </c>
      <c r="J888">
        <v>11691</v>
      </c>
      <c r="K888" t="s">
        <v>6074</v>
      </c>
      <c r="L888" t="s">
        <v>6074</v>
      </c>
      <c r="N888" t="s">
        <v>7278</v>
      </c>
      <c r="O888" t="s">
        <v>7307</v>
      </c>
      <c r="Q888" t="s">
        <v>7322</v>
      </c>
      <c r="R888" t="s">
        <v>6074</v>
      </c>
      <c r="S888" t="s">
        <v>7324</v>
      </c>
      <c r="U888" t="s">
        <v>347</v>
      </c>
      <c r="V888">
        <v>660</v>
      </c>
      <c r="W888" t="s">
        <v>7361</v>
      </c>
      <c r="X888" t="s">
        <v>7375</v>
      </c>
      <c r="Z888" t="s">
        <v>8096</v>
      </c>
      <c r="AB888" t="s">
        <v>10888</v>
      </c>
      <c r="AC888">
        <v>43</v>
      </c>
      <c r="AD888" t="s">
        <v>12422</v>
      </c>
      <c r="AE888" t="s">
        <v>6110</v>
      </c>
      <c r="AF888">
        <v>10</v>
      </c>
      <c r="AG888">
        <v>3</v>
      </c>
      <c r="AH888">
        <v>1</v>
      </c>
      <c r="AI888">
        <v>60.58</v>
      </c>
      <c r="AL888" t="s">
        <v>12460</v>
      </c>
      <c r="AM888">
        <v>15600</v>
      </c>
      <c r="AS888">
        <v>0</v>
      </c>
      <c r="AU888" t="s">
        <v>189</v>
      </c>
    </row>
    <row r="889" spans="1:48">
      <c r="A889" s="1">
        <f>HYPERLINK("https://cms.ls-nyc.org/matter/dynamic-profile/view/1891259","19-1891259")</f>
        <v>0</v>
      </c>
      <c r="B889" t="s">
        <v>60</v>
      </c>
      <c r="C889" t="s">
        <v>337</v>
      </c>
      <c r="E889" t="s">
        <v>1126</v>
      </c>
      <c r="F889" t="s">
        <v>1977</v>
      </c>
      <c r="G889" t="s">
        <v>4236</v>
      </c>
      <c r="H889">
        <v>2</v>
      </c>
      <c r="I889" t="s">
        <v>6040</v>
      </c>
      <c r="J889">
        <v>11355</v>
      </c>
      <c r="K889" t="s">
        <v>6074</v>
      </c>
      <c r="L889" t="s">
        <v>6074</v>
      </c>
      <c r="M889" t="s">
        <v>6516</v>
      </c>
      <c r="N889" t="s">
        <v>7274</v>
      </c>
      <c r="O889" t="s">
        <v>7308</v>
      </c>
      <c r="Q889" t="s">
        <v>7323</v>
      </c>
      <c r="R889" t="s">
        <v>6076</v>
      </c>
      <c r="S889" t="s">
        <v>7324</v>
      </c>
      <c r="T889" t="s">
        <v>7336</v>
      </c>
      <c r="U889" t="s">
        <v>371</v>
      </c>
      <c r="V889">
        <v>2150</v>
      </c>
      <c r="W889" t="s">
        <v>7361</v>
      </c>
      <c r="X889" t="s">
        <v>7369</v>
      </c>
      <c r="Z889" t="s">
        <v>8097</v>
      </c>
      <c r="AA889" t="s">
        <v>9856</v>
      </c>
      <c r="AB889" t="s">
        <v>9856</v>
      </c>
      <c r="AC889">
        <v>3</v>
      </c>
      <c r="AD889" t="s">
        <v>12419</v>
      </c>
      <c r="AE889" t="s">
        <v>6110</v>
      </c>
      <c r="AF889">
        <v>1</v>
      </c>
      <c r="AG889">
        <v>1</v>
      </c>
      <c r="AH889">
        <v>3</v>
      </c>
      <c r="AI889">
        <v>60.58</v>
      </c>
      <c r="AJ889" t="s">
        <v>12443</v>
      </c>
      <c r="AK889" t="s">
        <v>12455</v>
      </c>
      <c r="AL889" t="s">
        <v>12461</v>
      </c>
      <c r="AM889">
        <v>15600</v>
      </c>
      <c r="AS889">
        <v>20.8</v>
      </c>
      <c r="AT889" t="s">
        <v>501</v>
      </c>
      <c r="AU889" t="s">
        <v>60</v>
      </c>
    </row>
    <row r="890" spans="1:48">
      <c r="A890" s="1">
        <f>HYPERLINK("https://cms.ls-nyc.org/matter/dynamic-profile/view/1889923","19-1889923")</f>
        <v>0</v>
      </c>
      <c r="B890" t="s">
        <v>96</v>
      </c>
      <c r="C890" t="s">
        <v>351</v>
      </c>
      <c r="E890" t="s">
        <v>721</v>
      </c>
      <c r="F890" t="s">
        <v>2193</v>
      </c>
      <c r="G890" t="s">
        <v>3792</v>
      </c>
      <c r="H890" t="s">
        <v>5444</v>
      </c>
      <c r="I890" t="s">
        <v>6047</v>
      </c>
      <c r="J890">
        <v>10453</v>
      </c>
      <c r="K890" t="s">
        <v>6074</v>
      </c>
      <c r="L890" t="s">
        <v>6074</v>
      </c>
      <c r="M890" t="s">
        <v>6259</v>
      </c>
      <c r="N890" t="s">
        <v>7273</v>
      </c>
      <c r="O890" t="s">
        <v>7308</v>
      </c>
      <c r="Q890" t="s">
        <v>7322</v>
      </c>
      <c r="R890" t="s">
        <v>6074</v>
      </c>
      <c r="S890" t="s">
        <v>7324</v>
      </c>
      <c r="U890" t="s">
        <v>457</v>
      </c>
      <c r="V890">
        <v>1273</v>
      </c>
      <c r="W890" t="s">
        <v>7363</v>
      </c>
      <c r="X890" t="s">
        <v>7376</v>
      </c>
      <c r="Z890" t="s">
        <v>7568</v>
      </c>
      <c r="AC890">
        <v>167</v>
      </c>
      <c r="AD890" t="s">
        <v>12422</v>
      </c>
      <c r="AE890" t="s">
        <v>6110</v>
      </c>
      <c r="AF890">
        <v>11</v>
      </c>
      <c r="AG890">
        <v>2</v>
      </c>
      <c r="AH890">
        <v>2</v>
      </c>
      <c r="AI890">
        <v>60.58</v>
      </c>
      <c r="AL890" t="s">
        <v>12461</v>
      </c>
      <c r="AM890">
        <v>15600</v>
      </c>
      <c r="AS890">
        <v>0</v>
      </c>
      <c r="AU890" t="s">
        <v>13092</v>
      </c>
    </row>
    <row r="891" spans="1:48">
      <c r="A891" s="1">
        <f>HYPERLINK("https://cms.ls-nyc.org/matter/dynamic-profile/view/1894505","19-1894505")</f>
        <v>0</v>
      </c>
      <c r="B891" t="s">
        <v>97</v>
      </c>
      <c r="C891" t="s">
        <v>338</v>
      </c>
      <c r="E891" t="s">
        <v>1127</v>
      </c>
      <c r="F891" t="s">
        <v>2285</v>
      </c>
      <c r="G891" t="s">
        <v>3803</v>
      </c>
      <c r="H891" t="s">
        <v>5465</v>
      </c>
      <c r="I891" t="s">
        <v>6047</v>
      </c>
      <c r="J891">
        <v>10452</v>
      </c>
      <c r="K891" t="s">
        <v>6074</v>
      </c>
      <c r="L891" t="s">
        <v>6074</v>
      </c>
      <c r="N891" t="s">
        <v>6104</v>
      </c>
      <c r="O891" t="s">
        <v>7306</v>
      </c>
      <c r="Q891" t="s">
        <v>7322</v>
      </c>
      <c r="R891" t="s">
        <v>6076</v>
      </c>
      <c r="S891" t="s">
        <v>7324</v>
      </c>
      <c r="U891" t="s">
        <v>338</v>
      </c>
      <c r="V891">
        <v>1384.46</v>
      </c>
      <c r="W891" t="s">
        <v>7363</v>
      </c>
      <c r="X891" t="s">
        <v>7376</v>
      </c>
      <c r="Z891" t="s">
        <v>8098</v>
      </c>
      <c r="AC891">
        <v>58</v>
      </c>
      <c r="AD891" t="s">
        <v>12422</v>
      </c>
      <c r="AE891" t="s">
        <v>6110</v>
      </c>
      <c r="AF891">
        <v>12</v>
      </c>
      <c r="AG891">
        <v>3</v>
      </c>
      <c r="AH891">
        <v>1</v>
      </c>
      <c r="AI891">
        <v>60.58</v>
      </c>
      <c r="AL891" t="s">
        <v>12461</v>
      </c>
      <c r="AM891">
        <v>15600</v>
      </c>
      <c r="AS891">
        <v>1.5</v>
      </c>
      <c r="AT891" t="s">
        <v>235</v>
      </c>
      <c r="AU891" t="s">
        <v>97</v>
      </c>
    </row>
    <row r="892" spans="1:48">
      <c r="A892" s="1">
        <f>HYPERLINK("https://cms.ls-nyc.org/matter/dynamic-profile/view/1887831","19-1887831")</f>
        <v>0</v>
      </c>
      <c r="B892" t="s">
        <v>80</v>
      </c>
      <c r="C892" t="s">
        <v>310</v>
      </c>
      <c r="E892" t="s">
        <v>649</v>
      </c>
      <c r="F892" t="s">
        <v>2583</v>
      </c>
      <c r="G892" t="s">
        <v>3730</v>
      </c>
      <c r="H892" t="s">
        <v>5601</v>
      </c>
      <c r="I892" t="s">
        <v>6043</v>
      </c>
      <c r="J892">
        <v>11225</v>
      </c>
      <c r="K892" t="s">
        <v>6074</v>
      </c>
      <c r="L892" t="s">
        <v>6074</v>
      </c>
      <c r="N892" t="s">
        <v>7279</v>
      </c>
      <c r="O892" t="s">
        <v>7311</v>
      </c>
      <c r="Q892" t="s">
        <v>7322</v>
      </c>
      <c r="R892" t="s">
        <v>6074</v>
      </c>
      <c r="S892" t="s">
        <v>7324</v>
      </c>
      <c r="U892" t="s">
        <v>550</v>
      </c>
      <c r="V892">
        <v>795.52</v>
      </c>
      <c r="W892" t="s">
        <v>7362</v>
      </c>
      <c r="X892" t="s">
        <v>7376</v>
      </c>
      <c r="Z892" t="s">
        <v>8099</v>
      </c>
      <c r="AB892" t="s">
        <v>10889</v>
      </c>
      <c r="AC892">
        <v>89</v>
      </c>
      <c r="AD892" t="s">
        <v>12422</v>
      </c>
      <c r="AE892" t="s">
        <v>12434</v>
      </c>
      <c r="AF892">
        <v>35</v>
      </c>
      <c r="AG892">
        <v>2</v>
      </c>
      <c r="AH892">
        <v>0</v>
      </c>
      <c r="AI892">
        <v>60.66</v>
      </c>
      <c r="AL892" t="s">
        <v>12460</v>
      </c>
      <c r="AM892">
        <v>9984</v>
      </c>
      <c r="AS892">
        <v>0</v>
      </c>
      <c r="AU892" t="s">
        <v>180</v>
      </c>
    </row>
    <row r="893" spans="1:48">
      <c r="A893" s="1">
        <f>HYPERLINK("https://cms.ls-nyc.org/matter/dynamic-profile/view/1875921","18-1875921")</f>
        <v>0</v>
      </c>
      <c r="B893" t="s">
        <v>80</v>
      </c>
      <c r="C893" t="s">
        <v>301</v>
      </c>
      <c r="E893" t="s">
        <v>649</v>
      </c>
      <c r="F893" t="s">
        <v>2583</v>
      </c>
      <c r="G893" t="s">
        <v>3730</v>
      </c>
      <c r="H893" t="s">
        <v>5601</v>
      </c>
      <c r="I893" t="s">
        <v>6043</v>
      </c>
      <c r="J893">
        <v>11225</v>
      </c>
      <c r="K893" t="s">
        <v>6074</v>
      </c>
      <c r="L893" t="s">
        <v>6074</v>
      </c>
      <c r="M893" t="s">
        <v>6104</v>
      </c>
      <c r="N893" t="s">
        <v>6104</v>
      </c>
      <c r="O893" t="s">
        <v>7307</v>
      </c>
      <c r="Q893" t="s">
        <v>7322</v>
      </c>
      <c r="R893" t="s">
        <v>6076</v>
      </c>
      <c r="S893" t="s">
        <v>7324</v>
      </c>
      <c r="U893" t="s">
        <v>550</v>
      </c>
      <c r="V893">
        <v>795.52</v>
      </c>
      <c r="W893" t="s">
        <v>7362</v>
      </c>
      <c r="X893" t="s">
        <v>7376</v>
      </c>
      <c r="Z893" t="s">
        <v>8099</v>
      </c>
      <c r="AB893" t="s">
        <v>10889</v>
      </c>
      <c r="AC893">
        <v>89</v>
      </c>
      <c r="AD893" t="s">
        <v>12422</v>
      </c>
      <c r="AE893" t="s">
        <v>12434</v>
      </c>
      <c r="AF893">
        <v>35</v>
      </c>
      <c r="AG893">
        <v>2</v>
      </c>
      <c r="AH893">
        <v>0</v>
      </c>
      <c r="AI893">
        <v>60.66</v>
      </c>
      <c r="AL893" t="s">
        <v>12460</v>
      </c>
      <c r="AM893">
        <v>9984</v>
      </c>
      <c r="AN893" t="s">
        <v>12491</v>
      </c>
      <c r="AS893">
        <v>0</v>
      </c>
      <c r="AU893" t="s">
        <v>218</v>
      </c>
    </row>
    <row r="894" spans="1:48">
      <c r="A894" s="1">
        <f>HYPERLINK("https://cms.ls-nyc.org/matter/dynamic-profile/view/1895332","19-1895332")</f>
        <v>0</v>
      </c>
      <c r="B894" t="s">
        <v>116</v>
      </c>
      <c r="C894" t="s">
        <v>322</v>
      </c>
      <c r="D894" t="s">
        <v>343</v>
      </c>
      <c r="E894" t="s">
        <v>961</v>
      </c>
      <c r="F894" t="s">
        <v>2584</v>
      </c>
      <c r="G894" t="s">
        <v>4237</v>
      </c>
      <c r="H894" t="s">
        <v>5513</v>
      </c>
      <c r="I894" t="s">
        <v>6047</v>
      </c>
      <c r="J894">
        <v>10456</v>
      </c>
      <c r="K894" t="s">
        <v>6074</v>
      </c>
      <c r="L894" t="s">
        <v>6074</v>
      </c>
      <c r="N894" t="s">
        <v>6104</v>
      </c>
      <c r="O894" t="s">
        <v>7307</v>
      </c>
      <c r="P894" t="s">
        <v>7315</v>
      </c>
      <c r="Q894" t="s">
        <v>7322</v>
      </c>
      <c r="R894" t="s">
        <v>6076</v>
      </c>
      <c r="S894" t="s">
        <v>7324</v>
      </c>
      <c r="U894" t="s">
        <v>247</v>
      </c>
      <c r="V894">
        <v>266</v>
      </c>
      <c r="W894" t="s">
        <v>7363</v>
      </c>
      <c r="X894" t="s">
        <v>7376</v>
      </c>
      <c r="Y894" t="s">
        <v>7386</v>
      </c>
      <c r="Z894" t="s">
        <v>8100</v>
      </c>
      <c r="AB894" t="s">
        <v>10890</v>
      </c>
      <c r="AC894">
        <v>60</v>
      </c>
      <c r="AD894" t="s">
        <v>12422</v>
      </c>
      <c r="AE894" t="s">
        <v>12434</v>
      </c>
      <c r="AF894">
        <v>29</v>
      </c>
      <c r="AG894">
        <v>1</v>
      </c>
      <c r="AH894">
        <v>0</v>
      </c>
      <c r="AI894">
        <v>60.82</v>
      </c>
      <c r="AL894" t="s">
        <v>12461</v>
      </c>
      <c r="AM894">
        <v>7596</v>
      </c>
      <c r="AS894">
        <v>1.75</v>
      </c>
      <c r="AT894" t="s">
        <v>457</v>
      </c>
      <c r="AU894" t="s">
        <v>116</v>
      </c>
    </row>
    <row r="895" spans="1:48">
      <c r="A895" s="1">
        <f>HYPERLINK("https://cms.ls-nyc.org/matter/dynamic-profile/view/1872335","18-1872335")</f>
        <v>0</v>
      </c>
      <c r="B895" t="s">
        <v>101</v>
      </c>
      <c r="C895" t="s">
        <v>394</v>
      </c>
      <c r="E895" t="s">
        <v>1128</v>
      </c>
      <c r="F895" t="s">
        <v>2585</v>
      </c>
      <c r="G895" t="s">
        <v>4238</v>
      </c>
      <c r="H895" t="s">
        <v>5354</v>
      </c>
      <c r="I895" t="s">
        <v>6047</v>
      </c>
      <c r="J895">
        <v>10459</v>
      </c>
      <c r="K895" t="s">
        <v>6074</v>
      </c>
      <c r="L895" t="s">
        <v>6074</v>
      </c>
      <c r="M895" t="s">
        <v>6517</v>
      </c>
      <c r="N895" t="s">
        <v>7276</v>
      </c>
      <c r="O895" t="s">
        <v>7308</v>
      </c>
      <c r="Q895" t="s">
        <v>7322</v>
      </c>
      <c r="R895" t="s">
        <v>6076</v>
      </c>
      <c r="S895" t="s">
        <v>7324</v>
      </c>
      <c r="T895" t="s">
        <v>7339</v>
      </c>
      <c r="U895" t="s">
        <v>394</v>
      </c>
      <c r="V895">
        <v>1032.47</v>
      </c>
      <c r="W895" t="s">
        <v>7363</v>
      </c>
      <c r="X895" t="s">
        <v>7377</v>
      </c>
      <c r="Z895" t="s">
        <v>8101</v>
      </c>
      <c r="AA895" t="s">
        <v>10060</v>
      </c>
      <c r="AB895" t="s">
        <v>10891</v>
      </c>
      <c r="AC895">
        <v>40</v>
      </c>
      <c r="AD895" t="s">
        <v>12422</v>
      </c>
      <c r="AE895" t="s">
        <v>6110</v>
      </c>
      <c r="AF895">
        <v>22</v>
      </c>
      <c r="AG895">
        <v>3</v>
      </c>
      <c r="AH895">
        <v>0</v>
      </c>
      <c r="AI895">
        <v>60.87</v>
      </c>
      <c r="AL895" t="s">
        <v>12460</v>
      </c>
      <c r="AM895">
        <v>12648</v>
      </c>
      <c r="AN895" t="s">
        <v>12513</v>
      </c>
      <c r="AS895">
        <v>89.65000000000001</v>
      </c>
      <c r="AT895" t="s">
        <v>381</v>
      </c>
      <c r="AU895" t="s">
        <v>13100</v>
      </c>
    </row>
    <row r="896" spans="1:48">
      <c r="A896" s="1">
        <f>HYPERLINK("https://cms.ls-nyc.org/matter/dynamic-profile/view/1898008","19-1898008")</f>
        <v>0</v>
      </c>
      <c r="B896" t="s">
        <v>77</v>
      </c>
      <c r="C896" t="s">
        <v>418</v>
      </c>
      <c r="E896" t="s">
        <v>1129</v>
      </c>
      <c r="F896" t="s">
        <v>2174</v>
      </c>
      <c r="G896" t="s">
        <v>4239</v>
      </c>
      <c r="H896" t="s">
        <v>5578</v>
      </c>
      <c r="I896" t="s">
        <v>6043</v>
      </c>
      <c r="J896">
        <v>11207</v>
      </c>
      <c r="K896" t="s">
        <v>6074</v>
      </c>
      <c r="L896" t="s">
        <v>6074</v>
      </c>
      <c r="M896" t="s">
        <v>6518</v>
      </c>
      <c r="N896" t="s">
        <v>7276</v>
      </c>
      <c r="O896" t="s">
        <v>7308</v>
      </c>
      <c r="Q896" t="s">
        <v>7322</v>
      </c>
      <c r="S896" t="s">
        <v>7324</v>
      </c>
      <c r="U896" t="s">
        <v>418</v>
      </c>
      <c r="V896">
        <v>11762.77</v>
      </c>
      <c r="W896" t="s">
        <v>7362</v>
      </c>
      <c r="X896" t="s">
        <v>7366</v>
      </c>
      <c r="Z896" t="s">
        <v>8102</v>
      </c>
      <c r="AB896" t="s">
        <v>10892</v>
      </c>
      <c r="AC896">
        <v>6</v>
      </c>
      <c r="AD896" t="s">
        <v>12422</v>
      </c>
      <c r="AF896">
        <v>11</v>
      </c>
      <c r="AG896">
        <v>1</v>
      </c>
      <c r="AH896">
        <v>2</v>
      </c>
      <c r="AI896">
        <v>60.95</v>
      </c>
      <c r="AL896" t="s">
        <v>12466</v>
      </c>
      <c r="AM896">
        <v>13000</v>
      </c>
      <c r="AS896">
        <v>9</v>
      </c>
      <c r="AT896" t="s">
        <v>564</v>
      </c>
      <c r="AU896" t="s">
        <v>13084</v>
      </c>
    </row>
    <row r="897" spans="1:48">
      <c r="A897" s="1">
        <f>HYPERLINK("https://cms.ls-nyc.org/matter/dynamic-profile/view/1881919","18-1881919")</f>
        <v>0</v>
      </c>
      <c r="B897" t="s">
        <v>96</v>
      </c>
      <c r="C897" t="s">
        <v>258</v>
      </c>
      <c r="D897" t="s">
        <v>313</v>
      </c>
      <c r="E897" t="s">
        <v>741</v>
      </c>
      <c r="F897" t="s">
        <v>2534</v>
      </c>
      <c r="G897" t="s">
        <v>4240</v>
      </c>
      <c r="I897" t="s">
        <v>6047</v>
      </c>
      <c r="J897">
        <v>10472</v>
      </c>
      <c r="K897" t="s">
        <v>6074</v>
      </c>
      <c r="L897" t="s">
        <v>6074</v>
      </c>
      <c r="N897" t="s">
        <v>7276</v>
      </c>
      <c r="O897" t="s">
        <v>7306</v>
      </c>
      <c r="P897" t="s">
        <v>7314</v>
      </c>
      <c r="Q897" t="s">
        <v>7322</v>
      </c>
      <c r="R897" t="s">
        <v>6076</v>
      </c>
      <c r="S897" t="s">
        <v>7324</v>
      </c>
      <c r="T897" t="s">
        <v>7338</v>
      </c>
      <c r="U897" t="s">
        <v>359</v>
      </c>
      <c r="V897">
        <v>968</v>
      </c>
      <c r="W897" t="s">
        <v>7363</v>
      </c>
      <c r="X897" t="s">
        <v>7376</v>
      </c>
      <c r="Y897" t="s">
        <v>7386</v>
      </c>
      <c r="Z897" t="s">
        <v>8103</v>
      </c>
      <c r="AB897" t="s">
        <v>10893</v>
      </c>
      <c r="AC897">
        <v>0</v>
      </c>
      <c r="AD897" t="s">
        <v>12422</v>
      </c>
      <c r="AF897">
        <v>0</v>
      </c>
      <c r="AG897">
        <v>2</v>
      </c>
      <c r="AH897">
        <v>0</v>
      </c>
      <c r="AI897">
        <v>60.95</v>
      </c>
      <c r="AL897" t="s">
        <v>12461</v>
      </c>
      <c r="AM897">
        <v>10032</v>
      </c>
      <c r="AS897">
        <v>0.85</v>
      </c>
      <c r="AT897" t="s">
        <v>313</v>
      </c>
      <c r="AU897" t="s">
        <v>99</v>
      </c>
    </row>
    <row r="898" spans="1:48">
      <c r="A898" s="1">
        <f>HYPERLINK("https://cms.ls-nyc.org/matter/dynamic-profile/view/1879852","18-1879852")</f>
        <v>0</v>
      </c>
      <c r="B898" t="s">
        <v>132</v>
      </c>
      <c r="C898" t="s">
        <v>271</v>
      </c>
      <c r="D898" t="s">
        <v>448</v>
      </c>
      <c r="E898" t="s">
        <v>1130</v>
      </c>
      <c r="F898" t="s">
        <v>2284</v>
      </c>
      <c r="G898" t="s">
        <v>4241</v>
      </c>
      <c r="H898" t="s">
        <v>5354</v>
      </c>
      <c r="I898" t="s">
        <v>6049</v>
      </c>
      <c r="J898">
        <v>10034</v>
      </c>
      <c r="K898" t="s">
        <v>6074</v>
      </c>
      <c r="L898" t="s">
        <v>6074</v>
      </c>
      <c r="N898" t="s">
        <v>7275</v>
      </c>
      <c r="O898" t="s">
        <v>7309</v>
      </c>
      <c r="P898" t="s">
        <v>7319</v>
      </c>
      <c r="Q898" t="s">
        <v>7322</v>
      </c>
      <c r="R898" t="s">
        <v>6076</v>
      </c>
      <c r="S898" t="s">
        <v>7324</v>
      </c>
      <c r="U898" t="s">
        <v>271</v>
      </c>
      <c r="V898">
        <v>1400</v>
      </c>
      <c r="W898" t="s">
        <v>7365</v>
      </c>
      <c r="X898" t="s">
        <v>7367</v>
      </c>
      <c r="Y898" t="s">
        <v>7387</v>
      </c>
      <c r="Z898" t="s">
        <v>8104</v>
      </c>
      <c r="AB898" t="s">
        <v>10894</v>
      </c>
      <c r="AC898">
        <v>30</v>
      </c>
      <c r="AD898" t="s">
        <v>12422</v>
      </c>
      <c r="AE898" t="s">
        <v>12434</v>
      </c>
      <c r="AF898">
        <v>6</v>
      </c>
      <c r="AG898">
        <v>2</v>
      </c>
      <c r="AH898">
        <v>1</v>
      </c>
      <c r="AI898">
        <v>60.99</v>
      </c>
      <c r="AL898" t="s">
        <v>12461</v>
      </c>
      <c r="AM898">
        <v>12673.2</v>
      </c>
      <c r="AS898">
        <v>13.5</v>
      </c>
      <c r="AT898" t="s">
        <v>370</v>
      </c>
      <c r="AU898" t="s">
        <v>13106</v>
      </c>
    </row>
    <row r="899" spans="1:48">
      <c r="A899" s="1">
        <f>HYPERLINK("https://cms.ls-nyc.org/matter/dynamic-profile/view/1886339","18-1886339")</f>
        <v>0</v>
      </c>
      <c r="B899" t="s">
        <v>101</v>
      </c>
      <c r="C899" t="s">
        <v>443</v>
      </c>
      <c r="E899" t="s">
        <v>1131</v>
      </c>
      <c r="F899" t="s">
        <v>2297</v>
      </c>
      <c r="G899" t="s">
        <v>3939</v>
      </c>
      <c r="H899" t="s">
        <v>5455</v>
      </c>
      <c r="I899" t="s">
        <v>6047</v>
      </c>
      <c r="J899">
        <v>10456</v>
      </c>
      <c r="K899" t="s">
        <v>6074</v>
      </c>
      <c r="L899" t="s">
        <v>6074</v>
      </c>
      <c r="M899" t="s">
        <v>6303</v>
      </c>
      <c r="N899" t="s">
        <v>7279</v>
      </c>
      <c r="O899" t="s">
        <v>7311</v>
      </c>
      <c r="Q899" t="s">
        <v>7322</v>
      </c>
      <c r="R899" t="s">
        <v>6074</v>
      </c>
      <c r="S899" t="s">
        <v>7324</v>
      </c>
      <c r="U899" t="s">
        <v>472</v>
      </c>
      <c r="V899">
        <v>1047</v>
      </c>
      <c r="W899" t="s">
        <v>7363</v>
      </c>
      <c r="X899" t="s">
        <v>7376</v>
      </c>
      <c r="Z899" t="s">
        <v>8105</v>
      </c>
      <c r="AB899" t="s">
        <v>10895</v>
      </c>
      <c r="AC899">
        <v>131</v>
      </c>
      <c r="AD899" t="s">
        <v>12422</v>
      </c>
      <c r="AE899" t="s">
        <v>6110</v>
      </c>
      <c r="AF899">
        <v>13</v>
      </c>
      <c r="AG899">
        <v>2</v>
      </c>
      <c r="AH899">
        <v>0</v>
      </c>
      <c r="AI899">
        <v>61.02</v>
      </c>
      <c r="AL899" t="s">
        <v>12461</v>
      </c>
      <c r="AM899">
        <v>10044</v>
      </c>
      <c r="AS899">
        <v>0</v>
      </c>
      <c r="AU899" t="s">
        <v>13095</v>
      </c>
    </row>
    <row r="900" spans="1:48">
      <c r="A900" s="1">
        <f>HYPERLINK("https://cms.ls-nyc.org/matter/dynamic-profile/view/1886340","18-1886340")</f>
        <v>0</v>
      </c>
      <c r="B900" t="s">
        <v>101</v>
      </c>
      <c r="C900" t="s">
        <v>443</v>
      </c>
      <c r="E900" t="s">
        <v>1131</v>
      </c>
      <c r="F900" t="s">
        <v>2297</v>
      </c>
      <c r="G900" t="s">
        <v>3939</v>
      </c>
      <c r="H900" t="s">
        <v>5455</v>
      </c>
      <c r="I900" t="s">
        <v>6047</v>
      </c>
      <c r="J900">
        <v>10456</v>
      </c>
      <c r="K900" t="s">
        <v>6074</v>
      </c>
      <c r="L900" t="s">
        <v>6074</v>
      </c>
      <c r="N900" t="s">
        <v>7279</v>
      </c>
      <c r="O900" t="s">
        <v>7311</v>
      </c>
      <c r="Q900" t="s">
        <v>7322</v>
      </c>
      <c r="R900" t="s">
        <v>6074</v>
      </c>
      <c r="S900" t="s">
        <v>7324</v>
      </c>
      <c r="U900" t="s">
        <v>457</v>
      </c>
      <c r="V900">
        <v>1047</v>
      </c>
      <c r="W900" t="s">
        <v>7363</v>
      </c>
      <c r="X900" t="s">
        <v>7376</v>
      </c>
      <c r="Z900" t="s">
        <v>8105</v>
      </c>
      <c r="AB900" t="s">
        <v>10895</v>
      </c>
      <c r="AC900">
        <v>131</v>
      </c>
      <c r="AD900" t="s">
        <v>12422</v>
      </c>
      <c r="AE900" t="s">
        <v>6110</v>
      </c>
      <c r="AF900">
        <v>13</v>
      </c>
      <c r="AG900">
        <v>2</v>
      </c>
      <c r="AH900">
        <v>0</v>
      </c>
      <c r="AI900">
        <v>61.02</v>
      </c>
      <c r="AL900" t="s">
        <v>12461</v>
      </c>
      <c r="AM900">
        <v>10044</v>
      </c>
      <c r="AS900">
        <v>0</v>
      </c>
      <c r="AU900" t="s">
        <v>13095</v>
      </c>
    </row>
    <row r="901" spans="1:48">
      <c r="A901" s="1">
        <f>HYPERLINK("https://cms.ls-nyc.org/matter/dynamic-profile/view/1885942","18-1885942")</f>
        <v>0</v>
      </c>
      <c r="B901" t="s">
        <v>181</v>
      </c>
      <c r="C901" t="s">
        <v>462</v>
      </c>
      <c r="E901" t="s">
        <v>1132</v>
      </c>
      <c r="F901" t="s">
        <v>2122</v>
      </c>
      <c r="G901" t="s">
        <v>4242</v>
      </c>
      <c r="H901" t="s">
        <v>5424</v>
      </c>
      <c r="I901" t="s">
        <v>6049</v>
      </c>
      <c r="J901">
        <v>10032</v>
      </c>
      <c r="K901" t="s">
        <v>6074</v>
      </c>
      <c r="L901" t="s">
        <v>6074</v>
      </c>
      <c r="O901" t="s">
        <v>7310</v>
      </c>
      <c r="Q901" t="s">
        <v>7322</v>
      </c>
      <c r="R901" t="s">
        <v>6076</v>
      </c>
      <c r="S901" t="s">
        <v>7324</v>
      </c>
      <c r="U901" t="s">
        <v>462</v>
      </c>
      <c r="V901">
        <v>558</v>
      </c>
      <c r="W901" t="s">
        <v>7365</v>
      </c>
      <c r="X901" t="s">
        <v>7367</v>
      </c>
      <c r="Z901" t="s">
        <v>8106</v>
      </c>
      <c r="AB901" t="s">
        <v>10896</v>
      </c>
      <c r="AC901">
        <v>0</v>
      </c>
      <c r="AD901" t="s">
        <v>12422</v>
      </c>
      <c r="AE901" t="s">
        <v>6110</v>
      </c>
      <c r="AF901">
        <v>48</v>
      </c>
      <c r="AG901">
        <v>2</v>
      </c>
      <c r="AH901">
        <v>0</v>
      </c>
      <c r="AI901">
        <v>61.02</v>
      </c>
      <c r="AL901" t="s">
        <v>12474</v>
      </c>
      <c r="AM901">
        <v>10044</v>
      </c>
      <c r="AS901">
        <v>6.5</v>
      </c>
      <c r="AT901" t="s">
        <v>445</v>
      </c>
      <c r="AU901" t="s">
        <v>13106</v>
      </c>
    </row>
    <row r="902" spans="1:48">
      <c r="A902" s="1">
        <f>HYPERLINK("https://cms.ls-nyc.org/matter/dynamic-profile/view/1889325","19-1889325")</f>
        <v>0</v>
      </c>
      <c r="B902" t="s">
        <v>75</v>
      </c>
      <c r="C902" t="s">
        <v>261</v>
      </c>
      <c r="E902" t="s">
        <v>1133</v>
      </c>
      <c r="F902" t="s">
        <v>2586</v>
      </c>
      <c r="G902" t="s">
        <v>3721</v>
      </c>
      <c r="I902" t="s">
        <v>6043</v>
      </c>
      <c r="J902">
        <v>11226</v>
      </c>
      <c r="K902" t="s">
        <v>6076</v>
      </c>
      <c r="L902" t="s">
        <v>6074</v>
      </c>
      <c r="N902" t="s">
        <v>7279</v>
      </c>
      <c r="O902" t="s">
        <v>7311</v>
      </c>
      <c r="Q902" t="s">
        <v>7322</v>
      </c>
      <c r="R902" t="s">
        <v>6074</v>
      </c>
      <c r="S902" t="s">
        <v>7324</v>
      </c>
      <c r="U902" t="s">
        <v>267</v>
      </c>
      <c r="V902">
        <v>856.9299999999999</v>
      </c>
      <c r="W902" t="s">
        <v>7362</v>
      </c>
      <c r="Z902" t="s">
        <v>8107</v>
      </c>
      <c r="AB902" t="s">
        <v>10897</v>
      </c>
      <c r="AC902">
        <v>0</v>
      </c>
      <c r="AF902">
        <v>41</v>
      </c>
      <c r="AG902">
        <v>2</v>
      </c>
      <c r="AH902">
        <v>0</v>
      </c>
      <c r="AI902">
        <v>61.03</v>
      </c>
      <c r="AL902" t="s">
        <v>12460</v>
      </c>
      <c r="AM902">
        <v>10320</v>
      </c>
      <c r="AS902">
        <v>0</v>
      </c>
      <c r="AU902" t="s">
        <v>88</v>
      </c>
    </row>
    <row r="903" spans="1:48">
      <c r="A903" s="1">
        <f>HYPERLINK("https://cms.ls-nyc.org/matter/dynamic-profile/view/1881520","18-1881520")</f>
        <v>0</v>
      </c>
      <c r="B903" t="s">
        <v>74</v>
      </c>
      <c r="C903" t="s">
        <v>369</v>
      </c>
      <c r="E903" t="s">
        <v>1079</v>
      </c>
      <c r="F903" t="s">
        <v>2587</v>
      </c>
      <c r="G903" t="s">
        <v>4243</v>
      </c>
      <c r="H903" t="s">
        <v>5417</v>
      </c>
      <c r="I903" t="s">
        <v>6043</v>
      </c>
      <c r="J903">
        <v>11207</v>
      </c>
      <c r="K903" t="s">
        <v>6074</v>
      </c>
      <c r="L903" t="s">
        <v>6074</v>
      </c>
      <c r="M903" t="s">
        <v>6519</v>
      </c>
      <c r="N903" t="s">
        <v>7276</v>
      </c>
      <c r="O903" t="s">
        <v>7308</v>
      </c>
      <c r="Q903" t="s">
        <v>7322</v>
      </c>
      <c r="R903" t="s">
        <v>6076</v>
      </c>
      <c r="S903" t="s">
        <v>7324</v>
      </c>
      <c r="T903" t="s">
        <v>7336</v>
      </c>
      <c r="U903" t="s">
        <v>300</v>
      </c>
      <c r="V903">
        <v>2006</v>
      </c>
      <c r="W903" t="s">
        <v>7362</v>
      </c>
      <c r="X903" t="s">
        <v>7368</v>
      </c>
      <c r="Z903" t="s">
        <v>8108</v>
      </c>
      <c r="AA903">
        <v>33709173</v>
      </c>
      <c r="AB903" t="s">
        <v>10898</v>
      </c>
      <c r="AC903">
        <v>14</v>
      </c>
      <c r="AD903" t="s">
        <v>12422</v>
      </c>
      <c r="AE903" t="s">
        <v>12433</v>
      </c>
      <c r="AF903">
        <v>3</v>
      </c>
      <c r="AG903">
        <v>3</v>
      </c>
      <c r="AH903">
        <v>2</v>
      </c>
      <c r="AI903">
        <v>61.18</v>
      </c>
      <c r="AL903" t="s">
        <v>12460</v>
      </c>
      <c r="AM903">
        <v>18000</v>
      </c>
      <c r="AS903">
        <v>22.1</v>
      </c>
      <c r="AT903" t="s">
        <v>309</v>
      </c>
      <c r="AU903" t="s">
        <v>218</v>
      </c>
    </row>
    <row r="904" spans="1:48">
      <c r="A904" s="1">
        <f>HYPERLINK("https://cms.ls-nyc.org/matter/dynamic-profile/view/1885309","18-1885309")</f>
        <v>0</v>
      </c>
      <c r="B904" t="s">
        <v>86</v>
      </c>
      <c r="C904" t="s">
        <v>341</v>
      </c>
      <c r="E904" t="s">
        <v>1079</v>
      </c>
      <c r="F904" t="s">
        <v>2587</v>
      </c>
      <c r="G904" t="s">
        <v>4243</v>
      </c>
      <c r="H904" t="s">
        <v>5417</v>
      </c>
      <c r="I904" t="s">
        <v>6043</v>
      </c>
      <c r="J904">
        <v>11207</v>
      </c>
      <c r="K904" t="s">
        <v>6074</v>
      </c>
      <c r="L904" t="s">
        <v>6074</v>
      </c>
      <c r="M904" t="s">
        <v>6519</v>
      </c>
      <c r="N904" t="s">
        <v>7299</v>
      </c>
      <c r="O904" t="s">
        <v>7309</v>
      </c>
      <c r="Q904" t="s">
        <v>7322</v>
      </c>
      <c r="R904" t="s">
        <v>6076</v>
      </c>
      <c r="S904" t="s">
        <v>7327</v>
      </c>
      <c r="T904" t="s">
        <v>7340</v>
      </c>
      <c r="U904" t="s">
        <v>300</v>
      </c>
      <c r="V904">
        <v>2006</v>
      </c>
      <c r="W904" t="s">
        <v>7362</v>
      </c>
      <c r="X904" t="s">
        <v>7368</v>
      </c>
      <c r="Z904" t="s">
        <v>8108</v>
      </c>
      <c r="AA904">
        <v>33709173</v>
      </c>
      <c r="AB904" t="s">
        <v>10898</v>
      </c>
      <c r="AC904">
        <v>14</v>
      </c>
      <c r="AD904" t="s">
        <v>12422</v>
      </c>
      <c r="AE904" t="s">
        <v>12433</v>
      </c>
      <c r="AF904">
        <v>3</v>
      </c>
      <c r="AG904">
        <v>3</v>
      </c>
      <c r="AH904">
        <v>2</v>
      </c>
      <c r="AI904">
        <v>61.18</v>
      </c>
      <c r="AL904" t="s">
        <v>12460</v>
      </c>
      <c r="AM904">
        <v>18000</v>
      </c>
      <c r="AS904">
        <v>43.75</v>
      </c>
      <c r="AT904" t="s">
        <v>459</v>
      </c>
      <c r="AU904" t="s">
        <v>218</v>
      </c>
    </row>
    <row r="905" spans="1:48">
      <c r="A905" s="1">
        <f>HYPERLINK("https://cms.ls-nyc.org/matter/dynamic-profile/view/1871577","18-1871577")</f>
        <v>0</v>
      </c>
      <c r="B905" t="s">
        <v>132</v>
      </c>
      <c r="C905" t="s">
        <v>374</v>
      </c>
      <c r="D905" t="s">
        <v>467</v>
      </c>
      <c r="E905" t="s">
        <v>1134</v>
      </c>
      <c r="F905" t="s">
        <v>2342</v>
      </c>
      <c r="G905" t="s">
        <v>4244</v>
      </c>
      <c r="H905" t="s">
        <v>5564</v>
      </c>
      <c r="I905" t="s">
        <v>6049</v>
      </c>
      <c r="J905">
        <v>10034</v>
      </c>
      <c r="K905" t="s">
        <v>6074</v>
      </c>
      <c r="L905" t="s">
        <v>6074</v>
      </c>
      <c r="N905" t="s">
        <v>7273</v>
      </c>
      <c r="O905" t="s">
        <v>7307</v>
      </c>
      <c r="P905" t="s">
        <v>7315</v>
      </c>
      <c r="Q905" t="s">
        <v>7322</v>
      </c>
      <c r="R905" t="s">
        <v>6076</v>
      </c>
      <c r="S905" t="s">
        <v>7324</v>
      </c>
      <c r="U905" t="s">
        <v>374</v>
      </c>
      <c r="V905">
        <v>1200</v>
      </c>
      <c r="W905" t="s">
        <v>7365</v>
      </c>
      <c r="X905" t="s">
        <v>7367</v>
      </c>
      <c r="Y905" t="s">
        <v>7387</v>
      </c>
      <c r="Z905" t="s">
        <v>8109</v>
      </c>
      <c r="AB905" t="s">
        <v>10899</v>
      </c>
      <c r="AC905">
        <v>46</v>
      </c>
      <c r="AD905" t="s">
        <v>12422</v>
      </c>
      <c r="AE905" t="s">
        <v>6110</v>
      </c>
      <c r="AF905">
        <v>30</v>
      </c>
      <c r="AG905">
        <v>3</v>
      </c>
      <c r="AH905">
        <v>1</v>
      </c>
      <c r="AI905">
        <v>61.25</v>
      </c>
      <c r="AL905" t="s">
        <v>12461</v>
      </c>
      <c r="AM905">
        <v>15374.46</v>
      </c>
      <c r="AS905">
        <v>1.9</v>
      </c>
      <c r="AT905" t="s">
        <v>304</v>
      </c>
      <c r="AU905" t="s">
        <v>13106</v>
      </c>
    </row>
    <row r="906" spans="1:48">
      <c r="A906" s="1">
        <f>HYPERLINK("https://cms.ls-nyc.org/matter/dynamic-profile/view/1873805","18-1873805")</f>
        <v>0</v>
      </c>
      <c r="B906" t="s">
        <v>132</v>
      </c>
      <c r="C906" t="s">
        <v>402</v>
      </c>
      <c r="D906" t="s">
        <v>249</v>
      </c>
      <c r="E906" t="s">
        <v>1134</v>
      </c>
      <c r="F906" t="s">
        <v>2342</v>
      </c>
      <c r="G906" t="s">
        <v>4244</v>
      </c>
      <c r="H906" t="s">
        <v>5564</v>
      </c>
      <c r="I906" t="s">
        <v>6049</v>
      </c>
      <c r="J906">
        <v>10034</v>
      </c>
      <c r="K906" t="s">
        <v>6074</v>
      </c>
      <c r="L906" t="s">
        <v>6074</v>
      </c>
      <c r="N906" t="s">
        <v>7273</v>
      </c>
      <c r="O906" t="s">
        <v>7307</v>
      </c>
      <c r="P906" t="s">
        <v>7314</v>
      </c>
      <c r="Q906" t="s">
        <v>7322</v>
      </c>
      <c r="R906" t="s">
        <v>6076</v>
      </c>
      <c r="S906" t="s">
        <v>7324</v>
      </c>
      <c r="U906" t="s">
        <v>402</v>
      </c>
      <c r="V906">
        <v>1200</v>
      </c>
      <c r="W906" t="s">
        <v>7365</v>
      </c>
      <c r="X906" t="s">
        <v>7368</v>
      </c>
      <c r="Y906" t="s">
        <v>7386</v>
      </c>
      <c r="Z906" t="s">
        <v>8109</v>
      </c>
      <c r="AB906" t="s">
        <v>10899</v>
      </c>
      <c r="AC906">
        <v>46</v>
      </c>
      <c r="AD906" t="s">
        <v>12422</v>
      </c>
      <c r="AE906" t="s">
        <v>6110</v>
      </c>
      <c r="AF906">
        <v>30</v>
      </c>
      <c r="AG906">
        <v>3</v>
      </c>
      <c r="AH906">
        <v>1</v>
      </c>
      <c r="AI906">
        <v>61.25</v>
      </c>
      <c r="AL906" t="s">
        <v>12461</v>
      </c>
      <c r="AM906">
        <v>15374.46</v>
      </c>
      <c r="AS906">
        <v>0.5</v>
      </c>
      <c r="AT906" t="s">
        <v>249</v>
      </c>
      <c r="AU906" t="s">
        <v>13106</v>
      </c>
    </row>
    <row r="907" spans="1:48">
      <c r="A907" s="1">
        <f>HYPERLINK("https://cms.ls-nyc.org/matter/dynamic-profile/view/1885969","18-1885969")</f>
        <v>0</v>
      </c>
      <c r="B907" t="s">
        <v>102</v>
      </c>
      <c r="C907" t="s">
        <v>320</v>
      </c>
      <c r="E907" t="s">
        <v>781</v>
      </c>
      <c r="F907" t="s">
        <v>2588</v>
      </c>
      <c r="G907" t="s">
        <v>3779</v>
      </c>
      <c r="H907" t="s">
        <v>5602</v>
      </c>
      <c r="I907" t="s">
        <v>6047</v>
      </c>
      <c r="J907">
        <v>10460</v>
      </c>
      <c r="K907" t="s">
        <v>6074</v>
      </c>
      <c r="L907" t="s">
        <v>6074</v>
      </c>
      <c r="M907" t="s">
        <v>6182</v>
      </c>
      <c r="N907" t="s">
        <v>7273</v>
      </c>
      <c r="O907" t="s">
        <v>7308</v>
      </c>
      <c r="Q907" t="s">
        <v>7322</v>
      </c>
      <c r="R907" t="s">
        <v>6074</v>
      </c>
      <c r="S907" t="s">
        <v>7324</v>
      </c>
      <c r="U907" t="s">
        <v>457</v>
      </c>
      <c r="V907">
        <v>967</v>
      </c>
      <c r="W907" t="s">
        <v>7363</v>
      </c>
      <c r="X907" t="s">
        <v>7376</v>
      </c>
      <c r="Z907" t="s">
        <v>8110</v>
      </c>
      <c r="AB907" t="s">
        <v>10900</v>
      </c>
      <c r="AC907">
        <v>169</v>
      </c>
      <c r="AE907" t="s">
        <v>12434</v>
      </c>
      <c r="AF907">
        <v>5</v>
      </c>
      <c r="AG907">
        <v>1</v>
      </c>
      <c r="AH907">
        <v>0</v>
      </c>
      <c r="AI907">
        <v>61.29</v>
      </c>
      <c r="AL907" t="s">
        <v>12460</v>
      </c>
      <c r="AM907">
        <v>7440</v>
      </c>
      <c r="AS907">
        <v>0</v>
      </c>
      <c r="AU907" t="s">
        <v>13113</v>
      </c>
    </row>
    <row r="908" spans="1:48">
      <c r="A908" s="1">
        <f>HYPERLINK("https://cms.ls-nyc.org/matter/dynamic-profile/view/1899950","19-1899950")</f>
        <v>0</v>
      </c>
      <c r="B908" t="s">
        <v>52</v>
      </c>
      <c r="C908" t="s">
        <v>265</v>
      </c>
      <c r="E908" t="s">
        <v>1135</v>
      </c>
      <c r="F908" t="s">
        <v>2589</v>
      </c>
      <c r="G908" t="s">
        <v>4245</v>
      </c>
      <c r="H908" t="s">
        <v>5603</v>
      </c>
      <c r="I908" t="s">
        <v>6040</v>
      </c>
      <c r="J908">
        <v>11354</v>
      </c>
      <c r="K908" t="s">
        <v>6074</v>
      </c>
      <c r="L908" t="s">
        <v>6075</v>
      </c>
      <c r="M908" t="s">
        <v>6520</v>
      </c>
      <c r="N908" t="s">
        <v>7273</v>
      </c>
      <c r="O908" t="s">
        <v>7308</v>
      </c>
      <c r="Q908" t="s">
        <v>7322</v>
      </c>
      <c r="R908" t="s">
        <v>6076</v>
      </c>
      <c r="S908" t="s">
        <v>7324</v>
      </c>
      <c r="T908" t="s">
        <v>7336</v>
      </c>
      <c r="U908" t="s">
        <v>265</v>
      </c>
      <c r="V908">
        <v>1100</v>
      </c>
      <c r="W908" t="s">
        <v>7361</v>
      </c>
      <c r="X908" t="s">
        <v>7366</v>
      </c>
      <c r="Z908" t="s">
        <v>8111</v>
      </c>
      <c r="AA908" t="s">
        <v>10061</v>
      </c>
      <c r="AB908" t="s">
        <v>10901</v>
      </c>
      <c r="AC908">
        <v>200</v>
      </c>
      <c r="AD908" t="s">
        <v>12422</v>
      </c>
      <c r="AE908" t="s">
        <v>12441</v>
      </c>
      <c r="AF908">
        <v>58</v>
      </c>
      <c r="AG908">
        <v>1</v>
      </c>
      <c r="AH908">
        <v>0</v>
      </c>
      <c r="AI908">
        <v>61.3</v>
      </c>
      <c r="AL908" t="s">
        <v>12461</v>
      </c>
      <c r="AM908">
        <v>7656</v>
      </c>
      <c r="AS908">
        <v>2.4</v>
      </c>
      <c r="AT908" t="s">
        <v>460</v>
      </c>
      <c r="AU908" t="s">
        <v>13128</v>
      </c>
      <c r="AV908" t="s">
        <v>13145</v>
      </c>
    </row>
    <row r="909" spans="1:48">
      <c r="A909" s="1">
        <f>HYPERLINK("https://cms.ls-nyc.org/matter/dynamic-profile/view/1886946","19-1886946")</f>
        <v>0</v>
      </c>
      <c r="B909" t="s">
        <v>110</v>
      </c>
      <c r="C909" t="s">
        <v>410</v>
      </c>
      <c r="E909" t="s">
        <v>707</v>
      </c>
      <c r="F909" t="s">
        <v>2590</v>
      </c>
      <c r="G909" t="s">
        <v>4246</v>
      </c>
      <c r="H909" t="s">
        <v>5604</v>
      </c>
      <c r="I909" t="s">
        <v>6047</v>
      </c>
      <c r="J909">
        <v>10457</v>
      </c>
      <c r="K909" t="s">
        <v>6074</v>
      </c>
      <c r="L909" t="s">
        <v>6074</v>
      </c>
      <c r="M909" t="s">
        <v>6521</v>
      </c>
      <c r="N909" t="s">
        <v>7277</v>
      </c>
      <c r="O909" t="s">
        <v>7306</v>
      </c>
      <c r="Q909" t="s">
        <v>7322</v>
      </c>
      <c r="R909" t="s">
        <v>6076</v>
      </c>
      <c r="S909" t="s">
        <v>7324</v>
      </c>
      <c r="T909" t="s">
        <v>7337</v>
      </c>
      <c r="U909" t="s">
        <v>410</v>
      </c>
      <c r="V909">
        <v>1100</v>
      </c>
      <c r="W909" t="s">
        <v>7363</v>
      </c>
      <c r="X909" t="s">
        <v>7366</v>
      </c>
      <c r="Z909" t="s">
        <v>8112</v>
      </c>
      <c r="AB909" t="s">
        <v>10902</v>
      </c>
      <c r="AC909">
        <v>300</v>
      </c>
      <c r="AD909" t="s">
        <v>6322</v>
      </c>
      <c r="AF909">
        <v>0</v>
      </c>
      <c r="AG909">
        <v>2</v>
      </c>
      <c r="AH909">
        <v>0</v>
      </c>
      <c r="AI909">
        <v>61.36</v>
      </c>
      <c r="AL909" t="s">
        <v>12461</v>
      </c>
      <c r="AM909">
        <v>10100</v>
      </c>
      <c r="AS909">
        <v>3.35</v>
      </c>
      <c r="AT909" t="s">
        <v>267</v>
      </c>
      <c r="AU909" t="s">
        <v>13097</v>
      </c>
    </row>
    <row r="910" spans="1:48">
      <c r="A910" s="1">
        <f>HYPERLINK("https://cms.ls-nyc.org/matter/dynamic-profile/view/1876863","18-1876863")</f>
        <v>0</v>
      </c>
      <c r="B910" t="s">
        <v>97</v>
      </c>
      <c r="C910" t="s">
        <v>238</v>
      </c>
      <c r="D910" t="s">
        <v>472</v>
      </c>
      <c r="E910" t="s">
        <v>1136</v>
      </c>
      <c r="F910" t="s">
        <v>2591</v>
      </c>
      <c r="G910" t="s">
        <v>3805</v>
      </c>
      <c r="H910" t="s">
        <v>5358</v>
      </c>
      <c r="I910" t="s">
        <v>6047</v>
      </c>
      <c r="J910">
        <v>10452</v>
      </c>
      <c r="K910" t="s">
        <v>6074</v>
      </c>
      <c r="L910" t="s">
        <v>6074</v>
      </c>
      <c r="N910" t="s">
        <v>7273</v>
      </c>
      <c r="O910" t="s">
        <v>7306</v>
      </c>
      <c r="P910" t="s">
        <v>7314</v>
      </c>
      <c r="Q910" t="s">
        <v>7322</v>
      </c>
      <c r="R910" t="s">
        <v>6074</v>
      </c>
      <c r="S910" t="s">
        <v>7324</v>
      </c>
      <c r="U910" t="s">
        <v>472</v>
      </c>
      <c r="V910">
        <v>1500</v>
      </c>
      <c r="W910" t="s">
        <v>7363</v>
      </c>
      <c r="X910" t="s">
        <v>7376</v>
      </c>
      <c r="Y910" t="s">
        <v>7386</v>
      </c>
      <c r="Z910" t="s">
        <v>8113</v>
      </c>
      <c r="AA910">
        <v>7419954</v>
      </c>
      <c r="AB910" t="s">
        <v>10903</v>
      </c>
      <c r="AC910">
        <v>149</v>
      </c>
      <c r="AD910" t="s">
        <v>6322</v>
      </c>
      <c r="AE910" t="s">
        <v>12440</v>
      </c>
      <c r="AF910">
        <v>2</v>
      </c>
      <c r="AG910">
        <v>1</v>
      </c>
      <c r="AH910">
        <v>1</v>
      </c>
      <c r="AI910">
        <v>61.36</v>
      </c>
      <c r="AL910" t="s">
        <v>12460</v>
      </c>
      <c r="AM910">
        <v>10100</v>
      </c>
      <c r="AS910">
        <v>0.2</v>
      </c>
      <c r="AT910" t="s">
        <v>492</v>
      </c>
      <c r="AU910" t="s">
        <v>13099</v>
      </c>
    </row>
    <row r="911" spans="1:48">
      <c r="A911" s="1">
        <f>HYPERLINK("https://cms.ls-nyc.org/matter/dynamic-profile/view/1876929","18-1876929")</f>
        <v>0</v>
      </c>
      <c r="B911" t="s">
        <v>108</v>
      </c>
      <c r="C911" t="s">
        <v>290</v>
      </c>
      <c r="E911" t="s">
        <v>1136</v>
      </c>
      <c r="F911" t="s">
        <v>2591</v>
      </c>
      <c r="G911" t="s">
        <v>3805</v>
      </c>
      <c r="H911" t="s">
        <v>5358</v>
      </c>
      <c r="I911" t="s">
        <v>6047</v>
      </c>
      <c r="J911">
        <v>10452</v>
      </c>
      <c r="K911" t="s">
        <v>6074</v>
      </c>
      <c r="L911" t="s">
        <v>6074</v>
      </c>
      <c r="N911" t="s">
        <v>6104</v>
      </c>
      <c r="O911" t="s">
        <v>7309</v>
      </c>
      <c r="Q911" t="s">
        <v>7322</v>
      </c>
      <c r="R911" t="s">
        <v>6074</v>
      </c>
      <c r="S911" t="s">
        <v>7324</v>
      </c>
      <c r="U911" t="s">
        <v>472</v>
      </c>
      <c r="V911">
        <v>15000</v>
      </c>
      <c r="W911" t="s">
        <v>7363</v>
      </c>
      <c r="X911" t="s">
        <v>7376</v>
      </c>
      <c r="Z911" t="s">
        <v>8113</v>
      </c>
      <c r="AA911">
        <v>7419954</v>
      </c>
      <c r="AB911" t="s">
        <v>10903</v>
      </c>
      <c r="AC911">
        <v>149</v>
      </c>
      <c r="AD911" t="s">
        <v>6322</v>
      </c>
      <c r="AE911" t="s">
        <v>12440</v>
      </c>
      <c r="AF911">
        <v>2</v>
      </c>
      <c r="AG911">
        <v>1</v>
      </c>
      <c r="AH911">
        <v>1</v>
      </c>
      <c r="AI911">
        <v>61.36</v>
      </c>
      <c r="AL911" t="s">
        <v>12460</v>
      </c>
      <c r="AM911">
        <v>10100</v>
      </c>
      <c r="AS911">
        <v>0</v>
      </c>
      <c r="AU911" t="s">
        <v>13099</v>
      </c>
    </row>
    <row r="912" spans="1:48">
      <c r="A912" s="1">
        <f>HYPERLINK("https://cms.ls-nyc.org/matter/dynamic-profile/view/1882288","18-1882288")</f>
        <v>0</v>
      </c>
      <c r="B912" t="s">
        <v>81</v>
      </c>
      <c r="C912" t="s">
        <v>403</v>
      </c>
      <c r="E912" t="s">
        <v>867</v>
      </c>
      <c r="F912" t="s">
        <v>2279</v>
      </c>
      <c r="G912" t="s">
        <v>4247</v>
      </c>
      <c r="I912" t="s">
        <v>6043</v>
      </c>
      <c r="J912">
        <v>11220</v>
      </c>
      <c r="K912" t="s">
        <v>6074</v>
      </c>
      <c r="L912" t="s">
        <v>6074</v>
      </c>
      <c r="N912" t="s">
        <v>7279</v>
      </c>
      <c r="O912" t="s">
        <v>7311</v>
      </c>
      <c r="Q912" t="s">
        <v>7322</v>
      </c>
      <c r="R912" t="s">
        <v>6074</v>
      </c>
      <c r="S912" t="s">
        <v>7324</v>
      </c>
      <c r="U912" t="s">
        <v>305</v>
      </c>
      <c r="V912">
        <v>0</v>
      </c>
      <c r="W912" t="s">
        <v>7362</v>
      </c>
      <c r="Z912" t="s">
        <v>7606</v>
      </c>
      <c r="AB912" t="s">
        <v>10904</v>
      </c>
      <c r="AC912">
        <v>0</v>
      </c>
      <c r="AF912">
        <v>0</v>
      </c>
      <c r="AG912">
        <v>2</v>
      </c>
      <c r="AH912">
        <v>0</v>
      </c>
      <c r="AI912">
        <v>61.39</v>
      </c>
      <c r="AL912" t="s">
        <v>12461</v>
      </c>
      <c r="AM912">
        <v>10104</v>
      </c>
      <c r="AS912">
        <v>33.95</v>
      </c>
      <c r="AT912" t="s">
        <v>261</v>
      </c>
      <c r="AU912" t="s">
        <v>13129</v>
      </c>
    </row>
    <row r="913" spans="1:48">
      <c r="A913" s="1">
        <f>HYPERLINK("https://cms.ls-nyc.org/matter/dynamic-profile/view/1887040","19-1887040")</f>
        <v>0</v>
      </c>
      <c r="B913" t="s">
        <v>112</v>
      </c>
      <c r="C913" t="s">
        <v>272</v>
      </c>
      <c r="E913" t="s">
        <v>674</v>
      </c>
      <c r="F913" t="s">
        <v>2592</v>
      </c>
      <c r="G913" t="s">
        <v>3793</v>
      </c>
      <c r="H913" t="s">
        <v>5354</v>
      </c>
      <c r="I913" t="s">
        <v>6047</v>
      </c>
      <c r="J913">
        <v>10453</v>
      </c>
      <c r="K913" t="s">
        <v>6076</v>
      </c>
      <c r="L913" t="s">
        <v>6076</v>
      </c>
      <c r="N913" t="s">
        <v>7279</v>
      </c>
      <c r="O913" t="s">
        <v>7311</v>
      </c>
      <c r="Q913" t="s">
        <v>7322</v>
      </c>
      <c r="R913" t="s">
        <v>6074</v>
      </c>
      <c r="S913" t="s">
        <v>7324</v>
      </c>
      <c r="U913" t="s">
        <v>457</v>
      </c>
      <c r="V913">
        <v>0</v>
      </c>
      <c r="W913" t="s">
        <v>7363</v>
      </c>
      <c r="X913" t="s">
        <v>7376</v>
      </c>
      <c r="Z913" t="s">
        <v>8114</v>
      </c>
      <c r="AB913" t="s">
        <v>10905</v>
      </c>
      <c r="AC913">
        <v>49</v>
      </c>
      <c r="AD913" t="s">
        <v>12422</v>
      </c>
      <c r="AE913" t="s">
        <v>6110</v>
      </c>
      <c r="AF913">
        <v>0</v>
      </c>
      <c r="AG913">
        <v>2</v>
      </c>
      <c r="AH913">
        <v>2</v>
      </c>
      <c r="AI913">
        <v>61.39</v>
      </c>
      <c r="AL913" t="s">
        <v>12460</v>
      </c>
      <c r="AM913">
        <v>15408</v>
      </c>
      <c r="AS913">
        <v>12.5</v>
      </c>
      <c r="AT913" t="s">
        <v>302</v>
      </c>
      <c r="AU913" t="s">
        <v>13092</v>
      </c>
    </row>
    <row r="914" spans="1:48">
      <c r="A914" s="1">
        <f>HYPERLINK("https://cms.ls-nyc.org/matter/dynamic-profile/view/1883368","18-1883368")</f>
        <v>0</v>
      </c>
      <c r="B914" t="s">
        <v>112</v>
      </c>
      <c r="C914" t="s">
        <v>403</v>
      </c>
      <c r="E914" t="s">
        <v>674</v>
      </c>
      <c r="F914" t="s">
        <v>2592</v>
      </c>
      <c r="G914" t="s">
        <v>3793</v>
      </c>
      <c r="H914" t="s">
        <v>5354</v>
      </c>
      <c r="I914" t="s">
        <v>6047</v>
      </c>
      <c r="J914">
        <v>10453</v>
      </c>
      <c r="K914" t="s">
        <v>6074</v>
      </c>
      <c r="L914" t="s">
        <v>6074</v>
      </c>
      <c r="N914" t="s">
        <v>7273</v>
      </c>
      <c r="O914" t="s">
        <v>7308</v>
      </c>
      <c r="Q914" t="s">
        <v>7322</v>
      </c>
      <c r="R914" t="s">
        <v>6074</v>
      </c>
      <c r="S914" t="s">
        <v>7324</v>
      </c>
      <c r="U914" t="s">
        <v>403</v>
      </c>
      <c r="V914">
        <v>1497.33</v>
      </c>
      <c r="W914" t="s">
        <v>7363</v>
      </c>
      <c r="X914" t="s">
        <v>7367</v>
      </c>
      <c r="Z914" t="s">
        <v>8114</v>
      </c>
      <c r="AA914" t="s">
        <v>10062</v>
      </c>
      <c r="AB914" t="s">
        <v>10905</v>
      </c>
      <c r="AC914">
        <v>44</v>
      </c>
      <c r="AD914" t="s">
        <v>12422</v>
      </c>
      <c r="AE914" t="s">
        <v>12438</v>
      </c>
      <c r="AF914">
        <v>8</v>
      </c>
      <c r="AG914">
        <v>2</v>
      </c>
      <c r="AH914">
        <v>2</v>
      </c>
      <c r="AI914">
        <v>61.39</v>
      </c>
      <c r="AL914" t="s">
        <v>12460</v>
      </c>
      <c r="AM914">
        <v>15408</v>
      </c>
      <c r="AS914">
        <v>168.8</v>
      </c>
      <c r="AT914" t="s">
        <v>460</v>
      </c>
      <c r="AU914" t="s">
        <v>97</v>
      </c>
    </row>
    <row r="915" spans="1:48">
      <c r="A915" s="1">
        <f>HYPERLINK("https://cms.ls-nyc.org/matter/dynamic-profile/view/1887093","19-1887093")</f>
        <v>0</v>
      </c>
      <c r="B915" t="s">
        <v>112</v>
      </c>
      <c r="C915" t="s">
        <v>272</v>
      </c>
      <c r="E915" t="s">
        <v>674</v>
      </c>
      <c r="F915" t="s">
        <v>2592</v>
      </c>
      <c r="G915" t="s">
        <v>3793</v>
      </c>
      <c r="H915" t="s">
        <v>5354</v>
      </c>
      <c r="I915" t="s">
        <v>6047</v>
      </c>
      <c r="J915">
        <v>10453</v>
      </c>
      <c r="K915" t="s">
        <v>6074</v>
      </c>
      <c r="L915" t="s">
        <v>6074</v>
      </c>
      <c r="N915" t="s">
        <v>6104</v>
      </c>
      <c r="O915" t="s">
        <v>7309</v>
      </c>
      <c r="Q915" t="s">
        <v>7322</v>
      </c>
      <c r="R915" t="s">
        <v>6074</v>
      </c>
      <c r="S915" t="s">
        <v>7324</v>
      </c>
      <c r="U915" t="s">
        <v>457</v>
      </c>
      <c r="V915">
        <v>1497.33</v>
      </c>
      <c r="W915" t="s">
        <v>7363</v>
      </c>
      <c r="X915" t="s">
        <v>7376</v>
      </c>
      <c r="Z915" t="s">
        <v>8114</v>
      </c>
      <c r="AA915" t="s">
        <v>10062</v>
      </c>
      <c r="AB915" t="s">
        <v>10905</v>
      </c>
      <c r="AC915">
        <v>49</v>
      </c>
      <c r="AD915" t="s">
        <v>12422</v>
      </c>
      <c r="AE915" t="s">
        <v>12438</v>
      </c>
      <c r="AF915">
        <v>8</v>
      </c>
      <c r="AG915">
        <v>2</v>
      </c>
      <c r="AH915">
        <v>2</v>
      </c>
      <c r="AI915">
        <v>61.39</v>
      </c>
      <c r="AL915" t="s">
        <v>12460</v>
      </c>
      <c r="AM915">
        <v>15408</v>
      </c>
      <c r="AS915">
        <v>18.2</v>
      </c>
      <c r="AT915" t="s">
        <v>501</v>
      </c>
      <c r="AU915" t="s">
        <v>13092</v>
      </c>
    </row>
    <row r="916" spans="1:48">
      <c r="A916" s="1">
        <f>HYPERLINK("https://cms.ls-nyc.org/matter/dynamic-profile/view/1896456","19-1896456")</f>
        <v>0</v>
      </c>
      <c r="B916" t="s">
        <v>171</v>
      </c>
      <c r="C916" t="s">
        <v>302</v>
      </c>
      <c r="E916" t="s">
        <v>1137</v>
      </c>
      <c r="F916" t="s">
        <v>2593</v>
      </c>
      <c r="G916" t="s">
        <v>4248</v>
      </c>
      <c r="H916">
        <v>201</v>
      </c>
      <c r="I916" t="s">
        <v>6049</v>
      </c>
      <c r="J916">
        <v>10025</v>
      </c>
      <c r="K916" t="s">
        <v>6074</v>
      </c>
      <c r="L916" t="s">
        <v>6074</v>
      </c>
      <c r="N916" t="s">
        <v>7275</v>
      </c>
      <c r="O916" t="s">
        <v>7307</v>
      </c>
      <c r="Q916" t="s">
        <v>7322</v>
      </c>
      <c r="R916" t="s">
        <v>6076</v>
      </c>
      <c r="S916" t="s">
        <v>7324</v>
      </c>
      <c r="T916" t="s">
        <v>7336</v>
      </c>
      <c r="U916" t="s">
        <v>340</v>
      </c>
      <c r="V916">
        <v>0</v>
      </c>
      <c r="W916" t="s">
        <v>7362</v>
      </c>
      <c r="Z916" t="s">
        <v>8115</v>
      </c>
      <c r="AB916" t="s">
        <v>10906</v>
      </c>
      <c r="AC916">
        <v>0</v>
      </c>
      <c r="AF916">
        <v>0</v>
      </c>
      <c r="AG916">
        <v>2</v>
      </c>
      <c r="AH916">
        <v>0</v>
      </c>
      <c r="AI916">
        <v>61.5</v>
      </c>
      <c r="AL916" t="s">
        <v>12460</v>
      </c>
      <c r="AM916">
        <v>10400</v>
      </c>
      <c r="AN916" t="s">
        <v>12575</v>
      </c>
      <c r="AS916">
        <v>0</v>
      </c>
      <c r="AU916" t="s">
        <v>218</v>
      </c>
    </row>
    <row r="917" spans="1:48">
      <c r="A917" s="1">
        <f>HYPERLINK("https://cms.ls-nyc.org/matter/dynamic-profile/view/1886087","18-1886087")</f>
        <v>0</v>
      </c>
      <c r="B917" t="s">
        <v>100</v>
      </c>
      <c r="C917" t="s">
        <v>326</v>
      </c>
      <c r="E917" t="s">
        <v>1138</v>
      </c>
      <c r="F917" t="s">
        <v>2594</v>
      </c>
      <c r="G917" t="s">
        <v>4249</v>
      </c>
      <c r="H917" t="s">
        <v>5361</v>
      </c>
      <c r="I917" t="s">
        <v>6048</v>
      </c>
      <c r="J917">
        <v>10314</v>
      </c>
      <c r="K917" t="s">
        <v>6074</v>
      </c>
      <c r="L917" t="s">
        <v>6074</v>
      </c>
      <c r="M917" t="s">
        <v>6522</v>
      </c>
      <c r="N917" t="s">
        <v>7276</v>
      </c>
      <c r="O917" t="s">
        <v>7308</v>
      </c>
      <c r="Q917" t="s">
        <v>7322</v>
      </c>
      <c r="R917" t="s">
        <v>6076</v>
      </c>
      <c r="S917" t="s">
        <v>7324</v>
      </c>
      <c r="U917" t="s">
        <v>326</v>
      </c>
      <c r="V917">
        <v>164</v>
      </c>
      <c r="W917" t="s">
        <v>7364</v>
      </c>
      <c r="X917" t="s">
        <v>7366</v>
      </c>
      <c r="Z917" t="s">
        <v>8116</v>
      </c>
      <c r="AB917" t="s">
        <v>10907</v>
      </c>
      <c r="AC917">
        <v>2</v>
      </c>
      <c r="AD917" t="s">
        <v>12421</v>
      </c>
      <c r="AE917" t="s">
        <v>12434</v>
      </c>
      <c r="AF917">
        <v>1</v>
      </c>
      <c r="AG917">
        <v>2</v>
      </c>
      <c r="AH917">
        <v>0</v>
      </c>
      <c r="AI917">
        <v>61.6</v>
      </c>
      <c r="AL917" t="s">
        <v>12460</v>
      </c>
      <c r="AM917">
        <v>10140</v>
      </c>
      <c r="AS917">
        <v>8</v>
      </c>
      <c r="AT917" t="s">
        <v>241</v>
      </c>
      <c r="AU917" t="s">
        <v>13122</v>
      </c>
    </row>
    <row r="918" spans="1:48">
      <c r="A918" s="1">
        <f>HYPERLINK("https://cms.ls-nyc.org/matter/dynamic-profile/view/1873518","18-1873518")</f>
        <v>0</v>
      </c>
      <c r="B918" t="s">
        <v>48</v>
      </c>
      <c r="C918" t="s">
        <v>231</v>
      </c>
      <c r="D918" t="s">
        <v>471</v>
      </c>
      <c r="E918" t="s">
        <v>1139</v>
      </c>
      <c r="F918" t="s">
        <v>1897</v>
      </c>
      <c r="G918" t="s">
        <v>4250</v>
      </c>
      <c r="I918" t="s">
        <v>6030</v>
      </c>
      <c r="J918">
        <v>11421</v>
      </c>
      <c r="K918" t="s">
        <v>6074</v>
      </c>
      <c r="L918" t="s">
        <v>6074</v>
      </c>
      <c r="M918" t="s">
        <v>6110</v>
      </c>
      <c r="N918" t="s">
        <v>6104</v>
      </c>
      <c r="O918" t="s">
        <v>7306</v>
      </c>
      <c r="P918" t="s">
        <v>7314</v>
      </c>
      <c r="Q918" t="s">
        <v>7323</v>
      </c>
      <c r="R918" t="s">
        <v>6076</v>
      </c>
      <c r="S918" t="s">
        <v>7324</v>
      </c>
      <c r="T918" t="s">
        <v>7336</v>
      </c>
      <c r="U918" t="s">
        <v>402</v>
      </c>
      <c r="V918">
        <v>2100</v>
      </c>
      <c r="W918" t="s">
        <v>7361</v>
      </c>
      <c r="X918" t="s">
        <v>7369</v>
      </c>
      <c r="Y918" t="s">
        <v>7386</v>
      </c>
      <c r="Z918" t="s">
        <v>8117</v>
      </c>
      <c r="AA918" t="s">
        <v>6110</v>
      </c>
      <c r="AB918" t="s">
        <v>9856</v>
      </c>
      <c r="AC918">
        <v>2</v>
      </c>
      <c r="AD918" t="s">
        <v>12419</v>
      </c>
      <c r="AE918" t="s">
        <v>6110</v>
      </c>
      <c r="AF918">
        <v>18</v>
      </c>
      <c r="AG918">
        <v>1</v>
      </c>
      <c r="AH918">
        <v>4</v>
      </c>
      <c r="AI918">
        <v>61.86</v>
      </c>
      <c r="AJ918" t="s">
        <v>12444</v>
      </c>
      <c r="AK918" t="s">
        <v>12455</v>
      </c>
      <c r="AL918" t="s">
        <v>12461</v>
      </c>
      <c r="AM918">
        <v>18200</v>
      </c>
      <c r="AS918">
        <v>1.1</v>
      </c>
      <c r="AT918" t="s">
        <v>471</v>
      </c>
      <c r="AU918" t="s">
        <v>48</v>
      </c>
    </row>
    <row r="919" spans="1:48">
      <c r="A919" s="1">
        <f>HYPERLINK("https://cms.ls-nyc.org/matter/dynamic-profile/view/1873740","18-1873740")</f>
        <v>0</v>
      </c>
      <c r="B919" t="s">
        <v>182</v>
      </c>
      <c r="C919" t="s">
        <v>402</v>
      </c>
      <c r="D919" t="s">
        <v>471</v>
      </c>
      <c r="E919" t="s">
        <v>686</v>
      </c>
      <c r="F919" t="s">
        <v>2595</v>
      </c>
      <c r="G919" t="s">
        <v>4251</v>
      </c>
      <c r="H919" t="s">
        <v>5522</v>
      </c>
      <c r="I919" t="s">
        <v>6049</v>
      </c>
      <c r="J919">
        <v>10034</v>
      </c>
      <c r="K919" t="s">
        <v>6074</v>
      </c>
      <c r="L919" t="s">
        <v>6074</v>
      </c>
      <c r="N919" t="s">
        <v>7276</v>
      </c>
      <c r="O919" t="s">
        <v>7306</v>
      </c>
      <c r="P919" t="s">
        <v>7314</v>
      </c>
      <c r="Q919" t="s">
        <v>7322</v>
      </c>
      <c r="R919" t="s">
        <v>6076</v>
      </c>
      <c r="S919" t="s">
        <v>7324</v>
      </c>
      <c r="U919" t="s">
        <v>402</v>
      </c>
      <c r="V919">
        <v>1275</v>
      </c>
      <c r="W919" t="s">
        <v>7365</v>
      </c>
      <c r="X919" t="s">
        <v>7368</v>
      </c>
      <c r="Y919" t="s">
        <v>7386</v>
      </c>
      <c r="Z919" t="s">
        <v>8118</v>
      </c>
      <c r="AB919" t="s">
        <v>10908</v>
      </c>
      <c r="AC919">
        <v>44</v>
      </c>
      <c r="AD919" t="s">
        <v>12422</v>
      </c>
      <c r="AE919" t="s">
        <v>6110</v>
      </c>
      <c r="AF919">
        <v>15</v>
      </c>
      <c r="AG919">
        <v>3</v>
      </c>
      <c r="AH919">
        <v>2</v>
      </c>
      <c r="AI919">
        <v>61.86</v>
      </c>
      <c r="AL919" t="s">
        <v>12461</v>
      </c>
      <c r="AM919">
        <v>18200</v>
      </c>
      <c r="AS919">
        <v>1</v>
      </c>
      <c r="AT919" t="s">
        <v>471</v>
      </c>
      <c r="AU919" t="s">
        <v>13106</v>
      </c>
    </row>
    <row r="920" spans="1:48">
      <c r="A920" s="1">
        <f>HYPERLINK("https://cms.ls-nyc.org/matter/dynamic-profile/view/1898056","19-1898056")</f>
        <v>0</v>
      </c>
      <c r="B920" t="s">
        <v>94</v>
      </c>
      <c r="C920" t="s">
        <v>418</v>
      </c>
      <c r="E920" t="s">
        <v>1140</v>
      </c>
      <c r="F920" t="s">
        <v>2596</v>
      </c>
      <c r="G920" t="s">
        <v>4252</v>
      </c>
      <c r="H920" t="s">
        <v>5465</v>
      </c>
      <c r="I920" t="s">
        <v>6060</v>
      </c>
      <c r="J920">
        <v>11418</v>
      </c>
      <c r="K920" t="s">
        <v>6074</v>
      </c>
      <c r="L920" t="s">
        <v>6074</v>
      </c>
      <c r="M920" t="s">
        <v>6523</v>
      </c>
      <c r="N920" t="s">
        <v>7274</v>
      </c>
      <c r="O920" t="s">
        <v>7310</v>
      </c>
      <c r="Q920" t="s">
        <v>7322</v>
      </c>
      <c r="R920" t="s">
        <v>6076</v>
      </c>
      <c r="S920" t="s">
        <v>7324</v>
      </c>
      <c r="U920" t="s">
        <v>418</v>
      </c>
      <c r="V920">
        <v>2224</v>
      </c>
      <c r="W920" t="s">
        <v>7361</v>
      </c>
      <c r="Z920" t="s">
        <v>8119</v>
      </c>
      <c r="AB920" t="s">
        <v>10909</v>
      </c>
      <c r="AC920">
        <v>0</v>
      </c>
      <c r="AF920">
        <v>1</v>
      </c>
      <c r="AG920">
        <v>3</v>
      </c>
      <c r="AH920">
        <v>5</v>
      </c>
      <c r="AI920">
        <v>61.9</v>
      </c>
      <c r="AL920" t="s">
        <v>12460</v>
      </c>
      <c r="AM920">
        <v>26884</v>
      </c>
      <c r="AS920">
        <v>0.5</v>
      </c>
      <c r="AT920" t="s">
        <v>446</v>
      </c>
      <c r="AU920" t="s">
        <v>13078</v>
      </c>
    </row>
    <row r="921" spans="1:48">
      <c r="A921" s="1">
        <f>HYPERLINK("https://cms.ls-nyc.org/matter/dynamic-profile/view/1881620","18-1881620")</f>
        <v>0</v>
      </c>
      <c r="B921" t="s">
        <v>117</v>
      </c>
      <c r="C921" t="s">
        <v>298</v>
      </c>
      <c r="D921" t="s">
        <v>251</v>
      </c>
      <c r="E921" t="s">
        <v>1141</v>
      </c>
      <c r="F921" t="s">
        <v>2597</v>
      </c>
      <c r="G921" t="s">
        <v>4253</v>
      </c>
      <c r="H921" t="s">
        <v>5347</v>
      </c>
      <c r="I921" t="s">
        <v>6048</v>
      </c>
      <c r="J921">
        <v>10304</v>
      </c>
      <c r="K921" t="s">
        <v>6074</v>
      </c>
      <c r="L921" t="s">
        <v>6074</v>
      </c>
      <c r="M921" t="s">
        <v>6524</v>
      </c>
      <c r="N921" t="s">
        <v>7274</v>
      </c>
      <c r="O921" t="s">
        <v>7308</v>
      </c>
      <c r="P921" t="s">
        <v>7316</v>
      </c>
      <c r="Q921" t="s">
        <v>7322</v>
      </c>
      <c r="R921" t="s">
        <v>6076</v>
      </c>
      <c r="S921" t="s">
        <v>7324</v>
      </c>
      <c r="T921" t="s">
        <v>7339</v>
      </c>
      <c r="U921" t="s">
        <v>298</v>
      </c>
      <c r="V921">
        <v>462</v>
      </c>
      <c r="W921" t="s">
        <v>7364</v>
      </c>
      <c r="X921" t="s">
        <v>7366</v>
      </c>
      <c r="Y921" t="s">
        <v>7391</v>
      </c>
      <c r="Z921" t="s">
        <v>8120</v>
      </c>
      <c r="AB921" t="s">
        <v>10910</v>
      </c>
      <c r="AC921">
        <v>2</v>
      </c>
      <c r="AD921" t="s">
        <v>12419</v>
      </c>
      <c r="AE921" t="s">
        <v>12434</v>
      </c>
      <c r="AF921">
        <v>2</v>
      </c>
      <c r="AG921">
        <v>2</v>
      </c>
      <c r="AH921">
        <v>0</v>
      </c>
      <c r="AI921">
        <v>61.92</v>
      </c>
      <c r="AL921" t="s">
        <v>12460</v>
      </c>
      <c r="AM921">
        <v>10192</v>
      </c>
      <c r="AO921" t="s">
        <v>12846</v>
      </c>
      <c r="AP921" t="s">
        <v>12867</v>
      </c>
      <c r="AQ921" t="s">
        <v>12910</v>
      </c>
      <c r="AR921" t="s">
        <v>12986</v>
      </c>
      <c r="AS921">
        <v>5.7</v>
      </c>
      <c r="AT921" t="s">
        <v>251</v>
      </c>
      <c r="AU921" t="s">
        <v>117</v>
      </c>
    </row>
    <row r="922" spans="1:48">
      <c r="A922" s="1">
        <f>HYPERLINK("https://cms.ls-nyc.org/matter/dynamic-profile/view/1882611","18-1882611")</f>
        <v>0</v>
      </c>
      <c r="B922" t="s">
        <v>137</v>
      </c>
      <c r="C922" t="s">
        <v>296</v>
      </c>
      <c r="D922" t="s">
        <v>250</v>
      </c>
      <c r="E922" t="s">
        <v>1142</v>
      </c>
      <c r="F922" t="s">
        <v>2598</v>
      </c>
      <c r="G922" t="s">
        <v>4254</v>
      </c>
      <c r="H922" t="s">
        <v>5605</v>
      </c>
      <c r="I922" t="s">
        <v>6047</v>
      </c>
      <c r="J922">
        <v>10457</v>
      </c>
      <c r="K922" t="s">
        <v>6074</v>
      </c>
      <c r="L922" t="s">
        <v>6074</v>
      </c>
      <c r="N922" t="s">
        <v>6104</v>
      </c>
      <c r="O922" t="s">
        <v>7306</v>
      </c>
      <c r="P922" t="s">
        <v>7314</v>
      </c>
      <c r="Q922" t="s">
        <v>7323</v>
      </c>
      <c r="R922" t="s">
        <v>6076</v>
      </c>
      <c r="S922" t="s">
        <v>7330</v>
      </c>
      <c r="T922" t="s">
        <v>7336</v>
      </c>
      <c r="U922" t="s">
        <v>357</v>
      </c>
      <c r="V922">
        <v>0</v>
      </c>
      <c r="W922" t="s">
        <v>7365</v>
      </c>
      <c r="X922" t="s">
        <v>7369</v>
      </c>
      <c r="Y922" t="s">
        <v>7386</v>
      </c>
      <c r="Z922" t="s">
        <v>8121</v>
      </c>
      <c r="AB922" t="s">
        <v>10911</v>
      </c>
      <c r="AC922">
        <v>58</v>
      </c>
      <c r="AD922" t="s">
        <v>12429</v>
      </c>
      <c r="AE922" t="s">
        <v>6110</v>
      </c>
      <c r="AF922">
        <v>0</v>
      </c>
      <c r="AG922">
        <v>1</v>
      </c>
      <c r="AH922">
        <v>3</v>
      </c>
      <c r="AI922">
        <v>62.01</v>
      </c>
      <c r="AJ922" t="s">
        <v>12443</v>
      </c>
      <c r="AK922" t="s">
        <v>12455</v>
      </c>
      <c r="AL922" t="s">
        <v>12460</v>
      </c>
      <c r="AM922">
        <v>15564</v>
      </c>
      <c r="AS922">
        <v>0.5</v>
      </c>
      <c r="AT922" t="s">
        <v>297</v>
      </c>
      <c r="AU922" t="s">
        <v>13107</v>
      </c>
    </row>
    <row r="923" spans="1:48">
      <c r="A923" s="1">
        <f>HYPERLINK("https://cms.ls-nyc.org/matter/dynamic-profile/view/1885649","18-1885649")</f>
        <v>0</v>
      </c>
      <c r="B923" t="s">
        <v>145</v>
      </c>
      <c r="C923" t="s">
        <v>266</v>
      </c>
      <c r="E923" t="s">
        <v>1095</v>
      </c>
      <c r="F923" t="s">
        <v>2599</v>
      </c>
      <c r="G923" t="s">
        <v>4255</v>
      </c>
      <c r="H923">
        <v>1</v>
      </c>
      <c r="I923" t="s">
        <v>6024</v>
      </c>
      <c r="J923">
        <v>11692</v>
      </c>
      <c r="K923" t="s">
        <v>6074</v>
      </c>
      <c r="L923" t="s">
        <v>6074</v>
      </c>
      <c r="M923" t="s">
        <v>6525</v>
      </c>
      <c r="N923" t="s">
        <v>7274</v>
      </c>
      <c r="O923" t="s">
        <v>7306</v>
      </c>
      <c r="Q923" t="s">
        <v>7322</v>
      </c>
      <c r="R923" t="s">
        <v>6076</v>
      </c>
      <c r="S923" t="s">
        <v>7324</v>
      </c>
      <c r="T923" t="s">
        <v>7336</v>
      </c>
      <c r="U923" t="s">
        <v>266</v>
      </c>
      <c r="V923">
        <v>1</v>
      </c>
      <c r="W923" t="s">
        <v>7361</v>
      </c>
      <c r="X923" t="s">
        <v>7366</v>
      </c>
      <c r="Z923" t="s">
        <v>8122</v>
      </c>
      <c r="AA923" t="s">
        <v>10063</v>
      </c>
      <c r="AB923" t="s">
        <v>10912</v>
      </c>
      <c r="AC923">
        <v>2</v>
      </c>
      <c r="AD923" t="s">
        <v>12419</v>
      </c>
      <c r="AE923" t="s">
        <v>6110</v>
      </c>
      <c r="AF923">
        <v>22</v>
      </c>
      <c r="AG923">
        <v>2</v>
      </c>
      <c r="AH923">
        <v>1</v>
      </c>
      <c r="AI923">
        <v>62.06</v>
      </c>
      <c r="AL923" t="s">
        <v>12460</v>
      </c>
      <c r="AM923">
        <v>12896</v>
      </c>
      <c r="AS923">
        <v>1</v>
      </c>
      <c r="AT923" t="s">
        <v>266</v>
      </c>
      <c r="AU923" t="s">
        <v>51</v>
      </c>
    </row>
    <row r="924" spans="1:48">
      <c r="A924" s="1">
        <f>HYPERLINK("https://cms.ls-nyc.org/matter/dynamic-profile/view/1874463","18-1874463")</f>
        <v>0</v>
      </c>
      <c r="B924" t="s">
        <v>70</v>
      </c>
      <c r="C924" t="s">
        <v>236</v>
      </c>
      <c r="D924" t="s">
        <v>418</v>
      </c>
      <c r="E924" t="s">
        <v>1143</v>
      </c>
      <c r="F924" t="s">
        <v>2600</v>
      </c>
      <c r="G924" t="s">
        <v>4256</v>
      </c>
      <c r="H924" t="s">
        <v>5606</v>
      </c>
      <c r="I924" t="s">
        <v>6043</v>
      </c>
      <c r="J924">
        <v>11209</v>
      </c>
      <c r="K924" t="s">
        <v>6074</v>
      </c>
      <c r="L924" t="s">
        <v>6074</v>
      </c>
      <c r="N924" t="s">
        <v>7278</v>
      </c>
      <c r="O924" t="s">
        <v>7309</v>
      </c>
      <c r="P924" t="s">
        <v>7315</v>
      </c>
      <c r="Q924" t="s">
        <v>7322</v>
      </c>
      <c r="R924" t="s">
        <v>6076</v>
      </c>
      <c r="S924" t="s">
        <v>7324</v>
      </c>
      <c r="T924" t="s">
        <v>7336</v>
      </c>
      <c r="U924" t="s">
        <v>442</v>
      </c>
      <c r="V924">
        <v>1397.01</v>
      </c>
      <c r="W924" t="s">
        <v>7362</v>
      </c>
      <c r="X924" t="s">
        <v>7368</v>
      </c>
      <c r="Y924" t="s">
        <v>7401</v>
      </c>
      <c r="Z924" t="s">
        <v>8123</v>
      </c>
      <c r="AA924" t="s">
        <v>10064</v>
      </c>
      <c r="AB924" t="s">
        <v>10913</v>
      </c>
      <c r="AC924">
        <v>118</v>
      </c>
      <c r="AD924" t="s">
        <v>12422</v>
      </c>
      <c r="AE924" t="s">
        <v>6110</v>
      </c>
      <c r="AF924">
        <v>9</v>
      </c>
      <c r="AG924">
        <v>1</v>
      </c>
      <c r="AH924">
        <v>2</v>
      </c>
      <c r="AI924">
        <v>62.06</v>
      </c>
      <c r="AL924" t="s">
        <v>12460</v>
      </c>
      <c r="AM924">
        <v>12896</v>
      </c>
      <c r="AP924" t="s">
        <v>12883</v>
      </c>
      <c r="AQ924" t="s">
        <v>12909</v>
      </c>
      <c r="AR924" t="s">
        <v>12987</v>
      </c>
      <c r="AS924">
        <v>6.95</v>
      </c>
      <c r="AT924" t="s">
        <v>418</v>
      </c>
      <c r="AU924" t="s">
        <v>13087</v>
      </c>
      <c r="AV924" t="s">
        <v>13145</v>
      </c>
    </row>
    <row r="925" spans="1:48">
      <c r="A925" s="1">
        <f>HYPERLINK("https://cms.ls-nyc.org/matter/dynamic-profile/view/1873655","18-1873655")</f>
        <v>0</v>
      </c>
      <c r="B925" t="s">
        <v>53</v>
      </c>
      <c r="C925" t="s">
        <v>467</v>
      </c>
      <c r="E925" t="s">
        <v>828</v>
      </c>
      <c r="F925" t="s">
        <v>2601</v>
      </c>
      <c r="G925" t="s">
        <v>4257</v>
      </c>
      <c r="H925" t="s">
        <v>5607</v>
      </c>
      <c r="I925" t="s">
        <v>6025</v>
      </c>
      <c r="J925">
        <v>11691</v>
      </c>
      <c r="K925" t="s">
        <v>6074</v>
      </c>
      <c r="L925" t="s">
        <v>6074</v>
      </c>
      <c r="M925" t="s">
        <v>6526</v>
      </c>
      <c r="N925" t="s">
        <v>7274</v>
      </c>
      <c r="O925" t="s">
        <v>7306</v>
      </c>
      <c r="Q925" t="s">
        <v>7322</v>
      </c>
      <c r="R925" t="s">
        <v>6076</v>
      </c>
      <c r="S925" t="s">
        <v>7324</v>
      </c>
      <c r="T925" t="s">
        <v>7340</v>
      </c>
      <c r="U925" t="s">
        <v>7343</v>
      </c>
      <c r="V925">
        <v>1836</v>
      </c>
      <c r="W925" t="s">
        <v>7361</v>
      </c>
      <c r="X925" t="s">
        <v>7377</v>
      </c>
      <c r="Z925" t="s">
        <v>8124</v>
      </c>
      <c r="AB925" t="s">
        <v>10914</v>
      </c>
      <c r="AC925">
        <v>3</v>
      </c>
      <c r="AD925" t="s">
        <v>12419</v>
      </c>
      <c r="AE925" t="s">
        <v>12434</v>
      </c>
      <c r="AF925">
        <v>3</v>
      </c>
      <c r="AG925">
        <v>3</v>
      </c>
      <c r="AH925">
        <v>1</v>
      </c>
      <c r="AI925">
        <v>62.15</v>
      </c>
      <c r="AL925" t="s">
        <v>12460</v>
      </c>
      <c r="AM925">
        <v>15600</v>
      </c>
      <c r="AS925">
        <v>2.6</v>
      </c>
      <c r="AT925" t="s">
        <v>307</v>
      </c>
      <c r="AU925" t="s">
        <v>53</v>
      </c>
    </row>
    <row r="926" spans="1:48">
      <c r="A926" s="1">
        <f>HYPERLINK("https://cms.ls-nyc.org/matter/dynamic-profile/view/1880276","18-1880276")</f>
        <v>0</v>
      </c>
      <c r="B926" t="s">
        <v>97</v>
      </c>
      <c r="C926" t="s">
        <v>391</v>
      </c>
      <c r="D926" t="s">
        <v>389</v>
      </c>
      <c r="E926" t="s">
        <v>1071</v>
      </c>
      <c r="F926" t="s">
        <v>2602</v>
      </c>
      <c r="G926" t="s">
        <v>4258</v>
      </c>
      <c r="H926" t="s">
        <v>5394</v>
      </c>
      <c r="I926" t="s">
        <v>6047</v>
      </c>
      <c r="J926">
        <v>10460</v>
      </c>
      <c r="K926" t="s">
        <v>6074</v>
      </c>
      <c r="L926" t="s">
        <v>6074</v>
      </c>
      <c r="N926" t="s">
        <v>6104</v>
      </c>
      <c r="O926" t="s">
        <v>7306</v>
      </c>
      <c r="P926" t="s">
        <v>7314</v>
      </c>
      <c r="Q926" t="s">
        <v>7322</v>
      </c>
      <c r="R926" t="s">
        <v>6076</v>
      </c>
      <c r="S926" t="s">
        <v>7324</v>
      </c>
      <c r="U926" t="s">
        <v>391</v>
      </c>
      <c r="V926">
        <v>1104</v>
      </c>
      <c r="W926" t="s">
        <v>7363</v>
      </c>
      <c r="X926" t="s">
        <v>7376</v>
      </c>
      <c r="Y926" t="s">
        <v>7386</v>
      </c>
      <c r="Z926" t="s">
        <v>8125</v>
      </c>
      <c r="AC926">
        <v>44</v>
      </c>
      <c r="AD926" t="s">
        <v>12422</v>
      </c>
      <c r="AE926" t="s">
        <v>12434</v>
      </c>
      <c r="AF926">
        <v>7</v>
      </c>
      <c r="AG926">
        <v>2</v>
      </c>
      <c r="AH926">
        <v>2</v>
      </c>
      <c r="AI926">
        <v>62.15</v>
      </c>
      <c r="AL926" t="s">
        <v>12461</v>
      </c>
      <c r="AM926">
        <v>15600</v>
      </c>
      <c r="AS926">
        <v>2</v>
      </c>
      <c r="AT926" t="s">
        <v>389</v>
      </c>
      <c r="AU926" t="s">
        <v>97</v>
      </c>
    </row>
    <row r="927" spans="1:48">
      <c r="A927" s="1">
        <f>HYPERLINK("https://cms.ls-nyc.org/matter/dynamic-profile/view/1871877","18-1871877")</f>
        <v>0</v>
      </c>
      <c r="B927" t="s">
        <v>111</v>
      </c>
      <c r="C927" t="s">
        <v>475</v>
      </c>
      <c r="D927" t="s">
        <v>462</v>
      </c>
      <c r="E927" t="s">
        <v>1144</v>
      </c>
      <c r="F927" t="s">
        <v>2104</v>
      </c>
      <c r="G927" t="s">
        <v>4259</v>
      </c>
      <c r="H927">
        <v>2</v>
      </c>
      <c r="I927" t="s">
        <v>6047</v>
      </c>
      <c r="J927">
        <v>10453</v>
      </c>
      <c r="K927" t="s">
        <v>6074</v>
      </c>
      <c r="L927" t="s">
        <v>6074</v>
      </c>
      <c r="M927" t="s">
        <v>6527</v>
      </c>
      <c r="N927" t="s">
        <v>7274</v>
      </c>
      <c r="O927" t="s">
        <v>7308</v>
      </c>
      <c r="P927" t="s">
        <v>7316</v>
      </c>
      <c r="Q927" t="s">
        <v>7322</v>
      </c>
      <c r="R927" t="s">
        <v>6076</v>
      </c>
      <c r="S927" t="s">
        <v>7324</v>
      </c>
      <c r="T927" t="s">
        <v>7336</v>
      </c>
      <c r="U927" t="s">
        <v>467</v>
      </c>
      <c r="V927">
        <v>1801</v>
      </c>
      <c r="W927" t="s">
        <v>7363</v>
      </c>
      <c r="X927" t="s">
        <v>7374</v>
      </c>
      <c r="Y927" t="s">
        <v>7388</v>
      </c>
      <c r="Z927" t="s">
        <v>8126</v>
      </c>
      <c r="AA927" t="s">
        <v>10065</v>
      </c>
      <c r="AB927" t="s">
        <v>10915</v>
      </c>
      <c r="AC927">
        <v>3</v>
      </c>
      <c r="AD927" t="s">
        <v>6322</v>
      </c>
      <c r="AE927" t="s">
        <v>12434</v>
      </c>
      <c r="AF927">
        <v>5</v>
      </c>
      <c r="AG927">
        <v>1</v>
      </c>
      <c r="AH927">
        <v>3</v>
      </c>
      <c r="AI927">
        <v>62.15</v>
      </c>
      <c r="AL927" t="s">
        <v>12460</v>
      </c>
      <c r="AM927">
        <v>15600</v>
      </c>
      <c r="AO927" t="s">
        <v>12845</v>
      </c>
      <c r="AP927" t="s">
        <v>12868</v>
      </c>
      <c r="AQ927" t="s">
        <v>12909</v>
      </c>
      <c r="AR927" t="s">
        <v>12927</v>
      </c>
      <c r="AS927">
        <v>27.65</v>
      </c>
      <c r="AT927" t="s">
        <v>462</v>
      </c>
      <c r="AU927" t="s">
        <v>13096</v>
      </c>
    </row>
    <row r="928" spans="1:48">
      <c r="A928" s="1">
        <f>HYPERLINK("https://cms.ls-nyc.org/matter/dynamic-profile/view/1890404","19-1890404")</f>
        <v>0</v>
      </c>
      <c r="B928" t="s">
        <v>112</v>
      </c>
      <c r="C928" t="s">
        <v>326</v>
      </c>
      <c r="E928" t="s">
        <v>1145</v>
      </c>
      <c r="F928" t="s">
        <v>2603</v>
      </c>
      <c r="G928" t="s">
        <v>3793</v>
      </c>
      <c r="H928" t="s">
        <v>5504</v>
      </c>
      <c r="I928" t="s">
        <v>6047</v>
      </c>
      <c r="J928">
        <v>10453</v>
      </c>
      <c r="K928" t="s">
        <v>6074</v>
      </c>
      <c r="L928" t="s">
        <v>6074</v>
      </c>
      <c r="N928" t="s">
        <v>7279</v>
      </c>
      <c r="O928" t="s">
        <v>7311</v>
      </c>
      <c r="Q928" t="s">
        <v>7322</v>
      </c>
      <c r="R928" t="s">
        <v>6074</v>
      </c>
      <c r="S928" t="s">
        <v>7324</v>
      </c>
      <c r="U928" t="s">
        <v>457</v>
      </c>
      <c r="V928">
        <v>187</v>
      </c>
      <c r="W928" t="s">
        <v>7363</v>
      </c>
      <c r="X928" t="s">
        <v>7376</v>
      </c>
      <c r="Z928" t="s">
        <v>8127</v>
      </c>
      <c r="AB928" t="s">
        <v>10916</v>
      </c>
      <c r="AC928">
        <v>44</v>
      </c>
      <c r="AD928" t="s">
        <v>12422</v>
      </c>
      <c r="AE928" t="s">
        <v>12434</v>
      </c>
      <c r="AF928">
        <v>25</v>
      </c>
      <c r="AG928">
        <v>1</v>
      </c>
      <c r="AH928">
        <v>0</v>
      </c>
      <c r="AI928">
        <v>62.16</v>
      </c>
      <c r="AL928" t="s">
        <v>12461</v>
      </c>
      <c r="AM928">
        <v>7764</v>
      </c>
      <c r="AS928">
        <v>0</v>
      </c>
      <c r="AU928" t="s">
        <v>13095</v>
      </c>
    </row>
    <row r="929" spans="1:48">
      <c r="A929" s="1">
        <f>HYPERLINK("https://cms.ls-nyc.org/matter/dynamic-profile/view/1893334","19-1893334")</f>
        <v>0</v>
      </c>
      <c r="B929" t="s">
        <v>90</v>
      </c>
      <c r="C929" t="s">
        <v>313</v>
      </c>
      <c r="E929" t="s">
        <v>1146</v>
      </c>
      <c r="F929" t="s">
        <v>2604</v>
      </c>
      <c r="G929" t="s">
        <v>3738</v>
      </c>
      <c r="H929" t="s">
        <v>5462</v>
      </c>
      <c r="I929" t="s">
        <v>6043</v>
      </c>
      <c r="J929">
        <v>11212</v>
      </c>
      <c r="K929" t="s">
        <v>6074</v>
      </c>
      <c r="L929" t="s">
        <v>6074</v>
      </c>
      <c r="N929" t="s">
        <v>7279</v>
      </c>
      <c r="O929" t="s">
        <v>7311</v>
      </c>
      <c r="Q929" t="s">
        <v>7322</v>
      </c>
      <c r="R929" t="s">
        <v>6074</v>
      </c>
      <c r="S929" t="s">
        <v>7324</v>
      </c>
      <c r="T929" t="s">
        <v>7336</v>
      </c>
      <c r="U929" t="s">
        <v>277</v>
      </c>
      <c r="V929">
        <v>1386</v>
      </c>
      <c r="W929" t="s">
        <v>7362</v>
      </c>
      <c r="X929" t="s">
        <v>7376</v>
      </c>
      <c r="Z929" t="s">
        <v>8128</v>
      </c>
      <c r="AC929">
        <v>38</v>
      </c>
      <c r="AD929" t="s">
        <v>12422</v>
      </c>
      <c r="AE929" t="s">
        <v>7305</v>
      </c>
      <c r="AF929">
        <v>4</v>
      </c>
      <c r="AG929">
        <v>1</v>
      </c>
      <c r="AH929">
        <v>0</v>
      </c>
      <c r="AI929">
        <v>62.45</v>
      </c>
      <c r="AL929" t="s">
        <v>12460</v>
      </c>
      <c r="AM929">
        <v>7800</v>
      </c>
      <c r="AN929" t="s">
        <v>12576</v>
      </c>
      <c r="AS929">
        <v>0</v>
      </c>
      <c r="AU929" t="s">
        <v>180</v>
      </c>
    </row>
    <row r="930" spans="1:48">
      <c r="A930" s="1">
        <f>HYPERLINK("https://cms.ls-nyc.org/matter/dynamic-profile/view/1893338","19-1893338")</f>
        <v>0</v>
      </c>
      <c r="B930" t="s">
        <v>90</v>
      </c>
      <c r="C930" t="s">
        <v>313</v>
      </c>
      <c r="E930" t="s">
        <v>1146</v>
      </c>
      <c r="F930" t="s">
        <v>2604</v>
      </c>
      <c r="G930" t="s">
        <v>3738</v>
      </c>
      <c r="H930" t="s">
        <v>5462</v>
      </c>
      <c r="I930" t="s">
        <v>6043</v>
      </c>
      <c r="J930">
        <v>11212</v>
      </c>
      <c r="K930" t="s">
        <v>6074</v>
      </c>
      <c r="L930" t="s">
        <v>6074</v>
      </c>
      <c r="N930" t="s">
        <v>6104</v>
      </c>
      <c r="O930" t="s">
        <v>7307</v>
      </c>
      <c r="Q930" t="s">
        <v>7322</v>
      </c>
      <c r="R930" t="s">
        <v>6074</v>
      </c>
      <c r="S930" t="s">
        <v>7324</v>
      </c>
      <c r="T930" t="s">
        <v>7336</v>
      </c>
      <c r="U930" t="s">
        <v>277</v>
      </c>
      <c r="V930">
        <v>1386</v>
      </c>
      <c r="W930" t="s">
        <v>7362</v>
      </c>
      <c r="X930" t="s">
        <v>7376</v>
      </c>
      <c r="Z930" t="s">
        <v>8128</v>
      </c>
      <c r="AC930">
        <v>38</v>
      </c>
      <c r="AD930" t="s">
        <v>12422</v>
      </c>
      <c r="AE930" t="s">
        <v>7305</v>
      </c>
      <c r="AF930">
        <v>4</v>
      </c>
      <c r="AG930">
        <v>1</v>
      </c>
      <c r="AH930">
        <v>0</v>
      </c>
      <c r="AI930">
        <v>62.45</v>
      </c>
      <c r="AL930" t="s">
        <v>12460</v>
      </c>
      <c r="AM930">
        <v>7800</v>
      </c>
      <c r="AN930" t="s">
        <v>12577</v>
      </c>
      <c r="AS930">
        <v>0</v>
      </c>
      <c r="AU930" t="s">
        <v>180</v>
      </c>
    </row>
    <row r="931" spans="1:48">
      <c r="A931" s="1">
        <f>HYPERLINK("https://cms.ls-nyc.org/matter/dynamic-profile/view/1888851","19-1888851")</f>
        <v>0</v>
      </c>
      <c r="B931" t="s">
        <v>136</v>
      </c>
      <c r="C931" t="s">
        <v>456</v>
      </c>
      <c r="E931" t="s">
        <v>1147</v>
      </c>
      <c r="F931" t="s">
        <v>2605</v>
      </c>
      <c r="G931" t="s">
        <v>4260</v>
      </c>
      <c r="H931" t="s">
        <v>5372</v>
      </c>
      <c r="I931" t="s">
        <v>6049</v>
      </c>
      <c r="J931">
        <v>10128</v>
      </c>
      <c r="K931" t="s">
        <v>6074</v>
      </c>
      <c r="L931" t="s">
        <v>6074</v>
      </c>
      <c r="N931" t="s">
        <v>7276</v>
      </c>
      <c r="O931" t="s">
        <v>7310</v>
      </c>
      <c r="Q931" t="s">
        <v>7322</v>
      </c>
      <c r="R931" t="s">
        <v>6076</v>
      </c>
      <c r="S931" t="s">
        <v>7324</v>
      </c>
      <c r="T931" t="s">
        <v>7336</v>
      </c>
      <c r="U931" t="s">
        <v>456</v>
      </c>
      <c r="V931">
        <v>1660.44</v>
      </c>
      <c r="W931" t="s">
        <v>7365</v>
      </c>
      <c r="X931" t="s">
        <v>7370</v>
      </c>
      <c r="Z931" t="s">
        <v>8129</v>
      </c>
      <c r="AB931" t="s">
        <v>10917</v>
      </c>
      <c r="AC931">
        <v>19</v>
      </c>
      <c r="AD931" t="s">
        <v>12422</v>
      </c>
      <c r="AE931" t="s">
        <v>6110</v>
      </c>
      <c r="AF931">
        <v>3</v>
      </c>
      <c r="AG931">
        <v>1</v>
      </c>
      <c r="AH931">
        <v>0</v>
      </c>
      <c r="AI931">
        <v>62.45</v>
      </c>
      <c r="AL931" t="s">
        <v>12460</v>
      </c>
      <c r="AM931">
        <v>7800</v>
      </c>
      <c r="AS931">
        <v>7.9</v>
      </c>
      <c r="AT931" t="s">
        <v>382</v>
      </c>
      <c r="AU931" t="s">
        <v>13107</v>
      </c>
      <c r="AV931" t="s">
        <v>13145</v>
      </c>
    </row>
    <row r="932" spans="1:48">
      <c r="A932" s="1">
        <f>HYPERLINK("https://cms.ls-nyc.org/matter/dynamic-profile/view/1878802","18-1878802")</f>
        <v>0</v>
      </c>
      <c r="B932" t="s">
        <v>133</v>
      </c>
      <c r="C932" t="s">
        <v>282</v>
      </c>
      <c r="D932" t="s">
        <v>282</v>
      </c>
      <c r="E932" t="s">
        <v>1148</v>
      </c>
      <c r="F932" t="s">
        <v>2606</v>
      </c>
      <c r="G932" t="s">
        <v>4261</v>
      </c>
      <c r="H932" t="s">
        <v>5418</v>
      </c>
      <c r="I932" t="s">
        <v>6049</v>
      </c>
      <c r="J932">
        <v>10034</v>
      </c>
      <c r="K932" t="s">
        <v>6074</v>
      </c>
      <c r="L932" t="s">
        <v>6074</v>
      </c>
      <c r="N932" t="s">
        <v>7274</v>
      </c>
      <c r="O932" t="s">
        <v>7306</v>
      </c>
      <c r="P932" t="s">
        <v>7314</v>
      </c>
      <c r="Q932" t="s">
        <v>7322</v>
      </c>
      <c r="R932" t="s">
        <v>6076</v>
      </c>
      <c r="S932" t="s">
        <v>7324</v>
      </c>
      <c r="U932" t="s">
        <v>282</v>
      </c>
      <c r="V932">
        <v>871.59</v>
      </c>
      <c r="W932" t="s">
        <v>7365</v>
      </c>
      <c r="X932" t="s">
        <v>7367</v>
      </c>
      <c r="Y932" t="s">
        <v>7386</v>
      </c>
      <c r="Z932" t="s">
        <v>8130</v>
      </c>
      <c r="AB932" t="s">
        <v>10918</v>
      </c>
      <c r="AC932">
        <v>0</v>
      </c>
      <c r="AD932" t="s">
        <v>12422</v>
      </c>
      <c r="AE932" t="s">
        <v>6110</v>
      </c>
      <c r="AF932">
        <v>12</v>
      </c>
      <c r="AG932">
        <v>2</v>
      </c>
      <c r="AH932">
        <v>0</v>
      </c>
      <c r="AI932">
        <v>62.48</v>
      </c>
      <c r="AL932" t="s">
        <v>12461</v>
      </c>
      <c r="AM932">
        <v>10284</v>
      </c>
      <c r="AS932">
        <v>1</v>
      </c>
      <c r="AT932" t="s">
        <v>282</v>
      </c>
      <c r="AU932" t="s">
        <v>13106</v>
      </c>
    </row>
    <row r="933" spans="1:48">
      <c r="A933" s="1">
        <f>HYPERLINK("https://cms.ls-nyc.org/matter/dynamic-profile/view/1839675","17-1839675")</f>
        <v>0</v>
      </c>
      <c r="B933" t="s">
        <v>92</v>
      </c>
      <c r="C933" t="s">
        <v>468</v>
      </c>
      <c r="D933" t="s">
        <v>283</v>
      </c>
      <c r="E933" t="s">
        <v>1120</v>
      </c>
      <c r="F933" t="s">
        <v>1312</v>
      </c>
      <c r="G933" t="s">
        <v>3748</v>
      </c>
      <c r="H933">
        <v>2</v>
      </c>
      <c r="I933" t="s">
        <v>6043</v>
      </c>
      <c r="J933">
        <v>11208</v>
      </c>
      <c r="K933" t="s">
        <v>6074</v>
      </c>
      <c r="L933" t="s">
        <v>6074</v>
      </c>
      <c r="N933" t="s">
        <v>7275</v>
      </c>
      <c r="O933" t="s">
        <v>7309</v>
      </c>
      <c r="P933" t="s">
        <v>7317</v>
      </c>
      <c r="Q933" t="s">
        <v>7322</v>
      </c>
      <c r="R933" t="s">
        <v>6074</v>
      </c>
      <c r="S933" t="s">
        <v>7324</v>
      </c>
      <c r="U933" t="s">
        <v>231</v>
      </c>
      <c r="V933">
        <v>900</v>
      </c>
      <c r="W933" t="s">
        <v>7362</v>
      </c>
      <c r="Y933" t="s">
        <v>7387</v>
      </c>
      <c r="Z933" t="s">
        <v>8088</v>
      </c>
      <c r="AC933">
        <v>7</v>
      </c>
      <c r="AD933" t="s">
        <v>12419</v>
      </c>
      <c r="AF933">
        <v>0</v>
      </c>
      <c r="AG933">
        <v>2</v>
      </c>
      <c r="AH933">
        <v>3</v>
      </c>
      <c r="AI933">
        <v>62.54</v>
      </c>
      <c r="AL933" t="s">
        <v>12461</v>
      </c>
      <c r="AM933">
        <v>18000</v>
      </c>
      <c r="AS933">
        <v>0.6</v>
      </c>
      <c r="AT933" t="s">
        <v>283</v>
      </c>
      <c r="AU933" t="s">
        <v>13130</v>
      </c>
    </row>
    <row r="934" spans="1:48">
      <c r="A934" s="1">
        <f>HYPERLINK("https://cms.ls-nyc.org/matter/dynamic-profile/view/1896674","19-1896674")</f>
        <v>0</v>
      </c>
      <c r="B934" t="s">
        <v>183</v>
      </c>
      <c r="C934" t="s">
        <v>387</v>
      </c>
      <c r="E934" t="s">
        <v>1149</v>
      </c>
      <c r="F934" t="s">
        <v>2607</v>
      </c>
      <c r="G934" t="s">
        <v>4262</v>
      </c>
      <c r="H934">
        <v>302</v>
      </c>
      <c r="I934" t="s">
        <v>6047</v>
      </c>
      <c r="J934">
        <v>10457</v>
      </c>
      <c r="K934" t="s">
        <v>6074</v>
      </c>
      <c r="L934" t="s">
        <v>6074</v>
      </c>
      <c r="M934" t="s">
        <v>6528</v>
      </c>
      <c r="N934" t="s">
        <v>7276</v>
      </c>
      <c r="O934" t="s">
        <v>7308</v>
      </c>
      <c r="Q934" t="s">
        <v>7322</v>
      </c>
      <c r="R934" t="s">
        <v>6076</v>
      </c>
      <c r="S934" t="s">
        <v>7324</v>
      </c>
      <c r="T934" t="s">
        <v>7336</v>
      </c>
      <c r="U934" t="s">
        <v>397</v>
      </c>
      <c r="V934">
        <v>2000</v>
      </c>
      <c r="W934" t="s">
        <v>7363</v>
      </c>
      <c r="X934" t="s">
        <v>7373</v>
      </c>
      <c r="Z934" t="s">
        <v>8131</v>
      </c>
      <c r="AA934" t="s">
        <v>10066</v>
      </c>
      <c r="AB934" t="s">
        <v>10919</v>
      </c>
      <c r="AC934">
        <v>48</v>
      </c>
      <c r="AD934" t="s">
        <v>12420</v>
      </c>
      <c r="AE934" t="s">
        <v>12434</v>
      </c>
      <c r="AF934">
        <v>10</v>
      </c>
      <c r="AG934">
        <v>2</v>
      </c>
      <c r="AH934">
        <v>5</v>
      </c>
      <c r="AI934">
        <v>62.65</v>
      </c>
      <c r="AL934" t="s">
        <v>12460</v>
      </c>
      <c r="AM934">
        <v>24440</v>
      </c>
      <c r="AS934">
        <v>5.1</v>
      </c>
      <c r="AT934" t="s">
        <v>445</v>
      </c>
      <c r="AU934" t="s">
        <v>13093</v>
      </c>
    </row>
    <row r="935" spans="1:48">
      <c r="A935" s="1">
        <f>HYPERLINK("https://cms.ls-nyc.org/matter/dynamic-profile/view/1887126","19-1887126")</f>
        <v>0</v>
      </c>
      <c r="B935" t="s">
        <v>70</v>
      </c>
      <c r="C935" t="s">
        <v>272</v>
      </c>
      <c r="E935" t="s">
        <v>1133</v>
      </c>
      <c r="F935" t="s">
        <v>2586</v>
      </c>
      <c r="G935" t="s">
        <v>3721</v>
      </c>
      <c r="I935" t="s">
        <v>6043</v>
      </c>
      <c r="J935">
        <v>11226</v>
      </c>
      <c r="K935" t="s">
        <v>6076</v>
      </c>
      <c r="L935" t="s">
        <v>6074</v>
      </c>
      <c r="M935" t="s">
        <v>6139</v>
      </c>
      <c r="N935" t="s">
        <v>7279</v>
      </c>
      <c r="O935" t="s">
        <v>7311</v>
      </c>
      <c r="Q935" t="s">
        <v>7322</v>
      </c>
      <c r="R935" t="s">
        <v>6074</v>
      </c>
      <c r="S935" t="s">
        <v>7324</v>
      </c>
      <c r="U935" t="s">
        <v>435</v>
      </c>
      <c r="V935">
        <v>856.9299999999999</v>
      </c>
      <c r="W935" t="s">
        <v>7362</v>
      </c>
      <c r="X935" t="s">
        <v>7375</v>
      </c>
      <c r="Z935" t="s">
        <v>8107</v>
      </c>
      <c r="AB935" t="s">
        <v>10897</v>
      </c>
      <c r="AC935">
        <v>43</v>
      </c>
      <c r="AD935" t="s">
        <v>12422</v>
      </c>
      <c r="AF935">
        <v>40</v>
      </c>
      <c r="AG935">
        <v>2</v>
      </c>
      <c r="AH935">
        <v>0</v>
      </c>
      <c r="AI935">
        <v>62.7</v>
      </c>
      <c r="AL935" t="s">
        <v>12460</v>
      </c>
      <c r="AM935">
        <v>10320</v>
      </c>
      <c r="AO935" t="s">
        <v>12847</v>
      </c>
      <c r="AS935">
        <v>2.6</v>
      </c>
      <c r="AT935" t="s">
        <v>362</v>
      </c>
      <c r="AU935" t="s">
        <v>88</v>
      </c>
    </row>
    <row r="936" spans="1:48">
      <c r="A936" s="1">
        <f>HYPERLINK("https://cms.ls-nyc.org/matter/dynamic-profile/view/1893172","19-1893172")</f>
        <v>0</v>
      </c>
      <c r="B936" t="s">
        <v>64</v>
      </c>
      <c r="C936" t="s">
        <v>293</v>
      </c>
      <c r="D936" t="s">
        <v>317</v>
      </c>
      <c r="E936" t="s">
        <v>1150</v>
      </c>
      <c r="F936" t="s">
        <v>2608</v>
      </c>
      <c r="G936" t="s">
        <v>3661</v>
      </c>
      <c r="H936" t="s">
        <v>5608</v>
      </c>
      <c r="I936" t="s">
        <v>6025</v>
      </c>
      <c r="J936">
        <v>11691</v>
      </c>
      <c r="K936" t="s">
        <v>6074</v>
      </c>
      <c r="L936" t="s">
        <v>6074</v>
      </c>
      <c r="M936" t="s">
        <v>6529</v>
      </c>
      <c r="N936" t="s">
        <v>7276</v>
      </c>
      <c r="O936" t="s">
        <v>7308</v>
      </c>
      <c r="P936" t="s">
        <v>7316</v>
      </c>
      <c r="Q936" t="s">
        <v>7322</v>
      </c>
      <c r="R936" t="s">
        <v>6076</v>
      </c>
      <c r="S936" t="s">
        <v>7324</v>
      </c>
      <c r="T936" t="s">
        <v>7339</v>
      </c>
      <c r="U936" t="s">
        <v>293</v>
      </c>
      <c r="V936">
        <v>940</v>
      </c>
      <c r="W936" t="s">
        <v>7361</v>
      </c>
      <c r="X936" t="s">
        <v>7367</v>
      </c>
      <c r="Y936" t="s">
        <v>7388</v>
      </c>
      <c r="Z936" t="s">
        <v>8132</v>
      </c>
      <c r="AA936" t="s">
        <v>10067</v>
      </c>
      <c r="AB936" t="s">
        <v>10920</v>
      </c>
      <c r="AC936">
        <v>240</v>
      </c>
      <c r="AD936" t="s">
        <v>12423</v>
      </c>
      <c r="AE936" t="s">
        <v>12434</v>
      </c>
      <c r="AF936">
        <v>4</v>
      </c>
      <c r="AG936">
        <v>1</v>
      </c>
      <c r="AH936">
        <v>0</v>
      </c>
      <c r="AI936">
        <v>62.74</v>
      </c>
      <c r="AL936" t="s">
        <v>12460</v>
      </c>
      <c r="AM936">
        <v>7836</v>
      </c>
      <c r="AO936" t="s">
        <v>12847</v>
      </c>
      <c r="AP936" t="s">
        <v>12858</v>
      </c>
      <c r="AQ936" t="s">
        <v>12909</v>
      </c>
      <c r="AR936" t="s">
        <v>12988</v>
      </c>
      <c r="AS936">
        <v>0.45</v>
      </c>
      <c r="AT936" t="s">
        <v>317</v>
      </c>
      <c r="AU936" t="s">
        <v>189</v>
      </c>
    </row>
    <row r="937" spans="1:48">
      <c r="A937" s="1">
        <f>HYPERLINK("https://cms.ls-nyc.org/matter/dynamic-profile/view/1893180","19-1893180")</f>
        <v>0</v>
      </c>
      <c r="B937" t="s">
        <v>54</v>
      </c>
      <c r="C937" t="s">
        <v>293</v>
      </c>
      <c r="E937" t="s">
        <v>1150</v>
      </c>
      <c r="F937" t="s">
        <v>2608</v>
      </c>
      <c r="G937" t="s">
        <v>3661</v>
      </c>
      <c r="H937" t="s">
        <v>5608</v>
      </c>
      <c r="I937" t="s">
        <v>6025</v>
      </c>
      <c r="J937">
        <v>11691</v>
      </c>
      <c r="K937" t="s">
        <v>6074</v>
      </c>
      <c r="L937" t="s">
        <v>6074</v>
      </c>
      <c r="N937" t="s">
        <v>7294</v>
      </c>
      <c r="O937" t="s">
        <v>7307</v>
      </c>
      <c r="Q937" t="s">
        <v>7322</v>
      </c>
      <c r="R937" t="s">
        <v>6076</v>
      </c>
      <c r="S937" t="s">
        <v>7324</v>
      </c>
      <c r="U937" t="s">
        <v>293</v>
      </c>
      <c r="V937">
        <v>940</v>
      </c>
      <c r="W937" t="s">
        <v>7361</v>
      </c>
      <c r="X937" t="s">
        <v>7367</v>
      </c>
      <c r="Z937" t="s">
        <v>8132</v>
      </c>
      <c r="AA937" t="s">
        <v>10067</v>
      </c>
      <c r="AB937" t="s">
        <v>10920</v>
      </c>
      <c r="AC937">
        <v>240</v>
      </c>
      <c r="AD937" t="s">
        <v>12423</v>
      </c>
      <c r="AE937" t="s">
        <v>12434</v>
      </c>
      <c r="AF937">
        <v>4</v>
      </c>
      <c r="AG937">
        <v>1</v>
      </c>
      <c r="AH937">
        <v>0</v>
      </c>
      <c r="AI937">
        <v>62.74</v>
      </c>
      <c r="AL937" t="s">
        <v>12460</v>
      </c>
      <c r="AM937">
        <v>7836</v>
      </c>
      <c r="AP937" t="s">
        <v>7305</v>
      </c>
      <c r="AS937">
        <v>1.3</v>
      </c>
      <c r="AT937" t="s">
        <v>363</v>
      </c>
      <c r="AU937" t="s">
        <v>189</v>
      </c>
    </row>
    <row r="938" spans="1:48">
      <c r="A938" s="1">
        <f>HYPERLINK("https://cms.ls-nyc.org/matter/dynamic-profile/view/1879823","18-1879823")</f>
        <v>0</v>
      </c>
      <c r="B938" t="s">
        <v>160</v>
      </c>
      <c r="C938" t="s">
        <v>433</v>
      </c>
      <c r="E938" t="s">
        <v>1151</v>
      </c>
      <c r="F938" t="s">
        <v>2609</v>
      </c>
      <c r="G938" t="s">
        <v>4022</v>
      </c>
      <c r="H938" t="s">
        <v>5609</v>
      </c>
      <c r="I938" t="s">
        <v>6043</v>
      </c>
      <c r="J938">
        <v>11230</v>
      </c>
      <c r="K938" t="s">
        <v>6074</v>
      </c>
      <c r="L938" t="s">
        <v>6074</v>
      </c>
      <c r="N938" t="s">
        <v>7275</v>
      </c>
      <c r="O938" t="s">
        <v>7309</v>
      </c>
      <c r="Q938" t="s">
        <v>7322</v>
      </c>
      <c r="R938" t="s">
        <v>6074</v>
      </c>
      <c r="S938" t="s">
        <v>7324</v>
      </c>
      <c r="U938" t="s">
        <v>245</v>
      </c>
      <c r="V938">
        <v>1023.5</v>
      </c>
      <c r="W938" t="s">
        <v>7362</v>
      </c>
      <c r="X938" t="s">
        <v>7376</v>
      </c>
      <c r="Z938" t="s">
        <v>8133</v>
      </c>
      <c r="AC938">
        <v>0</v>
      </c>
      <c r="AF938">
        <v>0</v>
      </c>
      <c r="AG938">
        <v>1</v>
      </c>
      <c r="AH938">
        <v>2</v>
      </c>
      <c r="AI938">
        <v>62.89</v>
      </c>
      <c r="AL938" t="s">
        <v>12460</v>
      </c>
      <c r="AM938">
        <v>13068</v>
      </c>
      <c r="AS938">
        <v>2.9</v>
      </c>
      <c r="AT938" t="s">
        <v>561</v>
      </c>
      <c r="AU938" t="s">
        <v>160</v>
      </c>
    </row>
    <row r="939" spans="1:48">
      <c r="A939" s="1">
        <f>HYPERLINK("https://cms.ls-nyc.org/matter/dynamic-profile/view/1873121","18-1873121")</f>
        <v>0</v>
      </c>
      <c r="B939" t="s">
        <v>59</v>
      </c>
      <c r="C939" t="s">
        <v>289</v>
      </c>
      <c r="D939" t="s">
        <v>344</v>
      </c>
      <c r="E939" t="s">
        <v>800</v>
      </c>
      <c r="F939" t="s">
        <v>2610</v>
      </c>
      <c r="G939" t="s">
        <v>4263</v>
      </c>
      <c r="H939" t="s">
        <v>5394</v>
      </c>
      <c r="I939" t="s">
        <v>6061</v>
      </c>
      <c r="J939">
        <v>11373</v>
      </c>
      <c r="K939" t="s">
        <v>6074</v>
      </c>
      <c r="L939" t="s">
        <v>6074</v>
      </c>
      <c r="M939" t="s">
        <v>6110</v>
      </c>
      <c r="N939" t="s">
        <v>6104</v>
      </c>
      <c r="O939" t="s">
        <v>7306</v>
      </c>
      <c r="P939" t="s">
        <v>7314</v>
      </c>
      <c r="Q939" t="s">
        <v>7322</v>
      </c>
      <c r="R939" t="s">
        <v>6076</v>
      </c>
      <c r="S939" t="s">
        <v>7324</v>
      </c>
      <c r="T939" t="s">
        <v>7336</v>
      </c>
      <c r="U939" t="s">
        <v>262</v>
      </c>
      <c r="V939">
        <v>849</v>
      </c>
      <c r="W939" t="s">
        <v>7361</v>
      </c>
      <c r="X939" t="s">
        <v>7371</v>
      </c>
      <c r="Y939" t="s">
        <v>7386</v>
      </c>
      <c r="Z939" t="s">
        <v>8134</v>
      </c>
      <c r="AA939" t="s">
        <v>9856</v>
      </c>
      <c r="AB939" t="s">
        <v>9856</v>
      </c>
      <c r="AC939">
        <v>66</v>
      </c>
      <c r="AD939" t="s">
        <v>12422</v>
      </c>
      <c r="AE939" t="s">
        <v>12441</v>
      </c>
      <c r="AF939">
        <v>40</v>
      </c>
      <c r="AG939">
        <v>2</v>
      </c>
      <c r="AH939">
        <v>0</v>
      </c>
      <c r="AI939">
        <v>63.06</v>
      </c>
      <c r="AL939" t="s">
        <v>12460</v>
      </c>
      <c r="AM939">
        <v>10380</v>
      </c>
      <c r="AS939">
        <v>4.9</v>
      </c>
      <c r="AT939" t="s">
        <v>427</v>
      </c>
      <c r="AU939" t="s">
        <v>48</v>
      </c>
    </row>
    <row r="940" spans="1:48">
      <c r="A940" s="1">
        <f>HYPERLINK("https://cms.ls-nyc.org/matter/dynamic-profile/view/1870806","18-1870806")</f>
        <v>0</v>
      </c>
      <c r="B940" t="s">
        <v>55</v>
      </c>
      <c r="C940" t="s">
        <v>321</v>
      </c>
      <c r="D940" t="s">
        <v>472</v>
      </c>
      <c r="E940" t="s">
        <v>1135</v>
      </c>
      <c r="F940" t="s">
        <v>2589</v>
      </c>
      <c r="G940" t="s">
        <v>4264</v>
      </c>
      <c r="H940" t="s">
        <v>5603</v>
      </c>
      <c r="I940" t="s">
        <v>6040</v>
      </c>
      <c r="J940">
        <v>11354</v>
      </c>
      <c r="K940" t="s">
        <v>6074</v>
      </c>
      <c r="L940" t="s">
        <v>6074</v>
      </c>
      <c r="M940" t="s">
        <v>6520</v>
      </c>
      <c r="N940" t="s">
        <v>7273</v>
      </c>
      <c r="O940" t="s">
        <v>7308</v>
      </c>
      <c r="P940" t="s">
        <v>7316</v>
      </c>
      <c r="Q940" t="s">
        <v>7322</v>
      </c>
      <c r="R940" t="s">
        <v>6074</v>
      </c>
      <c r="S940" t="s">
        <v>7324</v>
      </c>
      <c r="T940" t="s">
        <v>7336</v>
      </c>
      <c r="U940" t="s">
        <v>471</v>
      </c>
      <c r="V940">
        <v>1100</v>
      </c>
      <c r="W940" t="s">
        <v>7361</v>
      </c>
      <c r="X940" t="s">
        <v>7366</v>
      </c>
      <c r="Y940" t="s">
        <v>7394</v>
      </c>
      <c r="Z940" t="s">
        <v>8111</v>
      </c>
      <c r="AA940" t="s">
        <v>10061</v>
      </c>
      <c r="AB940" t="s">
        <v>10901</v>
      </c>
      <c r="AC940">
        <v>200</v>
      </c>
      <c r="AD940" t="s">
        <v>12422</v>
      </c>
      <c r="AE940" t="s">
        <v>12441</v>
      </c>
      <c r="AF940">
        <v>58</v>
      </c>
      <c r="AG940">
        <v>1</v>
      </c>
      <c r="AH940">
        <v>0</v>
      </c>
      <c r="AI940">
        <v>63.06</v>
      </c>
      <c r="AL940" t="s">
        <v>12461</v>
      </c>
      <c r="AM940">
        <v>7656</v>
      </c>
      <c r="AO940" t="s">
        <v>12846</v>
      </c>
      <c r="AP940" t="s">
        <v>12873</v>
      </c>
      <c r="AQ940" t="s">
        <v>12909</v>
      </c>
      <c r="AR940" t="s">
        <v>12950</v>
      </c>
      <c r="AS940">
        <v>18.4</v>
      </c>
      <c r="AT940" t="s">
        <v>317</v>
      </c>
      <c r="AU940" t="s">
        <v>51</v>
      </c>
    </row>
    <row r="941" spans="1:48">
      <c r="A941" s="1">
        <f>HYPERLINK("https://cms.ls-nyc.org/matter/dynamic-profile/view/1883266","18-1883266")</f>
        <v>0</v>
      </c>
      <c r="B941" t="s">
        <v>125</v>
      </c>
      <c r="C941" t="s">
        <v>403</v>
      </c>
      <c r="E941" t="s">
        <v>1107</v>
      </c>
      <c r="F941" t="s">
        <v>2611</v>
      </c>
      <c r="G941" t="s">
        <v>4265</v>
      </c>
      <c r="H941" t="s">
        <v>5465</v>
      </c>
      <c r="I941" t="s">
        <v>6049</v>
      </c>
      <c r="J941">
        <v>10031</v>
      </c>
      <c r="K941" t="s">
        <v>6074</v>
      </c>
      <c r="L941" t="s">
        <v>6074</v>
      </c>
      <c r="O941" t="s">
        <v>7309</v>
      </c>
      <c r="Q941" t="s">
        <v>7322</v>
      </c>
      <c r="R941" t="s">
        <v>6076</v>
      </c>
      <c r="S941" t="s">
        <v>7324</v>
      </c>
      <c r="U941" t="s">
        <v>403</v>
      </c>
      <c r="V941">
        <v>818</v>
      </c>
      <c r="W941" t="s">
        <v>7365</v>
      </c>
      <c r="X941" t="s">
        <v>7367</v>
      </c>
      <c r="Z941" t="s">
        <v>8135</v>
      </c>
      <c r="AA941" t="s">
        <v>10068</v>
      </c>
      <c r="AB941" t="s">
        <v>10921</v>
      </c>
      <c r="AC941">
        <v>0</v>
      </c>
      <c r="AD941" t="s">
        <v>12422</v>
      </c>
      <c r="AE941" t="s">
        <v>6110</v>
      </c>
      <c r="AF941">
        <v>0</v>
      </c>
      <c r="AG941">
        <v>4</v>
      </c>
      <c r="AH941">
        <v>0</v>
      </c>
      <c r="AI941">
        <v>63.11</v>
      </c>
      <c r="AL941" t="s">
        <v>12461</v>
      </c>
      <c r="AM941">
        <v>15840</v>
      </c>
      <c r="AS941">
        <v>36.3</v>
      </c>
      <c r="AT941" t="s">
        <v>423</v>
      </c>
      <c r="AU941" t="s">
        <v>13106</v>
      </c>
    </row>
    <row r="942" spans="1:48">
      <c r="A942" s="1">
        <f>HYPERLINK("https://cms.ls-nyc.org/matter/dynamic-profile/view/1875269","18-1875269")</f>
        <v>0</v>
      </c>
      <c r="B942" t="s">
        <v>110</v>
      </c>
      <c r="C942" t="s">
        <v>399</v>
      </c>
      <c r="D942" t="s">
        <v>241</v>
      </c>
      <c r="E942" t="s">
        <v>1152</v>
      </c>
      <c r="F942" t="s">
        <v>2175</v>
      </c>
      <c r="G942" t="s">
        <v>4266</v>
      </c>
      <c r="H942" t="s">
        <v>5438</v>
      </c>
      <c r="I942" t="s">
        <v>6047</v>
      </c>
      <c r="J942">
        <v>10452</v>
      </c>
      <c r="K942" t="s">
        <v>6074</v>
      </c>
      <c r="L942" t="s">
        <v>6074</v>
      </c>
      <c r="M942" t="s">
        <v>6530</v>
      </c>
      <c r="N942" t="s">
        <v>7276</v>
      </c>
      <c r="O942" t="s">
        <v>7308</v>
      </c>
      <c r="P942" t="s">
        <v>7316</v>
      </c>
      <c r="Q942" t="s">
        <v>7322</v>
      </c>
      <c r="R942" t="s">
        <v>6076</v>
      </c>
      <c r="S942" t="s">
        <v>7324</v>
      </c>
      <c r="T942" t="s">
        <v>7339</v>
      </c>
      <c r="U942" t="s">
        <v>401</v>
      </c>
      <c r="V942">
        <v>1175</v>
      </c>
      <c r="W942" t="s">
        <v>7363</v>
      </c>
      <c r="X942" t="s">
        <v>7376</v>
      </c>
      <c r="Y942" t="s">
        <v>7388</v>
      </c>
      <c r="Z942" t="s">
        <v>8136</v>
      </c>
      <c r="AA942" t="s">
        <v>10069</v>
      </c>
      <c r="AB942" t="s">
        <v>10922</v>
      </c>
      <c r="AC942">
        <v>60</v>
      </c>
      <c r="AD942" t="s">
        <v>12422</v>
      </c>
      <c r="AE942" t="s">
        <v>6110</v>
      </c>
      <c r="AF942">
        <v>5</v>
      </c>
      <c r="AG942">
        <v>1</v>
      </c>
      <c r="AH942">
        <v>1</v>
      </c>
      <c r="AI942">
        <v>63.16</v>
      </c>
      <c r="AL942" t="s">
        <v>12461</v>
      </c>
      <c r="AM942">
        <v>10396</v>
      </c>
      <c r="AO942" t="s">
        <v>12850</v>
      </c>
      <c r="AS942">
        <v>31.4</v>
      </c>
      <c r="AT942" t="s">
        <v>284</v>
      </c>
      <c r="AU942" t="s">
        <v>13099</v>
      </c>
    </row>
    <row r="943" spans="1:48">
      <c r="A943" s="1">
        <f>HYPERLINK("https://cms.ls-nyc.org/matter/dynamic-profile/view/1875646","18-1875646")</f>
        <v>0</v>
      </c>
      <c r="B943" t="s">
        <v>96</v>
      </c>
      <c r="C943" t="s">
        <v>233</v>
      </c>
      <c r="E943" t="s">
        <v>737</v>
      </c>
      <c r="F943" t="s">
        <v>1647</v>
      </c>
      <c r="G943" t="s">
        <v>4267</v>
      </c>
      <c r="H943" t="s">
        <v>5390</v>
      </c>
      <c r="I943" t="s">
        <v>6047</v>
      </c>
      <c r="J943">
        <v>10468</v>
      </c>
      <c r="K943" t="s">
        <v>6074</v>
      </c>
      <c r="L943" t="s">
        <v>6074</v>
      </c>
      <c r="N943" t="s">
        <v>7279</v>
      </c>
      <c r="O943" t="s">
        <v>7311</v>
      </c>
      <c r="Q943" t="s">
        <v>7322</v>
      </c>
      <c r="R943" t="s">
        <v>6074</v>
      </c>
      <c r="S943" t="s">
        <v>7324</v>
      </c>
      <c r="U943" t="s">
        <v>472</v>
      </c>
      <c r="V943">
        <v>1757</v>
      </c>
      <c r="W943" t="s">
        <v>7363</v>
      </c>
      <c r="X943" t="s">
        <v>7376</v>
      </c>
      <c r="Z943" t="s">
        <v>8137</v>
      </c>
      <c r="AB943" t="s">
        <v>10923</v>
      </c>
      <c r="AC943">
        <v>58</v>
      </c>
      <c r="AD943" t="s">
        <v>12422</v>
      </c>
      <c r="AE943" t="s">
        <v>12434</v>
      </c>
      <c r="AF943">
        <v>9</v>
      </c>
      <c r="AG943">
        <v>1</v>
      </c>
      <c r="AH943">
        <v>1</v>
      </c>
      <c r="AI943">
        <v>63.18</v>
      </c>
      <c r="AL943" t="s">
        <v>12461</v>
      </c>
      <c r="AM943">
        <v>10400</v>
      </c>
      <c r="AS943">
        <v>0.5</v>
      </c>
      <c r="AT943" t="s">
        <v>364</v>
      </c>
      <c r="AU943" t="s">
        <v>13092</v>
      </c>
    </row>
    <row r="944" spans="1:48">
      <c r="A944" s="1">
        <f>HYPERLINK("https://cms.ls-nyc.org/matter/dynamic-profile/view/1875606","18-1875606")</f>
        <v>0</v>
      </c>
      <c r="B944" t="s">
        <v>96</v>
      </c>
      <c r="C944" t="s">
        <v>233</v>
      </c>
      <c r="E944" t="s">
        <v>737</v>
      </c>
      <c r="F944" t="s">
        <v>1647</v>
      </c>
      <c r="G944" t="s">
        <v>4267</v>
      </c>
      <c r="H944" t="s">
        <v>5390</v>
      </c>
      <c r="I944" t="s">
        <v>6047</v>
      </c>
      <c r="J944">
        <v>10468</v>
      </c>
      <c r="K944" t="s">
        <v>6074</v>
      </c>
      <c r="L944" t="s">
        <v>6074</v>
      </c>
      <c r="M944" t="s">
        <v>6178</v>
      </c>
      <c r="N944" t="s">
        <v>7273</v>
      </c>
      <c r="O944" t="s">
        <v>7308</v>
      </c>
      <c r="Q944" t="s">
        <v>7322</v>
      </c>
      <c r="R944" t="s">
        <v>6074</v>
      </c>
      <c r="S944" t="s">
        <v>7324</v>
      </c>
      <c r="U944" t="s">
        <v>502</v>
      </c>
      <c r="V944">
        <v>1757</v>
      </c>
      <c r="W944" t="s">
        <v>7363</v>
      </c>
      <c r="X944" t="s">
        <v>7376</v>
      </c>
      <c r="Z944" t="s">
        <v>8137</v>
      </c>
      <c r="AB944" t="s">
        <v>10923</v>
      </c>
      <c r="AC944">
        <v>58</v>
      </c>
      <c r="AD944" t="s">
        <v>12422</v>
      </c>
      <c r="AE944" t="s">
        <v>12434</v>
      </c>
      <c r="AF944">
        <v>9</v>
      </c>
      <c r="AG944">
        <v>1</v>
      </c>
      <c r="AH944">
        <v>1</v>
      </c>
      <c r="AI944">
        <v>63.18</v>
      </c>
      <c r="AL944" t="s">
        <v>12461</v>
      </c>
      <c r="AM944">
        <v>10400</v>
      </c>
      <c r="AS944">
        <v>0</v>
      </c>
      <c r="AU944" t="s">
        <v>13092</v>
      </c>
    </row>
    <row r="945" spans="1:48">
      <c r="A945" s="1">
        <f>HYPERLINK("https://cms.ls-nyc.org/matter/dynamic-profile/view/1872737","18-1872737")</f>
        <v>0</v>
      </c>
      <c r="B945" t="s">
        <v>114</v>
      </c>
      <c r="C945" t="s">
        <v>368</v>
      </c>
      <c r="D945" t="s">
        <v>435</v>
      </c>
      <c r="E945" t="s">
        <v>577</v>
      </c>
      <c r="F945" t="s">
        <v>2612</v>
      </c>
      <c r="G945" t="s">
        <v>4268</v>
      </c>
      <c r="H945" t="s">
        <v>5355</v>
      </c>
      <c r="I945" t="s">
        <v>6047</v>
      </c>
      <c r="J945">
        <v>10459</v>
      </c>
      <c r="K945" t="s">
        <v>6074</v>
      </c>
      <c r="L945" t="s">
        <v>6074</v>
      </c>
      <c r="M945" t="s">
        <v>6531</v>
      </c>
      <c r="N945" t="s">
        <v>7274</v>
      </c>
      <c r="O945" t="s">
        <v>7308</v>
      </c>
      <c r="P945" t="s">
        <v>7320</v>
      </c>
      <c r="Q945" t="s">
        <v>7322</v>
      </c>
      <c r="R945" t="s">
        <v>6076</v>
      </c>
      <c r="S945" t="s">
        <v>7324</v>
      </c>
      <c r="T945" t="s">
        <v>7337</v>
      </c>
      <c r="U945" t="s">
        <v>467</v>
      </c>
      <c r="V945">
        <v>605</v>
      </c>
      <c r="W945" t="s">
        <v>7363</v>
      </c>
      <c r="X945" t="s">
        <v>7377</v>
      </c>
      <c r="Y945" t="s">
        <v>7398</v>
      </c>
      <c r="Z945" t="s">
        <v>8138</v>
      </c>
      <c r="AB945" t="s">
        <v>10924</v>
      </c>
      <c r="AC945">
        <v>44</v>
      </c>
      <c r="AD945" t="s">
        <v>12422</v>
      </c>
      <c r="AF945">
        <v>34</v>
      </c>
      <c r="AG945">
        <v>2</v>
      </c>
      <c r="AH945">
        <v>0</v>
      </c>
      <c r="AI945">
        <v>63.18</v>
      </c>
      <c r="AL945" t="s">
        <v>12460</v>
      </c>
      <c r="AM945">
        <v>10400</v>
      </c>
      <c r="AN945" t="s">
        <v>12513</v>
      </c>
      <c r="AO945" t="s">
        <v>12854</v>
      </c>
      <c r="AP945" t="s">
        <v>12884</v>
      </c>
      <c r="AQ945" t="s">
        <v>12910</v>
      </c>
      <c r="AR945" t="s">
        <v>12989</v>
      </c>
      <c r="AS945">
        <v>134.15</v>
      </c>
      <c r="AT945" t="s">
        <v>435</v>
      </c>
      <c r="AU945" t="s">
        <v>13114</v>
      </c>
    </row>
    <row r="946" spans="1:48">
      <c r="A946" s="1">
        <f>HYPERLINK("https://cms.ls-nyc.org/matter/dynamic-profile/view/1879141","18-1879141")</f>
        <v>0</v>
      </c>
      <c r="B946" t="s">
        <v>115</v>
      </c>
      <c r="C946" t="s">
        <v>355</v>
      </c>
      <c r="E946" t="s">
        <v>586</v>
      </c>
      <c r="F946" t="s">
        <v>2076</v>
      </c>
      <c r="G946" t="s">
        <v>4269</v>
      </c>
      <c r="H946" t="s">
        <v>5610</v>
      </c>
      <c r="I946" t="s">
        <v>6047</v>
      </c>
      <c r="J946">
        <v>10452</v>
      </c>
      <c r="K946" t="s">
        <v>6074</v>
      </c>
      <c r="L946" t="s">
        <v>6074</v>
      </c>
      <c r="N946" t="s">
        <v>7276</v>
      </c>
      <c r="O946" t="s">
        <v>7306</v>
      </c>
      <c r="Q946" t="s">
        <v>7322</v>
      </c>
      <c r="R946" t="s">
        <v>6076</v>
      </c>
      <c r="S946" t="s">
        <v>7324</v>
      </c>
      <c r="U946" t="s">
        <v>391</v>
      </c>
      <c r="V946">
        <v>1225</v>
      </c>
      <c r="W946" t="s">
        <v>7363</v>
      </c>
      <c r="Z946" t="s">
        <v>8139</v>
      </c>
      <c r="AB946" t="s">
        <v>10925</v>
      </c>
      <c r="AC946">
        <v>109</v>
      </c>
      <c r="AD946" t="s">
        <v>12422</v>
      </c>
      <c r="AE946" t="s">
        <v>6110</v>
      </c>
      <c r="AF946">
        <v>2</v>
      </c>
      <c r="AG946">
        <v>1</v>
      </c>
      <c r="AH946">
        <v>1</v>
      </c>
      <c r="AI946">
        <v>63.18</v>
      </c>
      <c r="AL946" t="s">
        <v>12461</v>
      </c>
      <c r="AM946">
        <v>10400</v>
      </c>
      <c r="AN946" t="s">
        <v>12578</v>
      </c>
      <c r="AS946">
        <v>0.5</v>
      </c>
      <c r="AT946" t="s">
        <v>355</v>
      </c>
      <c r="AU946" t="s">
        <v>13088</v>
      </c>
    </row>
    <row r="947" spans="1:48">
      <c r="A947" s="1">
        <f>HYPERLINK("https://cms.ls-nyc.org/matter/dynamic-profile/view/1887512","19-1887512")</f>
        <v>0</v>
      </c>
      <c r="B947" t="s">
        <v>171</v>
      </c>
      <c r="C947" t="s">
        <v>340</v>
      </c>
      <c r="E947" t="s">
        <v>1137</v>
      </c>
      <c r="F947" t="s">
        <v>2593</v>
      </c>
      <c r="G947" t="s">
        <v>4248</v>
      </c>
      <c r="H947">
        <v>201</v>
      </c>
      <c r="I947" t="s">
        <v>6049</v>
      </c>
      <c r="J947">
        <v>10025</v>
      </c>
      <c r="K947" t="s">
        <v>6074</v>
      </c>
      <c r="L947" t="s">
        <v>6074</v>
      </c>
      <c r="O947" t="s">
        <v>7307</v>
      </c>
      <c r="Q947" t="s">
        <v>7322</v>
      </c>
      <c r="S947" t="s">
        <v>7332</v>
      </c>
      <c r="U947" t="s">
        <v>340</v>
      </c>
      <c r="V947">
        <v>0</v>
      </c>
      <c r="W947" t="s">
        <v>7362</v>
      </c>
      <c r="Z947" t="s">
        <v>8115</v>
      </c>
      <c r="AB947" t="s">
        <v>10906</v>
      </c>
      <c r="AC947">
        <v>0</v>
      </c>
      <c r="AF947">
        <v>0</v>
      </c>
      <c r="AG947">
        <v>2</v>
      </c>
      <c r="AH947">
        <v>0</v>
      </c>
      <c r="AI947">
        <v>63.18</v>
      </c>
      <c r="AL947" t="s">
        <v>12460</v>
      </c>
      <c r="AM947">
        <v>10400</v>
      </c>
      <c r="AN947" t="s">
        <v>12579</v>
      </c>
      <c r="AS947">
        <v>8.5</v>
      </c>
      <c r="AT947" t="s">
        <v>387</v>
      </c>
      <c r="AU947" t="s">
        <v>171</v>
      </c>
    </row>
    <row r="948" spans="1:48">
      <c r="A948" s="1">
        <f>HYPERLINK("https://cms.ls-nyc.org/matter/dynamic-profile/view/1880771","18-1880771")</f>
        <v>0</v>
      </c>
      <c r="B948" t="s">
        <v>113</v>
      </c>
      <c r="C948" t="s">
        <v>391</v>
      </c>
      <c r="D948" t="s">
        <v>435</v>
      </c>
      <c r="E948" t="s">
        <v>1153</v>
      </c>
      <c r="F948" t="s">
        <v>2285</v>
      </c>
      <c r="G948" t="s">
        <v>4270</v>
      </c>
      <c r="H948" t="s">
        <v>5611</v>
      </c>
      <c r="I948" t="s">
        <v>6047</v>
      </c>
      <c r="J948">
        <v>10458</v>
      </c>
      <c r="K948" t="s">
        <v>6074</v>
      </c>
      <c r="L948" t="s">
        <v>6074</v>
      </c>
      <c r="N948" t="s">
        <v>7292</v>
      </c>
      <c r="O948" t="s">
        <v>7306</v>
      </c>
      <c r="P948" t="s">
        <v>7314</v>
      </c>
      <c r="Q948" t="s">
        <v>7322</v>
      </c>
      <c r="R948" t="s">
        <v>6076</v>
      </c>
      <c r="S948" t="s">
        <v>7324</v>
      </c>
      <c r="T948" t="s">
        <v>7336</v>
      </c>
      <c r="U948" t="s">
        <v>391</v>
      </c>
      <c r="V948">
        <v>1500</v>
      </c>
      <c r="W948" t="s">
        <v>7363</v>
      </c>
      <c r="X948" t="s">
        <v>7376</v>
      </c>
      <c r="Y948" t="s">
        <v>7386</v>
      </c>
      <c r="Z948" t="s">
        <v>8140</v>
      </c>
      <c r="AA948" t="s">
        <v>10070</v>
      </c>
      <c r="AB948" t="s">
        <v>10926</v>
      </c>
      <c r="AC948">
        <v>142</v>
      </c>
      <c r="AD948" t="s">
        <v>6322</v>
      </c>
      <c r="AE948" t="s">
        <v>7305</v>
      </c>
      <c r="AF948">
        <v>9</v>
      </c>
      <c r="AG948">
        <v>1</v>
      </c>
      <c r="AH948">
        <v>0</v>
      </c>
      <c r="AI948">
        <v>63.26</v>
      </c>
      <c r="AL948" t="s">
        <v>12461</v>
      </c>
      <c r="AM948">
        <v>7680</v>
      </c>
      <c r="AS948">
        <v>0.1</v>
      </c>
      <c r="AT948" t="s">
        <v>435</v>
      </c>
      <c r="AU948" t="s">
        <v>13095</v>
      </c>
    </row>
    <row r="949" spans="1:48">
      <c r="A949" s="1">
        <f>HYPERLINK("https://cms.ls-nyc.org/matter/dynamic-profile/view/1890698","19-1890698")</f>
        <v>0</v>
      </c>
      <c r="B949" t="s">
        <v>125</v>
      </c>
      <c r="C949" t="s">
        <v>420</v>
      </c>
      <c r="E949" t="s">
        <v>1154</v>
      </c>
      <c r="F949" t="s">
        <v>2613</v>
      </c>
      <c r="G949" t="s">
        <v>4271</v>
      </c>
      <c r="H949" t="s">
        <v>5612</v>
      </c>
      <c r="I949" t="s">
        <v>6049</v>
      </c>
      <c r="J949">
        <v>10033</v>
      </c>
      <c r="K949" t="s">
        <v>6074</v>
      </c>
      <c r="L949" t="s">
        <v>6074</v>
      </c>
      <c r="O949" t="s">
        <v>7310</v>
      </c>
      <c r="Q949" t="s">
        <v>7322</v>
      </c>
      <c r="R949" t="s">
        <v>6076</v>
      </c>
      <c r="S949" t="s">
        <v>7324</v>
      </c>
      <c r="U949" t="s">
        <v>420</v>
      </c>
      <c r="V949">
        <v>1213</v>
      </c>
      <c r="W949" t="s">
        <v>7365</v>
      </c>
      <c r="X949" t="s">
        <v>7367</v>
      </c>
      <c r="Z949" t="s">
        <v>8141</v>
      </c>
      <c r="AB949" t="s">
        <v>10927</v>
      </c>
      <c r="AC949">
        <v>0</v>
      </c>
      <c r="AD949" t="s">
        <v>12422</v>
      </c>
      <c r="AE949" t="s">
        <v>12437</v>
      </c>
      <c r="AF949">
        <v>3</v>
      </c>
      <c r="AG949">
        <v>1</v>
      </c>
      <c r="AH949">
        <v>0</v>
      </c>
      <c r="AI949">
        <v>63.28</v>
      </c>
      <c r="AL949" t="s">
        <v>12460</v>
      </c>
      <c r="AM949">
        <v>7904</v>
      </c>
      <c r="AS949">
        <v>136.9</v>
      </c>
      <c r="AT949" t="s">
        <v>382</v>
      </c>
      <c r="AU949" t="s">
        <v>13106</v>
      </c>
    </row>
    <row r="950" spans="1:48">
      <c r="A950" s="1">
        <f>HYPERLINK("https://cms.ls-nyc.org/matter/dynamic-profile/view/1890654","19-1890654")</f>
        <v>0</v>
      </c>
      <c r="B950" t="s">
        <v>151</v>
      </c>
      <c r="C950" t="s">
        <v>448</v>
      </c>
      <c r="D950" t="s">
        <v>317</v>
      </c>
      <c r="E950" t="s">
        <v>1155</v>
      </c>
      <c r="F950" t="s">
        <v>2614</v>
      </c>
      <c r="G950" t="s">
        <v>4272</v>
      </c>
      <c r="H950" t="s">
        <v>5376</v>
      </c>
      <c r="I950" t="s">
        <v>6047</v>
      </c>
      <c r="J950">
        <v>10467</v>
      </c>
      <c r="K950" t="s">
        <v>6074</v>
      </c>
      <c r="L950" t="s">
        <v>6074</v>
      </c>
      <c r="N950" t="s">
        <v>7288</v>
      </c>
      <c r="O950" t="s">
        <v>7309</v>
      </c>
      <c r="P950" t="s">
        <v>7315</v>
      </c>
      <c r="Q950" t="s">
        <v>7322</v>
      </c>
      <c r="R950" t="s">
        <v>6076</v>
      </c>
      <c r="S950" t="s">
        <v>7331</v>
      </c>
      <c r="T950" t="s">
        <v>7336</v>
      </c>
      <c r="U950" t="s">
        <v>448</v>
      </c>
      <c r="V950">
        <v>1832</v>
      </c>
      <c r="W950" t="s">
        <v>7363</v>
      </c>
      <c r="X950" t="s">
        <v>7370</v>
      </c>
      <c r="Y950" t="s">
        <v>7387</v>
      </c>
      <c r="Z950" t="s">
        <v>8142</v>
      </c>
      <c r="AB950" t="s">
        <v>10928</v>
      </c>
      <c r="AC950">
        <v>2</v>
      </c>
      <c r="AD950" t="s">
        <v>12419</v>
      </c>
      <c r="AE950" t="s">
        <v>12434</v>
      </c>
      <c r="AF950">
        <v>9</v>
      </c>
      <c r="AG950">
        <v>2</v>
      </c>
      <c r="AH950">
        <v>1</v>
      </c>
      <c r="AI950">
        <v>63.29</v>
      </c>
      <c r="AL950" t="s">
        <v>12460</v>
      </c>
      <c r="AM950">
        <v>13500</v>
      </c>
      <c r="AS950">
        <v>0.7</v>
      </c>
      <c r="AT950" t="s">
        <v>293</v>
      </c>
      <c r="AU950" t="s">
        <v>151</v>
      </c>
    </row>
    <row r="951" spans="1:48">
      <c r="A951" s="1">
        <f>HYPERLINK("https://cms.ls-nyc.org/matter/dynamic-profile/view/1872300","18-1872300")</f>
        <v>0</v>
      </c>
      <c r="B951" t="s">
        <v>111</v>
      </c>
      <c r="C951" t="s">
        <v>394</v>
      </c>
      <c r="D951" t="s">
        <v>472</v>
      </c>
      <c r="E951" t="s">
        <v>1156</v>
      </c>
      <c r="F951" t="s">
        <v>2059</v>
      </c>
      <c r="G951" t="s">
        <v>4273</v>
      </c>
      <c r="H951" t="s">
        <v>5455</v>
      </c>
      <c r="I951" t="s">
        <v>6047</v>
      </c>
      <c r="J951">
        <v>10459</v>
      </c>
      <c r="K951" t="s">
        <v>6074</v>
      </c>
      <c r="L951" t="s">
        <v>6074</v>
      </c>
      <c r="N951" t="s">
        <v>6104</v>
      </c>
      <c r="O951" t="s">
        <v>7307</v>
      </c>
      <c r="P951" t="s">
        <v>7315</v>
      </c>
      <c r="Q951" t="s">
        <v>7322</v>
      </c>
      <c r="R951" t="s">
        <v>6076</v>
      </c>
      <c r="S951" t="s">
        <v>7324</v>
      </c>
      <c r="U951" t="s">
        <v>467</v>
      </c>
      <c r="V951">
        <v>1520</v>
      </c>
      <c r="W951" t="s">
        <v>7363</v>
      </c>
      <c r="X951" t="s">
        <v>7376</v>
      </c>
      <c r="Y951" t="s">
        <v>7386</v>
      </c>
      <c r="Z951" t="s">
        <v>8143</v>
      </c>
      <c r="AB951" t="s">
        <v>10929</v>
      </c>
      <c r="AC951">
        <v>30</v>
      </c>
      <c r="AD951" t="s">
        <v>12420</v>
      </c>
      <c r="AE951" t="s">
        <v>7305</v>
      </c>
      <c r="AF951">
        <v>34</v>
      </c>
      <c r="AG951">
        <v>2</v>
      </c>
      <c r="AH951">
        <v>0</v>
      </c>
      <c r="AI951">
        <v>63.57</v>
      </c>
      <c r="AL951" t="s">
        <v>12460</v>
      </c>
      <c r="AM951">
        <v>10464</v>
      </c>
      <c r="AN951" t="s">
        <v>12580</v>
      </c>
      <c r="AO951" t="s">
        <v>12846</v>
      </c>
      <c r="AS951">
        <v>1.75</v>
      </c>
      <c r="AT951" t="s">
        <v>368</v>
      </c>
      <c r="AU951" t="s">
        <v>13100</v>
      </c>
    </row>
    <row r="952" spans="1:48">
      <c r="A952" s="1">
        <f>HYPERLINK("https://cms.ls-nyc.org/matter/dynamic-profile/view/1879532","18-1879532")</f>
        <v>0</v>
      </c>
      <c r="B952" t="s">
        <v>113</v>
      </c>
      <c r="C952" t="s">
        <v>239</v>
      </c>
      <c r="E952" t="s">
        <v>1157</v>
      </c>
      <c r="F952" t="s">
        <v>2615</v>
      </c>
      <c r="G952" t="s">
        <v>4274</v>
      </c>
      <c r="H952" t="s">
        <v>5436</v>
      </c>
      <c r="I952" t="s">
        <v>6047</v>
      </c>
      <c r="J952">
        <v>10453</v>
      </c>
      <c r="K952" t="s">
        <v>6074</v>
      </c>
      <c r="L952" t="s">
        <v>6074</v>
      </c>
      <c r="M952" t="s">
        <v>6101</v>
      </c>
      <c r="N952" t="s">
        <v>7278</v>
      </c>
      <c r="O952" t="s">
        <v>7306</v>
      </c>
      <c r="Q952" t="s">
        <v>7322</v>
      </c>
      <c r="R952" t="s">
        <v>6076</v>
      </c>
      <c r="S952" t="s">
        <v>7324</v>
      </c>
      <c r="U952" t="s">
        <v>239</v>
      </c>
      <c r="V952">
        <v>1063.54</v>
      </c>
      <c r="W952" t="s">
        <v>7363</v>
      </c>
      <c r="X952" t="s">
        <v>7383</v>
      </c>
      <c r="Z952" t="s">
        <v>8144</v>
      </c>
      <c r="AA952" t="s">
        <v>10071</v>
      </c>
      <c r="AB952" t="s">
        <v>10930</v>
      </c>
      <c r="AC952">
        <v>48</v>
      </c>
      <c r="AD952" t="s">
        <v>12422</v>
      </c>
      <c r="AE952" t="s">
        <v>6110</v>
      </c>
      <c r="AF952">
        <v>28</v>
      </c>
      <c r="AG952">
        <v>4</v>
      </c>
      <c r="AH952">
        <v>6</v>
      </c>
      <c r="AI952">
        <v>63.65</v>
      </c>
      <c r="AL952" t="s">
        <v>12461</v>
      </c>
      <c r="AM952">
        <v>32472</v>
      </c>
      <c r="AS952">
        <v>29.6</v>
      </c>
      <c r="AT952" t="s">
        <v>459</v>
      </c>
      <c r="AU952" t="s">
        <v>13096</v>
      </c>
    </row>
    <row r="953" spans="1:48">
      <c r="A953" s="1">
        <f>HYPERLINK("https://cms.ls-nyc.org/matter/dynamic-profile/view/1892955","19-1892955")</f>
        <v>0</v>
      </c>
      <c r="B953" t="s">
        <v>61</v>
      </c>
      <c r="C953" t="s">
        <v>356</v>
      </c>
      <c r="E953" t="s">
        <v>1158</v>
      </c>
      <c r="F953" t="s">
        <v>2508</v>
      </c>
      <c r="G953" t="s">
        <v>4275</v>
      </c>
      <c r="H953" t="s">
        <v>5613</v>
      </c>
      <c r="I953" t="s">
        <v>6061</v>
      </c>
      <c r="J953">
        <v>11373</v>
      </c>
      <c r="K953" t="s">
        <v>6074</v>
      </c>
      <c r="L953" t="s">
        <v>6074</v>
      </c>
      <c r="M953" t="s">
        <v>6532</v>
      </c>
      <c r="N953" t="s">
        <v>7276</v>
      </c>
      <c r="O953" t="s">
        <v>7309</v>
      </c>
      <c r="Q953" t="s">
        <v>7322</v>
      </c>
      <c r="R953" t="s">
        <v>6076</v>
      </c>
      <c r="S953" t="s">
        <v>7324</v>
      </c>
      <c r="T953" t="s">
        <v>7339</v>
      </c>
      <c r="U953" t="s">
        <v>278</v>
      </c>
      <c r="V953">
        <v>947.9299999999999</v>
      </c>
      <c r="W953" t="s">
        <v>7361</v>
      </c>
      <c r="X953" t="s">
        <v>7366</v>
      </c>
      <c r="Z953" t="s">
        <v>8145</v>
      </c>
      <c r="AA953" t="s">
        <v>10072</v>
      </c>
      <c r="AB953" t="s">
        <v>10931</v>
      </c>
      <c r="AC953">
        <v>125</v>
      </c>
      <c r="AD953" t="s">
        <v>12422</v>
      </c>
      <c r="AE953" t="s">
        <v>12441</v>
      </c>
      <c r="AF953">
        <v>25</v>
      </c>
      <c r="AG953">
        <v>1</v>
      </c>
      <c r="AH953">
        <v>0</v>
      </c>
      <c r="AI953">
        <v>63.7</v>
      </c>
      <c r="AL953" t="s">
        <v>12460</v>
      </c>
      <c r="AM953">
        <v>7956</v>
      </c>
      <c r="AS953">
        <v>0.05</v>
      </c>
      <c r="AT953" t="s">
        <v>367</v>
      </c>
      <c r="AU953" t="s">
        <v>52</v>
      </c>
    </row>
    <row r="954" spans="1:48">
      <c r="A954" s="1">
        <f>HYPERLINK("https://cms.ls-nyc.org/matter/dynamic-profile/view/1872795","18-1872795")</f>
        <v>0</v>
      </c>
      <c r="B954" t="s">
        <v>68</v>
      </c>
      <c r="C954" t="s">
        <v>368</v>
      </c>
      <c r="D954" t="s">
        <v>344</v>
      </c>
      <c r="E954" t="s">
        <v>1159</v>
      </c>
      <c r="F954" t="s">
        <v>2616</v>
      </c>
      <c r="G954" t="s">
        <v>4276</v>
      </c>
      <c r="H954" t="s">
        <v>5614</v>
      </c>
      <c r="I954" t="s">
        <v>6043</v>
      </c>
      <c r="J954">
        <v>11207</v>
      </c>
      <c r="K954" t="s">
        <v>6074</v>
      </c>
      <c r="L954" t="s">
        <v>6074</v>
      </c>
      <c r="M954" t="s">
        <v>6533</v>
      </c>
      <c r="N954" t="s">
        <v>7276</v>
      </c>
      <c r="O954" t="s">
        <v>7308</v>
      </c>
      <c r="P954" t="s">
        <v>7316</v>
      </c>
      <c r="Q954" t="s">
        <v>7322</v>
      </c>
      <c r="R954" t="s">
        <v>6076</v>
      </c>
      <c r="S954" t="s">
        <v>7324</v>
      </c>
      <c r="T954" t="s">
        <v>7338</v>
      </c>
      <c r="U954" t="s">
        <v>231</v>
      </c>
      <c r="V954">
        <v>906</v>
      </c>
      <c r="W954" t="s">
        <v>7362</v>
      </c>
      <c r="X954" t="s">
        <v>7377</v>
      </c>
      <c r="Y954" t="s">
        <v>7388</v>
      </c>
      <c r="Z954" t="s">
        <v>8146</v>
      </c>
      <c r="AA954" t="s">
        <v>10073</v>
      </c>
      <c r="AB954" t="s">
        <v>10932</v>
      </c>
      <c r="AC954">
        <v>7</v>
      </c>
      <c r="AD954" t="s">
        <v>12422</v>
      </c>
      <c r="AE954" t="s">
        <v>6110</v>
      </c>
      <c r="AF954">
        <v>3</v>
      </c>
      <c r="AG954">
        <v>2</v>
      </c>
      <c r="AH954">
        <v>1</v>
      </c>
      <c r="AI954">
        <v>63.73</v>
      </c>
      <c r="AL954" t="s">
        <v>12460</v>
      </c>
      <c r="AM954">
        <v>13244</v>
      </c>
      <c r="AN954" t="s">
        <v>12505</v>
      </c>
      <c r="AS954">
        <v>23.5</v>
      </c>
      <c r="AT954" t="s">
        <v>504</v>
      </c>
      <c r="AU954" t="s">
        <v>13087</v>
      </c>
    </row>
    <row r="955" spans="1:48">
      <c r="A955" s="1">
        <f>HYPERLINK("https://cms.ls-nyc.org/matter/dynamic-profile/view/1901153","19-1901153")</f>
        <v>0</v>
      </c>
      <c r="B955" t="s">
        <v>56</v>
      </c>
      <c r="C955" t="s">
        <v>324</v>
      </c>
      <c r="E955" t="s">
        <v>828</v>
      </c>
      <c r="F955" t="s">
        <v>2535</v>
      </c>
      <c r="G955" t="s">
        <v>4277</v>
      </c>
      <c r="H955" t="s">
        <v>5615</v>
      </c>
      <c r="I955" t="s">
        <v>6024</v>
      </c>
      <c r="J955">
        <v>11692</v>
      </c>
      <c r="K955" t="s">
        <v>6074</v>
      </c>
      <c r="L955" t="s">
        <v>6075</v>
      </c>
      <c r="M955" t="s">
        <v>6534</v>
      </c>
      <c r="N955" t="s">
        <v>7276</v>
      </c>
      <c r="O955" t="s">
        <v>7308</v>
      </c>
      <c r="Q955" t="s">
        <v>7322</v>
      </c>
      <c r="R955" t="s">
        <v>6074</v>
      </c>
      <c r="S955" t="s">
        <v>7324</v>
      </c>
      <c r="U955" t="s">
        <v>324</v>
      </c>
      <c r="V955">
        <v>519</v>
      </c>
      <c r="W955" t="s">
        <v>7361</v>
      </c>
      <c r="X955" t="s">
        <v>7366</v>
      </c>
      <c r="Z955" t="s">
        <v>8147</v>
      </c>
      <c r="AB955" t="s">
        <v>10933</v>
      </c>
      <c r="AC955">
        <v>18</v>
      </c>
      <c r="AF955">
        <v>2</v>
      </c>
      <c r="AG955">
        <v>2</v>
      </c>
      <c r="AH955">
        <v>0</v>
      </c>
      <c r="AI955">
        <v>63.87</v>
      </c>
      <c r="AL955" t="s">
        <v>12460</v>
      </c>
      <c r="AM955">
        <v>10800</v>
      </c>
      <c r="AO955" t="s">
        <v>12850</v>
      </c>
      <c r="AP955" t="s">
        <v>12858</v>
      </c>
      <c r="AQ955" t="s">
        <v>12909</v>
      </c>
      <c r="AR955" t="s">
        <v>12990</v>
      </c>
      <c r="AS955">
        <v>9.6</v>
      </c>
      <c r="AT955" t="s">
        <v>564</v>
      </c>
      <c r="AU955" t="s">
        <v>13078</v>
      </c>
      <c r="AV955" t="s">
        <v>13145</v>
      </c>
    </row>
    <row r="956" spans="1:48">
      <c r="A956" s="1">
        <f>HYPERLINK("https://cms.ls-nyc.org/matter/dynamic-profile/view/1890395","19-1890395")</f>
        <v>0</v>
      </c>
      <c r="B956" t="s">
        <v>112</v>
      </c>
      <c r="C956" t="s">
        <v>326</v>
      </c>
      <c r="E956" t="s">
        <v>1145</v>
      </c>
      <c r="F956" t="s">
        <v>2603</v>
      </c>
      <c r="G956" t="s">
        <v>3793</v>
      </c>
      <c r="H956" t="s">
        <v>5504</v>
      </c>
      <c r="I956" t="s">
        <v>6047</v>
      </c>
      <c r="J956">
        <v>10453</v>
      </c>
      <c r="K956" t="s">
        <v>6074</v>
      </c>
      <c r="L956" t="s">
        <v>6074</v>
      </c>
      <c r="M956" t="s">
        <v>6194</v>
      </c>
      <c r="N956" t="s">
        <v>7273</v>
      </c>
      <c r="O956" t="s">
        <v>7308</v>
      </c>
      <c r="Q956" t="s">
        <v>7322</v>
      </c>
      <c r="R956" t="s">
        <v>6074</v>
      </c>
      <c r="S956" t="s">
        <v>7324</v>
      </c>
      <c r="U956" t="s">
        <v>457</v>
      </c>
      <c r="V956">
        <v>187</v>
      </c>
      <c r="W956" t="s">
        <v>7363</v>
      </c>
      <c r="X956" t="s">
        <v>7376</v>
      </c>
      <c r="Z956" t="s">
        <v>8127</v>
      </c>
      <c r="AB956" t="s">
        <v>10916</v>
      </c>
      <c r="AC956">
        <v>44</v>
      </c>
      <c r="AD956" t="s">
        <v>12422</v>
      </c>
      <c r="AE956" t="s">
        <v>12434</v>
      </c>
      <c r="AF956">
        <v>25</v>
      </c>
      <c r="AG956">
        <v>1</v>
      </c>
      <c r="AH956">
        <v>0</v>
      </c>
      <c r="AI956">
        <v>63.95</v>
      </c>
      <c r="AL956" t="s">
        <v>12461</v>
      </c>
      <c r="AM956">
        <v>7764</v>
      </c>
      <c r="AS956">
        <v>0</v>
      </c>
      <c r="AU956" t="s">
        <v>13095</v>
      </c>
    </row>
    <row r="957" spans="1:48">
      <c r="A957" s="1">
        <f>HYPERLINK("https://cms.ls-nyc.org/matter/dynamic-profile/view/1890394","18-1890394")</f>
        <v>0</v>
      </c>
      <c r="B957" t="s">
        <v>112</v>
      </c>
      <c r="C957" t="s">
        <v>326</v>
      </c>
      <c r="E957" t="s">
        <v>1145</v>
      </c>
      <c r="F957" t="s">
        <v>2603</v>
      </c>
      <c r="G957" t="s">
        <v>3793</v>
      </c>
      <c r="H957" t="s">
        <v>5504</v>
      </c>
      <c r="I957" t="s">
        <v>6047</v>
      </c>
      <c r="J957">
        <v>10453</v>
      </c>
      <c r="K957" t="s">
        <v>6074</v>
      </c>
      <c r="L957" t="s">
        <v>6074</v>
      </c>
      <c r="N957" t="s">
        <v>6104</v>
      </c>
      <c r="O957" t="s">
        <v>7309</v>
      </c>
      <c r="Q957" t="s">
        <v>7322</v>
      </c>
      <c r="R957" t="s">
        <v>6074</v>
      </c>
      <c r="S957" t="s">
        <v>7324</v>
      </c>
      <c r="U957" t="s">
        <v>457</v>
      </c>
      <c r="V957">
        <v>187</v>
      </c>
      <c r="W957" t="s">
        <v>7363</v>
      </c>
      <c r="X957" t="s">
        <v>7376</v>
      </c>
      <c r="Z957" t="s">
        <v>8127</v>
      </c>
      <c r="AB957" t="s">
        <v>10916</v>
      </c>
      <c r="AC957">
        <v>44</v>
      </c>
      <c r="AD957" t="s">
        <v>12422</v>
      </c>
      <c r="AE957" t="s">
        <v>12434</v>
      </c>
      <c r="AF957">
        <v>25</v>
      </c>
      <c r="AG957">
        <v>1</v>
      </c>
      <c r="AH957">
        <v>0</v>
      </c>
      <c r="AI957">
        <v>63.95</v>
      </c>
      <c r="AL957" t="s">
        <v>12461</v>
      </c>
      <c r="AM957">
        <v>7764</v>
      </c>
      <c r="AS957">
        <v>0</v>
      </c>
      <c r="AU957" t="s">
        <v>13095</v>
      </c>
    </row>
    <row r="958" spans="1:48">
      <c r="A958" s="1">
        <f>HYPERLINK("https://cms.ls-nyc.org/matter/dynamic-profile/view/1895718","19-1895718")</f>
        <v>0</v>
      </c>
      <c r="B958" t="s">
        <v>54</v>
      </c>
      <c r="C958" t="s">
        <v>315</v>
      </c>
      <c r="E958" t="s">
        <v>777</v>
      </c>
      <c r="F958" t="s">
        <v>1219</v>
      </c>
      <c r="G958" t="s">
        <v>3900</v>
      </c>
      <c r="H958" t="s">
        <v>5616</v>
      </c>
      <c r="I958" t="s">
        <v>6025</v>
      </c>
      <c r="J958">
        <v>11691</v>
      </c>
      <c r="K958" t="s">
        <v>6074</v>
      </c>
      <c r="L958" t="s">
        <v>6074</v>
      </c>
      <c r="N958" t="s">
        <v>7279</v>
      </c>
      <c r="O958" t="s">
        <v>7311</v>
      </c>
      <c r="Q958" t="s">
        <v>7322</v>
      </c>
      <c r="R958" t="s">
        <v>6074</v>
      </c>
      <c r="S958" t="s">
        <v>7324</v>
      </c>
      <c r="U958" t="s">
        <v>315</v>
      </c>
      <c r="V958">
        <v>637</v>
      </c>
      <c r="W958" t="s">
        <v>7361</v>
      </c>
      <c r="X958" t="s">
        <v>7375</v>
      </c>
      <c r="Z958" t="s">
        <v>8148</v>
      </c>
      <c r="AB958" t="s">
        <v>10934</v>
      </c>
      <c r="AC958">
        <v>43</v>
      </c>
      <c r="AD958" t="s">
        <v>12422</v>
      </c>
      <c r="AF958">
        <v>20</v>
      </c>
      <c r="AG958">
        <v>1</v>
      </c>
      <c r="AH958">
        <v>0</v>
      </c>
      <c r="AI958">
        <v>64.05</v>
      </c>
      <c r="AL958" t="s">
        <v>12460</v>
      </c>
      <c r="AM958">
        <v>8000</v>
      </c>
      <c r="AS958">
        <v>0.15</v>
      </c>
      <c r="AT958" t="s">
        <v>397</v>
      </c>
      <c r="AU958" t="s">
        <v>13078</v>
      </c>
    </row>
    <row r="959" spans="1:48">
      <c r="A959" s="1">
        <f>HYPERLINK("https://cms.ls-nyc.org/matter/dynamic-profile/view/1895748","19-1895748")</f>
        <v>0</v>
      </c>
      <c r="B959" t="s">
        <v>54</v>
      </c>
      <c r="C959" t="s">
        <v>315</v>
      </c>
      <c r="E959" t="s">
        <v>777</v>
      </c>
      <c r="F959" t="s">
        <v>1219</v>
      </c>
      <c r="G959" t="s">
        <v>3900</v>
      </c>
      <c r="H959" t="s">
        <v>5616</v>
      </c>
      <c r="I959" t="s">
        <v>6025</v>
      </c>
      <c r="J959">
        <v>11691</v>
      </c>
      <c r="K959" t="s">
        <v>6074</v>
      </c>
      <c r="L959" t="s">
        <v>6074</v>
      </c>
      <c r="N959" t="s">
        <v>7278</v>
      </c>
      <c r="O959" t="s">
        <v>7307</v>
      </c>
      <c r="Q959" t="s">
        <v>7322</v>
      </c>
      <c r="R959" t="s">
        <v>6074</v>
      </c>
      <c r="S959" t="s">
        <v>7324</v>
      </c>
      <c r="U959" t="s">
        <v>315</v>
      </c>
      <c r="V959">
        <v>637</v>
      </c>
      <c r="W959" t="s">
        <v>7361</v>
      </c>
      <c r="X959" t="s">
        <v>7375</v>
      </c>
      <c r="Z959" t="s">
        <v>8148</v>
      </c>
      <c r="AB959" t="s">
        <v>10934</v>
      </c>
      <c r="AC959">
        <v>43</v>
      </c>
      <c r="AD959" t="s">
        <v>12422</v>
      </c>
      <c r="AF959">
        <v>20</v>
      </c>
      <c r="AG959">
        <v>1</v>
      </c>
      <c r="AH959">
        <v>0</v>
      </c>
      <c r="AI959">
        <v>64.05</v>
      </c>
      <c r="AL959" t="s">
        <v>12460</v>
      </c>
      <c r="AM959">
        <v>8000</v>
      </c>
      <c r="AS959">
        <v>38.15</v>
      </c>
      <c r="AT959" t="s">
        <v>260</v>
      </c>
      <c r="AU959" t="s">
        <v>13078</v>
      </c>
    </row>
    <row r="960" spans="1:48">
      <c r="A960" s="1">
        <f>HYPERLINK("https://cms.ls-nyc.org/matter/dynamic-profile/view/1900583","19-1900583")</f>
        <v>0</v>
      </c>
      <c r="B960" t="s">
        <v>132</v>
      </c>
      <c r="C960" t="s">
        <v>260</v>
      </c>
      <c r="E960" t="s">
        <v>1160</v>
      </c>
      <c r="F960" t="s">
        <v>2617</v>
      </c>
      <c r="G960" t="s">
        <v>4278</v>
      </c>
      <c r="H960" t="s">
        <v>5617</v>
      </c>
      <c r="I960" t="s">
        <v>6049</v>
      </c>
      <c r="J960">
        <v>10034</v>
      </c>
      <c r="K960" t="s">
        <v>6074</v>
      </c>
      <c r="L960" t="s">
        <v>6075</v>
      </c>
      <c r="O960" t="s">
        <v>7306</v>
      </c>
      <c r="Q960" t="s">
        <v>7322</v>
      </c>
      <c r="R960" t="s">
        <v>6074</v>
      </c>
      <c r="S960" t="s">
        <v>7324</v>
      </c>
      <c r="U960" t="s">
        <v>260</v>
      </c>
      <c r="V960">
        <v>1178.65</v>
      </c>
      <c r="W960" t="s">
        <v>7365</v>
      </c>
      <c r="X960" t="s">
        <v>7367</v>
      </c>
      <c r="Z960" t="s">
        <v>8149</v>
      </c>
      <c r="AB960" t="s">
        <v>10935</v>
      </c>
      <c r="AC960">
        <v>43</v>
      </c>
      <c r="AD960" t="s">
        <v>12422</v>
      </c>
      <c r="AE960" t="s">
        <v>6110</v>
      </c>
      <c r="AF960">
        <v>12</v>
      </c>
      <c r="AG960">
        <v>5</v>
      </c>
      <c r="AH960">
        <v>1</v>
      </c>
      <c r="AI960">
        <v>64.2</v>
      </c>
      <c r="AL960" t="s">
        <v>12461</v>
      </c>
      <c r="AM960">
        <v>22208</v>
      </c>
      <c r="AS960">
        <v>0</v>
      </c>
      <c r="AU960" t="s">
        <v>13106</v>
      </c>
      <c r="AV960" t="s">
        <v>13145</v>
      </c>
    </row>
    <row r="961" spans="1:48">
      <c r="A961" s="1">
        <f>HYPERLINK("https://cms.ls-nyc.org/matter/dynamic-profile/view/1887981","19-1887981")</f>
        <v>0</v>
      </c>
      <c r="B961" t="s">
        <v>68</v>
      </c>
      <c r="C961" t="s">
        <v>390</v>
      </c>
      <c r="D961" t="s">
        <v>397</v>
      </c>
      <c r="E961" t="s">
        <v>1161</v>
      </c>
      <c r="F961" t="s">
        <v>2618</v>
      </c>
      <c r="G961" t="s">
        <v>4279</v>
      </c>
      <c r="H961" t="s">
        <v>5578</v>
      </c>
      <c r="I961" t="s">
        <v>6043</v>
      </c>
      <c r="J961">
        <v>11208</v>
      </c>
      <c r="K961" t="s">
        <v>6074</v>
      </c>
      <c r="L961" t="s">
        <v>6074</v>
      </c>
      <c r="M961" t="s">
        <v>6535</v>
      </c>
      <c r="N961" t="s">
        <v>7274</v>
      </c>
      <c r="O961" t="s">
        <v>7307</v>
      </c>
      <c r="P961" t="s">
        <v>7315</v>
      </c>
      <c r="Q961" t="s">
        <v>7322</v>
      </c>
      <c r="R961" t="s">
        <v>6076</v>
      </c>
      <c r="S961" t="s">
        <v>7324</v>
      </c>
      <c r="U961" t="s">
        <v>390</v>
      </c>
      <c r="V961">
        <v>1725</v>
      </c>
      <c r="W961" t="s">
        <v>7362</v>
      </c>
      <c r="X961" t="s">
        <v>7383</v>
      </c>
      <c r="Y961" t="s">
        <v>7386</v>
      </c>
      <c r="Z961" t="s">
        <v>8150</v>
      </c>
      <c r="AB961" t="s">
        <v>10936</v>
      </c>
      <c r="AC961">
        <v>4</v>
      </c>
      <c r="AF961">
        <v>10</v>
      </c>
      <c r="AG961">
        <v>1</v>
      </c>
      <c r="AH961">
        <v>0</v>
      </c>
      <c r="AI961">
        <v>64.25</v>
      </c>
      <c r="AL961" t="s">
        <v>12461</v>
      </c>
      <c r="AM961">
        <v>7800</v>
      </c>
      <c r="AS961">
        <v>2.2</v>
      </c>
      <c r="AT961" t="s">
        <v>456</v>
      </c>
      <c r="AU961" t="s">
        <v>13117</v>
      </c>
    </row>
    <row r="962" spans="1:48">
      <c r="A962" s="1">
        <f>HYPERLINK("https://cms.ls-nyc.org/matter/dynamic-profile/view/1863454","18-1863454")</f>
        <v>0</v>
      </c>
      <c r="B962" t="s">
        <v>174</v>
      </c>
      <c r="C962" t="s">
        <v>308</v>
      </c>
      <c r="D962" t="s">
        <v>231</v>
      </c>
      <c r="E962" t="s">
        <v>690</v>
      </c>
      <c r="F962" t="s">
        <v>825</v>
      </c>
      <c r="G962" t="s">
        <v>4280</v>
      </c>
      <c r="H962">
        <v>731</v>
      </c>
      <c r="I962" t="s">
        <v>6043</v>
      </c>
      <c r="J962">
        <v>11207</v>
      </c>
      <c r="K962" t="s">
        <v>6074</v>
      </c>
      <c r="L962" t="s">
        <v>6074</v>
      </c>
      <c r="M962" t="s">
        <v>6536</v>
      </c>
      <c r="N962" t="s">
        <v>7274</v>
      </c>
      <c r="O962" t="s">
        <v>7307</v>
      </c>
      <c r="P962" t="s">
        <v>7315</v>
      </c>
      <c r="Q962" t="s">
        <v>7322</v>
      </c>
      <c r="S962" t="s">
        <v>7324</v>
      </c>
      <c r="U962" t="s">
        <v>231</v>
      </c>
      <c r="V962">
        <v>650</v>
      </c>
      <c r="W962" t="s">
        <v>7362</v>
      </c>
      <c r="X962" t="s">
        <v>7379</v>
      </c>
      <c r="Y962" t="s">
        <v>7393</v>
      </c>
      <c r="Z962" t="s">
        <v>8151</v>
      </c>
      <c r="AB962" t="s">
        <v>10937</v>
      </c>
      <c r="AC962">
        <v>3</v>
      </c>
      <c r="AF962">
        <v>5</v>
      </c>
      <c r="AG962">
        <v>1</v>
      </c>
      <c r="AH962">
        <v>0</v>
      </c>
      <c r="AI962">
        <v>64.25</v>
      </c>
      <c r="AL962" t="s">
        <v>12460</v>
      </c>
      <c r="AM962">
        <v>7800</v>
      </c>
      <c r="AS962">
        <v>0.5</v>
      </c>
      <c r="AT962" t="s">
        <v>231</v>
      </c>
      <c r="AU962" t="s">
        <v>13084</v>
      </c>
    </row>
    <row r="963" spans="1:48">
      <c r="A963" s="1">
        <f>HYPERLINK("https://cms.ls-nyc.org/matter/dynamic-profile/view/1871523","18-1871523")</f>
        <v>0</v>
      </c>
      <c r="B963" t="s">
        <v>151</v>
      </c>
      <c r="C963" t="s">
        <v>374</v>
      </c>
      <c r="D963" t="s">
        <v>236</v>
      </c>
      <c r="E963" t="s">
        <v>725</v>
      </c>
      <c r="F963" t="s">
        <v>2619</v>
      </c>
      <c r="G963" t="s">
        <v>4281</v>
      </c>
      <c r="H963">
        <v>2</v>
      </c>
      <c r="I963" t="s">
        <v>6047</v>
      </c>
      <c r="J963">
        <v>10458</v>
      </c>
      <c r="K963" t="s">
        <v>6074</v>
      </c>
      <c r="L963" t="s">
        <v>6074</v>
      </c>
      <c r="M963" t="s">
        <v>6101</v>
      </c>
      <c r="N963" t="s">
        <v>7278</v>
      </c>
      <c r="O963" t="s">
        <v>7306</v>
      </c>
      <c r="P963" t="s">
        <v>7314</v>
      </c>
      <c r="Q963" t="s">
        <v>7322</v>
      </c>
      <c r="R963" t="s">
        <v>6076</v>
      </c>
      <c r="S963" t="s">
        <v>7324</v>
      </c>
      <c r="T963" t="s">
        <v>7336</v>
      </c>
      <c r="U963" t="s">
        <v>374</v>
      </c>
      <c r="V963">
        <v>1266</v>
      </c>
      <c r="W963" t="s">
        <v>7363</v>
      </c>
      <c r="X963" t="s">
        <v>7376</v>
      </c>
      <c r="Y963" t="s">
        <v>7386</v>
      </c>
      <c r="Z963" t="s">
        <v>8152</v>
      </c>
      <c r="AA963" t="s">
        <v>10074</v>
      </c>
      <c r="AC963">
        <v>8</v>
      </c>
      <c r="AD963" t="s">
        <v>12422</v>
      </c>
      <c r="AE963" t="s">
        <v>12434</v>
      </c>
      <c r="AF963">
        <v>11</v>
      </c>
      <c r="AG963">
        <v>1</v>
      </c>
      <c r="AH963">
        <v>0</v>
      </c>
      <c r="AI963">
        <v>64.25</v>
      </c>
      <c r="AL963" t="s">
        <v>12460</v>
      </c>
      <c r="AM963">
        <v>7800</v>
      </c>
      <c r="AN963" t="s">
        <v>12581</v>
      </c>
      <c r="AS963">
        <v>0.4</v>
      </c>
      <c r="AT963" t="s">
        <v>419</v>
      </c>
      <c r="AU963" t="s">
        <v>13095</v>
      </c>
    </row>
    <row r="964" spans="1:48">
      <c r="A964" s="1">
        <f>HYPERLINK("https://cms.ls-nyc.org/matter/dynamic-profile/view/1881101","18-1881101")</f>
        <v>0</v>
      </c>
      <c r="B964" t="s">
        <v>159</v>
      </c>
      <c r="C964" t="s">
        <v>464</v>
      </c>
      <c r="D964" t="s">
        <v>257</v>
      </c>
      <c r="E964" t="s">
        <v>1147</v>
      </c>
      <c r="F964" t="s">
        <v>2605</v>
      </c>
      <c r="G964" t="s">
        <v>4260</v>
      </c>
      <c r="H964" t="s">
        <v>5372</v>
      </c>
      <c r="I964" t="s">
        <v>6049</v>
      </c>
      <c r="J964">
        <v>10128</v>
      </c>
      <c r="K964" t="s">
        <v>6074</v>
      </c>
      <c r="L964" t="s">
        <v>6074</v>
      </c>
      <c r="N964" t="s">
        <v>7290</v>
      </c>
      <c r="O964" t="s">
        <v>7311</v>
      </c>
      <c r="P964" t="s">
        <v>7319</v>
      </c>
      <c r="Q964" t="s">
        <v>7322</v>
      </c>
      <c r="R964" t="s">
        <v>6076</v>
      </c>
      <c r="S964" t="s">
        <v>7333</v>
      </c>
      <c r="T964" t="s">
        <v>7336</v>
      </c>
      <c r="U964" t="s">
        <v>464</v>
      </c>
      <c r="V964">
        <v>1660.44</v>
      </c>
      <c r="W964" t="s">
        <v>7365</v>
      </c>
      <c r="X964" t="s">
        <v>7370</v>
      </c>
      <c r="Y964" t="s">
        <v>7397</v>
      </c>
      <c r="Z964" t="s">
        <v>8129</v>
      </c>
      <c r="AB964" t="s">
        <v>10917</v>
      </c>
      <c r="AC964">
        <v>19</v>
      </c>
      <c r="AD964" t="s">
        <v>12422</v>
      </c>
      <c r="AE964" t="s">
        <v>6110</v>
      </c>
      <c r="AF964">
        <v>3</v>
      </c>
      <c r="AG964">
        <v>1</v>
      </c>
      <c r="AH964">
        <v>0</v>
      </c>
      <c r="AI964">
        <v>64.25</v>
      </c>
      <c r="AL964" t="s">
        <v>12460</v>
      </c>
      <c r="AM964">
        <v>7800</v>
      </c>
      <c r="AS964">
        <v>31.25</v>
      </c>
      <c r="AT964" t="s">
        <v>343</v>
      </c>
      <c r="AU964" t="s">
        <v>13107</v>
      </c>
    </row>
    <row r="965" spans="1:48">
      <c r="A965" s="1">
        <f>HYPERLINK("https://cms.ls-nyc.org/matter/dynamic-profile/view/1889424","19-1889424")</f>
        <v>0</v>
      </c>
      <c r="B965" t="s">
        <v>90</v>
      </c>
      <c r="C965" t="s">
        <v>366</v>
      </c>
      <c r="E965" t="s">
        <v>1162</v>
      </c>
      <c r="F965" t="s">
        <v>2620</v>
      </c>
      <c r="G965" t="s">
        <v>4282</v>
      </c>
      <c r="H965" t="s">
        <v>5354</v>
      </c>
      <c r="I965" t="s">
        <v>6043</v>
      </c>
      <c r="J965">
        <v>11208</v>
      </c>
      <c r="K965" t="s">
        <v>6074</v>
      </c>
      <c r="L965" t="s">
        <v>6074</v>
      </c>
      <c r="M965" t="s">
        <v>6104</v>
      </c>
      <c r="N965" t="s">
        <v>7279</v>
      </c>
      <c r="O965" t="s">
        <v>7311</v>
      </c>
      <c r="Q965" t="s">
        <v>7322</v>
      </c>
      <c r="R965" t="s">
        <v>6076</v>
      </c>
      <c r="S965" t="s">
        <v>7324</v>
      </c>
      <c r="T965" t="s">
        <v>7336</v>
      </c>
      <c r="U965" t="s">
        <v>426</v>
      </c>
      <c r="V965">
        <v>1350</v>
      </c>
      <c r="W965" t="s">
        <v>7362</v>
      </c>
      <c r="X965" t="s">
        <v>7368</v>
      </c>
      <c r="Z965" t="s">
        <v>8153</v>
      </c>
      <c r="AA965" t="s">
        <v>10075</v>
      </c>
      <c r="AB965" t="s">
        <v>10938</v>
      </c>
      <c r="AC965">
        <v>15</v>
      </c>
      <c r="AD965" t="s">
        <v>12422</v>
      </c>
      <c r="AE965" t="s">
        <v>6110</v>
      </c>
      <c r="AF965">
        <v>2</v>
      </c>
      <c r="AG965">
        <v>2</v>
      </c>
      <c r="AH965">
        <v>3</v>
      </c>
      <c r="AI965">
        <v>64.43000000000001</v>
      </c>
      <c r="AL965" t="s">
        <v>12460</v>
      </c>
      <c r="AM965">
        <v>19440</v>
      </c>
      <c r="AN965" t="s">
        <v>12582</v>
      </c>
      <c r="AS965">
        <v>2.7</v>
      </c>
      <c r="AT965" t="s">
        <v>265</v>
      </c>
      <c r="AU965" t="s">
        <v>218</v>
      </c>
    </row>
    <row r="966" spans="1:48">
      <c r="A966" s="1">
        <f>HYPERLINK("https://cms.ls-nyc.org/matter/dynamic-profile/view/1871742","18-1871742")</f>
        <v>0</v>
      </c>
      <c r="B966" t="s">
        <v>80</v>
      </c>
      <c r="C966" t="s">
        <v>440</v>
      </c>
      <c r="E966" t="s">
        <v>1137</v>
      </c>
      <c r="F966" t="s">
        <v>2621</v>
      </c>
      <c r="G966" t="s">
        <v>4283</v>
      </c>
      <c r="H966" t="s">
        <v>5618</v>
      </c>
      <c r="I966" t="s">
        <v>6043</v>
      </c>
      <c r="J966">
        <v>11206</v>
      </c>
      <c r="K966" t="s">
        <v>6074</v>
      </c>
      <c r="L966" t="s">
        <v>6074</v>
      </c>
      <c r="N966" t="s">
        <v>7275</v>
      </c>
      <c r="O966" t="s">
        <v>7311</v>
      </c>
      <c r="Q966" t="s">
        <v>7322</v>
      </c>
      <c r="R966" t="s">
        <v>6074</v>
      </c>
      <c r="S966" t="s">
        <v>7324</v>
      </c>
      <c r="U966" t="s">
        <v>440</v>
      </c>
      <c r="V966">
        <v>1057.68</v>
      </c>
      <c r="W966" t="s">
        <v>7362</v>
      </c>
      <c r="X966" t="s">
        <v>7305</v>
      </c>
      <c r="Z966" t="s">
        <v>8154</v>
      </c>
      <c r="AB966" t="s">
        <v>10939</v>
      </c>
      <c r="AC966">
        <v>25</v>
      </c>
      <c r="AD966" t="s">
        <v>12422</v>
      </c>
      <c r="AE966" t="s">
        <v>12434</v>
      </c>
      <c r="AF966">
        <v>9</v>
      </c>
      <c r="AG966">
        <v>2</v>
      </c>
      <c r="AH966">
        <v>0</v>
      </c>
      <c r="AI966">
        <v>64.67</v>
      </c>
      <c r="AL966" t="s">
        <v>12460</v>
      </c>
      <c r="AM966">
        <v>10644</v>
      </c>
      <c r="AN966" t="s">
        <v>12583</v>
      </c>
      <c r="AS966">
        <v>0.5</v>
      </c>
      <c r="AT966" t="s">
        <v>467</v>
      </c>
      <c r="AU966" t="s">
        <v>13121</v>
      </c>
    </row>
    <row r="967" spans="1:48">
      <c r="A967" s="1">
        <f>HYPERLINK("https://cms.ls-nyc.org/matter/dynamic-profile/view/1875069","18-1875069")</f>
        <v>0</v>
      </c>
      <c r="B967" t="s">
        <v>77</v>
      </c>
      <c r="C967" t="s">
        <v>262</v>
      </c>
      <c r="E967" t="s">
        <v>1163</v>
      </c>
      <c r="F967" t="s">
        <v>2555</v>
      </c>
      <c r="G967" t="s">
        <v>4284</v>
      </c>
      <c r="H967" t="s">
        <v>5388</v>
      </c>
      <c r="I967" t="s">
        <v>6043</v>
      </c>
      <c r="J967">
        <v>11233</v>
      </c>
      <c r="K967" t="s">
        <v>6074</v>
      </c>
      <c r="L967" t="s">
        <v>6074</v>
      </c>
      <c r="N967" t="s">
        <v>7276</v>
      </c>
      <c r="O967" t="s">
        <v>7308</v>
      </c>
      <c r="Q967" t="s">
        <v>7322</v>
      </c>
      <c r="R967" t="s">
        <v>6076</v>
      </c>
      <c r="S967" t="s">
        <v>7324</v>
      </c>
      <c r="U967" t="s">
        <v>262</v>
      </c>
      <c r="V967">
        <v>925</v>
      </c>
      <c r="W967" t="s">
        <v>7362</v>
      </c>
      <c r="X967" t="s">
        <v>7374</v>
      </c>
      <c r="Z967" t="s">
        <v>8155</v>
      </c>
      <c r="AB967" t="s">
        <v>10940</v>
      </c>
      <c r="AC967">
        <v>101</v>
      </c>
      <c r="AD967" t="s">
        <v>6322</v>
      </c>
      <c r="AE967" t="s">
        <v>6110</v>
      </c>
      <c r="AF967">
        <v>1</v>
      </c>
      <c r="AG967">
        <v>2</v>
      </c>
      <c r="AH967">
        <v>1</v>
      </c>
      <c r="AI967">
        <v>64.97</v>
      </c>
      <c r="AL967" t="s">
        <v>12461</v>
      </c>
      <c r="AM967">
        <v>13500</v>
      </c>
      <c r="AS967">
        <v>35.25</v>
      </c>
      <c r="AT967" t="s">
        <v>501</v>
      </c>
      <c r="AU967" t="s">
        <v>218</v>
      </c>
    </row>
    <row r="968" spans="1:48">
      <c r="A968" s="1">
        <f>HYPERLINK("https://cms.ls-nyc.org/matter/dynamic-profile/view/1857470","18-1857470")</f>
        <v>0</v>
      </c>
      <c r="B968" t="s">
        <v>101</v>
      </c>
      <c r="C968" t="s">
        <v>476</v>
      </c>
      <c r="E968" t="s">
        <v>1164</v>
      </c>
      <c r="F968" t="s">
        <v>2622</v>
      </c>
      <c r="G968" t="s">
        <v>4161</v>
      </c>
      <c r="H968" t="s">
        <v>5619</v>
      </c>
      <c r="I968" t="s">
        <v>6047</v>
      </c>
      <c r="J968">
        <v>10452</v>
      </c>
      <c r="K968" t="s">
        <v>6074</v>
      </c>
      <c r="L968" t="s">
        <v>6075</v>
      </c>
      <c r="M968" t="s">
        <v>6537</v>
      </c>
      <c r="N968" t="s">
        <v>7285</v>
      </c>
      <c r="O968" t="s">
        <v>7311</v>
      </c>
      <c r="Q968" t="s">
        <v>7322</v>
      </c>
      <c r="R968" t="s">
        <v>6074</v>
      </c>
      <c r="S968" t="s">
        <v>7324</v>
      </c>
      <c r="U968" t="s">
        <v>7344</v>
      </c>
      <c r="V968">
        <v>1050</v>
      </c>
      <c r="W968" t="s">
        <v>7363</v>
      </c>
      <c r="X968" t="s">
        <v>7376</v>
      </c>
      <c r="Z968" t="s">
        <v>8156</v>
      </c>
      <c r="AB968" t="s">
        <v>10941</v>
      </c>
      <c r="AC968">
        <v>122</v>
      </c>
      <c r="AD968" t="s">
        <v>12422</v>
      </c>
      <c r="AE968" t="s">
        <v>6110</v>
      </c>
      <c r="AF968">
        <v>16</v>
      </c>
      <c r="AG968">
        <v>3</v>
      </c>
      <c r="AH968">
        <v>1</v>
      </c>
      <c r="AI968">
        <v>65.04000000000001</v>
      </c>
      <c r="AL968" t="s">
        <v>12460</v>
      </c>
      <c r="AM968">
        <v>16000</v>
      </c>
      <c r="AN968" t="s">
        <v>12584</v>
      </c>
      <c r="AS968">
        <v>0</v>
      </c>
      <c r="AU968" t="s">
        <v>13099</v>
      </c>
    </row>
    <row r="969" spans="1:48">
      <c r="A969" s="1">
        <f>HYPERLINK("https://cms.ls-nyc.org/matter/dynamic-profile/view/1890831","19-1890831")</f>
        <v>0</v>
      </c>
      <c r="B969" t="s">
        <v>68</v>
      </c>
      <c r="C969" t="s">
        <v>251</v>
      </c>
      <c r="E969" t="s">
        <v>1165</v>
      </c>
      <c r="F969" t="s">
        <v>2623</v>
      </c>
      <c r="G969" t="s">
        <v>4285</v>
      </c>
      <c r="H969" t="s">
        <v>5357</v>
      </c>
      <c r="I969" t="s">
        <v>6043</v>
      </c>
      <c r="J969">
        <v>11207</v>
      </c>
      <c r="K969" t="s">
        <v>6074</v>
      </c>
      <c r="L969" t="s">
        <v>6074</v>
      </c>
      <c r="M969" t="s">
        <v>6538</v>
      </c>
      <c r="N969" t="s">
        <v>7276</v>
      </c>
      <c r="O969" t="s">
        <v>7308</v>
      </c>
      <c r="Q969" t="s">
        <v>7322</v>
      </c>
      <c r="R969" t="s">
        <v>6076</v>
      </c>
      <c r="S969" t="s">
        <v>7324</v>
      </c>
      <c r="U969" t="s">
        <v>337</v>
      </c>
      <c r="V969">
        <v>160</v>
      </c>
      <c r="W969" t="s">
        <v>7362</v>
      </c>
      <c r="X969" t="s">
        <v>7383</v>
      </c>
      <c r="Z969" t="s">
        <v>8157</v>
      </c>
      <c r="AB969" t="s">
        <v>10942</v>
      </c>
      <c r="AC969">
        <v>4</v>
      </c>
      <c r="AD969" t="s">
        <v>12420</v>
      </c>
      <c r="AF969">
        <v>14</v>
      </c>
      <c r="AG969">
        <v>2</v>
      </c>
      <c r="AH969">
        <v>0</v>
      </c>
      <c r="AI969">
        <v>65.29000000000001</v>
      </c>
      <c r="AL969" t="s">
        <v>12461</v>
      </c>
      <c r="AM969">
        <v>11040</v>
      </c>
      <c r="AS969">
        <v>11.35</v>
      </c>
      <c r="AT969" t="s">
        <v>316</v>
      </c>
      <c r="AU969" t="s">
        <v>13091</v>
      </c>
    </row>
    <row r="970" spans="1:48">
      <c r="A970" s="1">
        <f>HYPERLINK("https://cms.ls-nyc.org/matter/dynamic-profile/view/1886801","19-1886801")</f>
        <v>0</v>
      </c>
      <c r="B970" t="s">
        <v>126</v>
      </c>
      <c r="C970" t="s">
        <v>422</v>
      </c>
      <c r="E970" t="s">
        <v>1166</v>
      </c>
      <c r="F970" t="s">
        <v>2624</v>
      </c>
      <c r="G970" t="s">
        <v>3956</v>
      </c>
      <c r="H970" t="s">
        <v>5441</v>
      </c>
      <c r="I970" t="s">
        <v>6049</v>
      </c>
      <c r="J970">
        <v>10031</v>
      </c>
      <c r="K970" t="s">
        <v>6074</v>
      </c>
      <c r="L970" t="s">
        <v>6074</v>
      </c>
      <c r="M970" t="s">
        <v>6539</v>
      </c>
      <c r="N970" t="s">
        <v>7276</v>
      </c>
      <c r="O970" t="s">
        <v>7308</v>
      </c>
      <c r="Q970" t="s">
        <v>7322</v>
      </c>
      <c r="R970" t="s">
        <v>6076</v>
      </c>
      <c r="S970" t="s">
        <v>7324</v>
      </c>
      <c r="T970" t="s">
        <v>7336</v>
      </c>
      <c r="U970" t="s">
        <v>422</v>
      </c>
      <c r="V970">
        <v>2126</v>
      </c>
      <c r="W970" t="s">
        <v>7365</v>
      </c>
      <c r="X970" t="s">
        <v>7368</v>
      </c>
      <c r="Z970" t="s">
        <v>8158</v>
      </c>
      <c r="AB970" t="s">
        <v>10943</v>
      </c>
      <c r="AC970">
        <v>44</v>
      </c>
      <c r="AD970" t="s">
        <v>12420</v>
      </c>
      <c r="AE970" t="s">
        <v>12434</v>
      </c>
      <c r="AF970">
        <v>23</v>
      </c>
      <c r="AG970">
        <v>2</v>
      </c>
      <c r="AH970">
        <v>0</v>
      </c>
      <c r="AI970">
        <v>65.39</v>
      </c>
      <c r="AL970" t="s">
        <v>12461</v>
      </c>
      <c r="AM970">
        <v>10764</v>
      </c>
      <c r="AS970">
        <v>5.25</v>
      </c>
      <c r="AT970" t="s">
        <v>363</v>
      </c>
      <c r="AU970" t="s">
        <v>13107</v>
      </c>
    </row>
    <row r="971" spans="1:48">
      <c r="A971" s="1">
        <f>HYPERLINK("https://cms.ls-nyc.org/matter/dynamic-profile/view/1892710","19-1892710")</f>
        <v>0</v>
      </c>
      <c r="B971" t="s">
        <v>117</v>
      </c>
      <c r="C971" t="s">
        <v>367</v>
      </c>
      <c r="E971" t="s">
        <v>1167</v>
      </c>
      <c r="F971" t="s">
        <v>2535</v>
      </c>
      <c r="G971" t="s">
        <v>3817</v>
      </c>
      <c r="H971" t="s">
        <v>5620</v>
      </c>
      <c r="I971" t="s">
        <v>6048</v>
      </c>
      <c r="J971">
        <v>10304</v>
      </c>
      <c r="K971" t="s">
        <v>6074</v>
      </c>
      <c r="L971" t="s">
        <v>6074</v>
      </c>
      <c r="M971" t="s">
        <v>6540</v>
      </c>
      <c r="N971" t="s">
        <v>7276</v>
      </c>
      <c r="O971" t="s">
        <v>7308</v>
      </c>
      <c r="Q971" t="s">
        <v>7322</v>
      </c>
      <c r="R971" t="s">
        <v>6076</v>
      </c>
      <c r="S971" t="s">
        <v>7331</v>
      </c>
      <c r="T971" t="s">
        <v>7336</v>
      </c>
      <c r="U971" t="s">
        <v>367</v>
      </c>
      <c r="V971">
        <v>135</v>
      </c>
      <c r="W971" t="s">
        <v>7364</v>
      </c>
      <c r="X971" t="s">
        <v>7368</v>
      </c>
      <c r="Z971" t="s">
        <v>8159</v>
      </c>
      <c r="AB971" t="s">
        <v>10944</v>
      </c>
      <c r="AC971">
        <v>150</v>
      </c>
      <c r="AD971" t="s">
        <v>12420</v>
      </c>
      <c r="AE971" t="s">
        <v>12434</v>
      </c>
      <c r="AF971">
        <v>4</v>
      </c>
      <c r="AG971">
        <v>1</v>
      </c>
      <c r="AH971">
        <v>3</v>
      </c>
      <c r="AI971">
        <v>65.43000000000001</v>
      </c>
      <c r="AL971" t="s">
        <v>12460</v>
      </c>
      <c r="AM971">
        <v>16848</v>
      </c>
      <c r="AS971">
        <v>5.5</v>
      </c>
      <c r="AT971" t="s">
        <v>382</v>
      </c>
      <c r="AU971" t="s">
        <v>123</v>
      </c>
    </row>
    <row r="972" spans="1:48">
      <c r="A972" s="1">
        <f>HYPERLINK("https://cms.ls-nyc.org/matter/dynamic-profile/view/1893532","19-1893532")</f>
        <v>0</v>
      </c>
      <c r="B972" t="s">
        <v>128</v>
      </c>
      <c r="C972" t="s">
        <v>367</v>
      </c>
      <c r="E972" t="s">
        <v>586</v>
      </c>
      <c r="F972" t="s">
        <v>2625</v>
      </c>
      <c r="G972" t="s">
        <v>4286</v>
      </c>
      <c r="H972">
        <v>7</v>
      </c>
      <c r="I972" t="s">
        <v>6049</v>
      </c>
      <c r="J972">
        <v>10034</v>
      </c>
      <c r="K972" t="s">
        <v>6074</v>
      </c>
      <c r="L972" t="s">
        <v>6074</v>
      </c>
      <c r="N972" t="s">
        <v>7273</v>
      </c>
      <c r="O972" t="s">
        <v>7307</v>
      </c>
      <c r="Q972" t="s">
        <v>7322</v>
      </c>
      <c r="R972" t="s">
        <v>6076</v>
      </c>
      <c r="S972" t="s">
        <v>7324</v>
      </c>
      <c r="U972" t="s">
        <v>367</v>
      </c>
      <c r="V972">
        <v>2200</v>
      </c>
      <c r="W972" t="s">
        <v>7365</v>
      </c>
      <c r="X972" t="s">
        <v>7367</v>
      </c>
      <c r="Z972" t="s">
        <v>8160</v>
      </c>
      <c r="AB972" t="s">
        <v>10945</v>
      </c>
      <c r="AC972">
        <v>25</v>
      </c>
      <c r="AD972" t="s">
        <v>12422</v>
      </c>
      <c r="AE972" t="s">
        <v>6110</v>
      </c>
      <c r="AF972">
        <v>1</v>
      </c>
      <c r="AG972">
        <v>1</v>
      </c>
      <c r="AH972">
        <v>0</v>
      </c>
      <c r="AI972">
        <v>65.62</v>
      </c>
      <c r="AL972" t="s">
        <v>12461</v>
      </c>
      <c r="AM972">
        <v>8196</v>
      </c>
      <c r="AS972">
        <v>1.1</v>
      </c>
      <c r="AT972" t="s">
        <v>332</v>
      </c>
      <c r="AU972" t="s">
        <v>13106</v>
      </c>
    </row>
    <row r="973" spans="1:48">
      <c r="A973" s="1">
        <f>HYPERLINK("https://cms.ls-nyc.org/matter/dynamic-profile/view/1891662","19-1891662")</f>
        <v>0</v>
      </c>
      <c r="B973" t="s">
        <v>72</v>
      </c>
      <c r="C973" t="s">
        <v>364</v>
      </c>
      <c r="E973" t="s">
        <v>1168</v>
      </c>
      <c r="F973" t="s">
        <v>2626</v>
      </c>
      <c r="G973" t="s">
        <v>3701</v>
      </c>
      <c r="H973" t="s">
        <v>5621</v>
      </c>
      <c r="I973" t="s">
        <v>6043</v>
      </c>
      <c r="J973">
        <v>11233</v>
      </c>
      <c r="K973" t="s">
        <v>6074</v>
      </c>
      <c r="L973" t="s">
        <v>6076</v>
      </c>
      <c r="M973" t="s">
        <v>6110</v>
      </c>
      <c r="N973" t="s">
        <v>7279</v>
      </c>
      <c r="O973" t="s">
        <v>7311</v>
      </c>
      <c r="Q973" t="s">
        <v>7322</v>
      </c>
      <c r="R973" t="s">
        <v>6074</v>
      </c>
      <c r="S973" t="s">
        <v>7324</v>
      </c>
      <c r="T973" t="s">
        <v>7336</v>
      </c>
      <c r="U973" t="s">
        <v>330</v>
      </c>
      <c r="V973">
        <v>802</v>
      </c>
      <c r="W973" t="s">
        <v>7362</v>
      </c>
      <c r="Z973" t="s">
        <v>8161</v>
      </c>
      <c r="AC973">
        <v>359</v>
      </c>
      <c r="AD973" t="s">
        <v>12422</v>
      </c>
      <c r="AF973">
        <v>12</v>
      </c>
      <c r="AG973">
        <v>2</v>
      </c>
      <c r="AH973">
        <v>0</v>
      </c>
      <c r="AI973">
        <v>65.78</v>
      </c>
      <c r="AL973" t="s">
        <v>12460</v>
      </c>
      <c r="AM973">
        <v>11124</v>
      </c>
      <c r="AN973" t="s">
        <v>12486</v>
      </c>
      <c r="AS973">
        <v>0</v>
      </c>
      <c r="AU973" t="s">
        <v>218</v>
      </c>
    </row>
    <row r="974" spans="1:48">
      <c r="A974" s="1">
        <f>HYPERLINK("https://cms.ls-nyc.org/matter/dynamic-profile/view/1891663","19-1891663")</f>
        <v>0</v>
      </c>
      <c r="B974" t="s">
        <v>72</v>
      </c>
      <c r="C974" t="s">
        <v>364</v>
      </c>
      <c r="E974" t="s">
        <v>1168</v>
      </c>
      <c r="F974" t="s">
        <v>2626</v>
      </c>
      <c r="G974" t="s">
        <v>3701</v>
      </c>
      <c r="H974" t="s">
        <v>5621</v>
      </c>
      <c r="I974" t="s">
        <v>6043</v>
      </c>
      <c r="J974">
        <v>11233</v>
      </c>
      <c r="K974" t="s">
        <v>6074</v>
      </c>
      <c r="L974" t="s">
        <v>6076</v>
      </c>
      <c r="M974" t="s">
        <v>6110</v>
      </c>
      <c r="N974" t="s">
        <v>7275</v>
      </c>
      <c r="O974" t="s">
        <v>7307</v>
      </c>
      <c r="Q974" t="s">
        <v>7322</v>
      </c>
      <c r="R974" t="s">
        <v>6074</v>
      </c>
      <c r="S974" t="s">
        <v>7324</v>
      </c>
      <c r="T974" t="s">
        <v>7336</v>
      </c>
      <c r="U974" t="s">
        <v>287</v>
      </c>
      <c r="V974">
        <v>802</v>
      </c>
      <c r="W974" t="s">
        <v>7362</v>
      </c>
      <c r="Z974" t="s">
        <v>8161</v>
      </c>
      <c r="AC974">
        <v>359</v>
      </c>
      <c r="AD974" t="s">
        <v>12422</v>
      </c>
      <c r="AF974">
        <v>12</v>
      </c>
      <c r="AG974">
        <v>2</v>
      </c>
      <c r="AH974">
        <v>0</v>
      </c>
      <c r="AI974">
        <v>65.78</v>
      </c>
      <c r="AL974" t="s">
        <v>12460</v>
      </c>
      <c r="AM974">
        <v>11124</v>
      </c>
      <c r="AN974" t="s">
        <v>12585</v>
      </c>
      <c r="AS974">
        <v>0</v>
      </c>
      <c r="AU974" t="s">
        <v>218</v>
      </c>
    </row>
    <row r="975" spans="1:48">
      <c r="A975" s="1">
        <f>HYPERLINK("https://cms.ls-nyc.org/matter/dynamic-profile/view/1896163","19-1896163")</f>
        <v>0</v>
      </c>
      <c r="B975" t="s">
        <v>98</v>
      </c>
      <c r="C975" t="s">
        <v>314</v>
      </c>
      <c r="D975" t="s">
        <v>505</v>
      </c>
      <c r="E975" t="s">
        <v>1169</v>
      </c>
      <c r="F975" t="s">
        <v>2464</v>
      </c>
      <c r="G975" t="s">
        <v>4287</v>
      </c>
      <c r="H975" t="s">
        <v>5476</v>
      </c>
      <c r="I975" t="s">
        <v>6047</v>
      </c>
      <c r="J975">
        <v>10459</v>
      </c>
      <c r="K975" t="s">
        <v>6074</v>
      </c>
      <c r="L975" t="s">
        <v>6074</v>
      </c>
      <c r="M975" t="s">
        <v>6541</v>
      </c>
      <c r="N975" t="s">
        <v>7276</v>
      </c>
      <c r="O975" t="s">
        <v>7306</v>
      </c>
      <c r="P975" t="s">
        <v>7314</v>
      </c>
      <c r="Q975" t="s">
        <v>7322</v>
      </c>
      <c r="R975" t="s">
        <v>6076</v>
      </c>
      <c r="S975" t="s">
        <v>7324</v>
      </c>
      <c r="T975" t="s">
        <v>7339</v>
      </c>
      <c r="U975" t="s">
        <v>347</v>
      </c>
      <c r="V975">
        <v>1475.44</v>
      </c>
      <c r="W975" t="s">
        <v>7363</v>
      </c>
      <c r="X975" t="s">
        <v>7305</v>
      </c>
      <c r="Y975" t="s">
        <v>7386</v>
      </c>
      <c r="Z975" t="s">
        <v>7873</v>
      </c>
      <c r="AA975" t="s">
        <v>10076</v>
      </c>
      <c r="AB975" t="s">
        <v>10946</v>
      </c>
      <c r="AC975">
        <v>30</v>
      </c>
      <c r="AD975" t="s">
        <v>6322</v>
      </c>
      <c r="AE975" t="s">
        <v>12435</v>
      </c>
      <c r="AF975">
        <v>5</v>
      </c>
      <c r="AG975">
        <v>1</v>
      </c>
      <c r="AH975">
        <v>5</v>
      </c>
      <c r="AI975">
        <v>65.78</v>
      </c>
      <c r="AL975" t="s">
        <v>12460</v>
      </c>
      <c r="AM975">
        <v>22752</v>
      </c>
      <c r="AS975">
        <v>6.5</v>
      </c>
      <c r="AT975" t="s">
        <v>505</v>
      </c>
      <c r="AU975" t="s">
        <v>13096</v>
      </c>
      <c r="AV975" t="s">
        <v>13146</v>
      </c>
    </row>
    <row r="976" spans="1:48">
      <c r="A976" s="1">
        <f>HYPERLINK("https://cms.ls-nyc.org/matter/dynamic-profile/view/1878629","18-1878629")</f>
        <v>0</v>
      </c>
      <c r="B976" t="s">
        <v>54</v>
      </c>
      <c r="C976" t="s">
        <v>299</v>
      </c>
      <c r="D976" t="s">
        <v>355</v>
      </c>
      <c r="E976" t="s">
        <v>1108</v>
      </c>
      <c r="F976" t="s">
        <v>2627</v>
      </c>
      <c r="G976" t="s">
        <v>4288</v>
      </c>
      <c r="H976" t="s">
        <v>5418</v>
      </c>
      <c r="I976" t="s">
        <v>6042</v>
      </c>
      <c r="J976">
        <v>11361</v>
      </c>
      <c r="K976" t="s">
        <v>6074</v>
      </c>
      <c r="L976" t="s">
        <v>6074</v>
      </c>
      <c r="M976" t="s">
        <v>6542</v>
      </c>
      <c r="N976" t="s">
        <v>7274</v>
      </c>
      <c r="O976" t="s">
        <v>7306</v>
      </c>
      <c r="P976" t="s">
        <v>7314</v>
      </c>
      <c r="Q976" t="s">
        <v>7322</v>
      </c>
      <c r="R976" t="s">
        <v>6076</v>
      </c>
      <c r="S976" t="s">
        <v>7324</v>
      </c>
      <c r="T976" t="s">
        <v>7336</v>
      </c>
      <c r="U976" t="s">
        <v>425</v>
      </c>
      <c r="V976">
        <v>1022</v>
      </c>
      <c r="W976" t="s">
        <v>7361</v>
      </c>
      <c r="X976" t="s">
        <v>7366</v>
      </c>
      <c r="Y976" t="s">
        <v>7386</v>
      </c>
      <c r="Z976" t="s">
        <v>8162</v>
      </c>
      <c r="AB976" t="s">
        <v>10947</v>
      </c>
      <c r="AC976">
        <v>18</v>
      </c>
      <c r="AD976" t="s">
        <v>12422</v>
      </c>
      <c r="AE976" t="s">
        <v>6110</v>
      </c>
      <c r="AF976">
        <v>22</v>
      </c>
      <c r="AG976">
        <v>1</v>
      </c>
      <c r="AH976">
        <v>0</v>
      </c>
      <c r="AI976">
        <v>65.90000000000001</v>
      </c>
      <c r="AL976" t="s">
        <v>12460</v>
      </c>
      <c r="AM976">
        <v>8000</v>
      </c>
      <c r="AS976">
        <v>0.9</v>
      </c>
      <c r="AT976" t="s">
        <v>407</v>
      </c>
      <c r="AU976" t="s">
        <v>189</v>
      </c>
    </row>
    <row r="977" spans="1:48">
      <c r="A977" s="1">
        <f>HYPERLINK("https://cms.ls-nyc.org/matter/dynamic-profile/view/1872333","18-1872333")</f>
        <v>0</v>
      </c>
      <c r="B977" t="s">
        <v>120</v>
      </c>
      <c r="C977" t="s">
        <v>289</v>
      </c>
      <c r="D977" t="s">
        <v>465</v>
      </c>
      <c r="E977" t="s">
        <v>1170</v>
      </c>
      <c r="F977" t="s">
        <v>2628</v>
      </c>
      <c r="G977" t="s">
        <v>4289</v>
      </c>
      <c r="H977" t="s">
        <v>5553</v>
      </c>
      <c r="I977" t="s">
        <v>6048</v>
      </c>
      <c r="J977">
        <v>10305</v>
      </c>
      <c r="K977" t="s">
        <v>6074</v>
      </c>
      <c r="L977" t="s">
        <v>6074</v>
      </c>
      <c r="M977" t="s">
        <v>6543</v>
      </c>
      <c r="N977" t="s">
        <v>7274</v>
      </c>
      <c r="O977" t="s">
        <v>7308</v>
      </c>
      <c r="P977" t="s">
        <v>7316</v>
      </c>
      <c r="Q977" t="s">
        <v>7322</v>
      </c>
      <c r="R977" t="s">
        <v>6076</v>
      </c>
      <c r="S977" t="s">
        <v>7324</v>
      </c>
      <c r="T977" t="s">
        <v>7336</v>
      </c>
      <c r="U977" t="s">
        <v>394</v>
      </c>
      <c r="V977">
        <v>850</v>
      </c>
      <c r="W977" t="s">
        <v>7364</v>
      </c>
      <c r="X977" t="s">
        <v>7367</v>
      </c>
      <c r="Y977" t="s">
        <v>7391</v>
      </c>
      <c r="Z977" t="s">
        <v>8163</v>
      </c>
      <c r="AB977" t="s">
        <v>10948</v>
      </c>
      <c r="AC977">
        <v>2</v>
      </c>
      <c r="AD977" t="s">
        <v>12419</v>
      </c>
      <c r="AE977" t="s">
        <v>6110</v>
      </c>
      <c r="AF977">
        <v>-1</v>
      </c>
      <c r="AG977">
        <v>1</v>
      </c>
      <c r="AH977">
        <v>0</v>
      </c>
      <c r="AI977">
        <v>65.90000000000001</v>
      </c>
      <c r="AL977" t="s">
        <v>12467</v>
      </c>
      <c r="AM977">
        <v>8000</v>
      </c>
      <c r="AO977" t="s">
        <v>12855</v>
      </c>
      <c r="AP977" t="s">
        <v>12885</v>
      </c>
      <c r="AQ977" t="s">
        <v>12910</v>
      </c>
      <c r="AR977" t="s">
        <v>12991</v>
      </c>
      <c r="AS977">
        <v>39.1</v>
      </c>
      <c r="AT977" t="s">
        <v>267</v>
      </c>
      <c r="AU977" t="s">
        <v>210</v>
      </c>
    </row>
    <row r="978" spans="1:48">
      <c r="A978" s="1">
        <f>HYPERLINK("https://cms.ls-nyc.org/matter/dynamic-profile/view/1882722","18-1882722")</f>
        <v>0</v>
      </c>
      <c r="B978" t="s">
        <v>98</v>
      </c>
      <c r="C978" t="s">
        <v>296</v>
      </c>
      <c r="E978" t="s">
        <v>1171</v>
      </c>
      <c r="F978" t="s">
        <v>2534</v>
      </c>
      <c r="G978" t="s">
        <v>3786</v>
      </c>
      <c r="I978" t="s">
        <v>6047</v>
      </c>
      <c r="J978">
        <v>10457</v>
      </c>
      <c r="K978" t="s">
        <v>6074</v>
      </c>
      <c r="L978" t="s">
        <v>6074</v>
      </c>
      <c r="M978" t="s">
        <v>6187</v>
      </c>
      <c r="N978" t="s">
        <v>7279</v>
      </c>
      <c r="O978" t="s">
        <v>7311</v>
      </c>
      <c r="Q978" t="s">
        <v>7322</v>
      </c>
      <c r="R978" t="s">
        <v>6074</v>
      </c>
      <c r="S978" t="s">
        <v>7324</v>
      </c>
      <c r="U978" t="s">
        <v>472</v>
      </c>
      <c r="V978">
        <v>579.97</v>
      </c>
      <c r="W978" t="s">
        <v>7363</v>
      </c>
      <c r="X978" t="s">
        <v>7376</v>
      </c>
      <c r="Z978" t="s">
        <v>8164</v>
      </c>
      <c r="AC978">
        <v>0</v>
      </c>
      <c r="AD978" t="s">
        <v>12422</v>
      </c>
      <c r="AE978" t="s">
        <v>12441</v>
      </c>
      <c r="AF978">
        <v>9</v>
      </c>
      <c r="AG978">
        <v>1</v>
      </c>
      <c r="AH978">
        <v>0</v>
      </c>
      <c r="AI978">
        <v>66.72</v>
      </c>
      <c r="AL978" t="s">
        <v>12461</v>
      </c>
      <c r="AM978">
        <v>8100</v>
      </c>
      <c r="AS978">
        <v>0.1</v>
      </c>
      <c r="AT978" t="s">
        <v>254</v>
      </c>
      <c r="AU978" t="s">
        <v>13092</v>
      </c>
    </row>
    <row r="979" spans="1:48">
      <c r="A979" s="1">
        <f>HYPERLINK("https://cms.ls-nyc.org/matter/dynamic-profile/view/1882717","18-1882717")</f>
        <v>0</v>
      </c>
      <c r="B979" t="s">
        <v>98</v>
      </c>
      <c r="C979" t="s">
        <v>296</v>
      </c>
      <c r="E979" t="s">
        <v>1171</v>
      </c>
      <c r="F979" t="s">
        <v>2534</v>
      </c>
      <c r="G979" t="s">
        <v>3786</v>
      </c>
      <c r="I979" t="s">
        <v>6047</v>
      </c>
      <c r="J979">
        <v>10457</v>
      </c>
      <c r="K979" t="s">
        <v>6074</v>
      </c>
      <c r="L979" t="s">
        <v>6074</v>
      </c>
      <c r="M979" t="s">
        <v>6191</v>
      </c>
      <c r="N979" t="s">
        <v>7273</v>
      </c>
      <c r="O979" t="s">
        <v>7308</v>
      </c>
      <c r="Q979" t="s">
        <v>7322</v>
      </c>
      <c r="R979" t="s">
        <v>6074</v>
      </c>
      <c r="S979" t="s">
        <v>7324</v>
      </c>
      <c r="U979" t="s">
        <v>472</v>
      </c>
      <c r="V979">
        <v>529.97</v>
      </c>
      <c r="W979" t="s">
        <v>7363</v>
      </c>
      <c r="X979" t="s">
        <v>7376</v>
      </c>
      <c r="Z979" t="s">
        <v>8164</v>
      </c>
      <c r="AC979">
        <v>47</v>
      </c>
      <c r="AD979" t="s">
        <v>12422</v>
      </c>
      <c r="AE979" t="s">
        <v>12441</v>
      </c>
      <c r="AF979">
        <v>9</v>
      </c>
      <c r="AG979">
        <v>1</v>
      </c>
      <c r="AH979">
        <v>0</v>
      </c>
      <c r="AI979">
        <v>66.72</v>
      </c>
      <c r="AL979" t="s">
        <v>12461</v>
      </c>
      <c r="AM979">
        <v>8100</v>
      </c>
      <c r="AS979">
        <v>0</v>
      </c>
      <c r="AU979" t="s">
        <v>13092</v>
      </c>
    </row>
    <row r="980" spans="1:48">
      <c r="A980" s="1">
        <f>HYPERLINK("https://cms.ls-nyc.org/matter/dynamic-profile/view/1888465","19-1888465")</f>
        <v>0</v>
      </c>
      <c r="B980" t="s">
        <v>101</v>
      </c>
      <c r="C980" t="s">
        <v>410</v>
      </c>
      <c r="E980" t="s">
        <v>1172</v>
      </c>
      <c r="F980" t="s">
        <v>2629</v>
      </c>
      <c r="G980" t="s">
        <v>4290</v>
      </c>
      <c r="H980" t="s">
        <v>5622</v>
      </c>
      <c r="I980" t="s">
        <v>6047</v>
      </c>
      <c r="J980">
        <v>10452</v>
      </c>
      <c r="K980" t="s">
        <v>6074</v>
      </c>
      <c r="L980" t="s">
        <v>6074</v>
      </c>
      <c r="N980" t="s">
        <v>7273</v>
      </c>
      <c r="O980" t="s">
        <v>7306</v>
      </c>
      <c r="Q980" t="s">
        <v>7322</v>
      </c>
      <c r="R980" t="s">
        <v>6076</v>
      </c>
      <c r="S980" t="s">
        <v>7324</v>
      </c>
      <c r="U980" t="s">
        <v>410</v>
      </c>
      <c r="V980">
        <v>1793.98</v>
      </c>
      <c r="W980" t="s">
        <v>7363</v>
      </c>
      <c r="X980" t="s">
        <v>7376</v>
      </c>
      <c r="Z980" t="s">
        <v>8165</v>
      </c>
      <c r="AA980">
        <v>16069736</v>
      </c>
      <c r="AB980" t="s">
        <v>10949</v>
      </c>
      <c r="AC980">
        <v>211</v>
      </c>
      <c r="AD980" t="s">
        <v>12422</v>
      </c>
      <c r="AE980" t="s">
        <v>12434</v>
      </c>
      <c r="AF980">
        <v>16</v>
      </c>
      <c r="AG980">
        <v>1</v>
      </c>
      <c r="AH980">
        <v>0</v>
      </c>
      <c r="AI980">
        <v>66.72</v>
      </c>
      <c r="AL980" t="s">
        <v>12460</v>
      </c>
      <c r="AM980">
        <v>8100</v>
      </c>
      <c r="AS980">
        <v>0</v>
      </c>
      <c r="AU980" t="s">
        <v>13095</v>
      </c>
    </row>
    <row r="981" spans="1:48">
      <c r="A981" s="1">
        <f>HYPERLINK("https://cms.ls-nyc.org/matter/dynamic-profile/view/1876575","18-1876575")</f>
        <v>0</v>
      </c>
      <c r="B981" t="s">
        <v>57</v>
      </c>
      <c r="C981" t="s">
        <v>243</v>
      </c>
      <c r="D981" t="s">
        <v>556</v>
      </c>
      <c r="E981" t="s">
        <v>1173</v>
      </c>
      <c r="F981" t="s">
        <v>2630</v>
      </c>
      <c r="G981" t="s">
        <v>4291</v>
      </c>
      <c r="H981" t="s">
        <v>5435</v>
      </c>
      <c r="I981" t="s">
        <v>6025</v>
      </c>
      <c r="J981">
        <v>11691</v>
      </c>
      <c r="K981" t="s">
        <v>6074</v>
      </c>
      <c r="L981" t="s">
        <v>6074</v>
      </c>
      <c r="M981" t="s">
        <v>6544</v>
      </c>
      <c r="N981" t="s">
        <v>7276</v>
      </c>
      <c r="O981" t="s">
        <v>7306</v>
      </c>
      <c r="P981" t="s">
        <v>7314</v>
      </c>
      <c r="Q981" t="s">
        <v>7322</v>
      </c>
      <c r="R981" t="s">
        <v>6076</v>
      </c>
      <c r="S981" t="s">
        <v>7324</v>
      </c>
      <c r="T981" t="s">
        <v>7336</v>
      </c>
      <c r="U981" t="s">
        <v>243</v>
      </c>
      <c r="V981">
        <v>1499.98</v>
      </c>
      <c r="W981" t="s">
        <v>7361</v>
      </c>
      <c r="X981" t="s">
        <v>7366</v>
      </c>
      <c r="Y981" t="s">
        <v>7386</v>
      </c>
      <c r="Z981" t="s">
        <v>8166</v>
      </c>
      <c r="AA981" t="s">
        <v>10077</v>
      </c>
      <c r="AB981" t="s">
        <v>10950</v>
      </c>
      <c r="AC981">
        <v>42</v>
      </c>
      <c r="AD981" t="s">
        <v>12422</v>
      </c>
      <c r="AE981" t="s">
        <v>6110</v>
      </c>
      <c r="AF981">
        <v>37</v>
      </c>
      <c r="AG981">
        <v>1</v>
      </c>
      <c r="AH981">
        <v>1</v>
      </c>
      <c r="AI981">
        <v>66.73</v>
      </c>
      <c r="AL981" t="s">
        <v>12460</v>
      </c>
      <c r="AM981">
        <v>10984</v>
      </c>
      <c r="AS981">
        <v>2.35</v>
      </c>
      <c r="AT981" t="s">
        <v>395</v>
      </c>
      <c r="AU981" t="s">
        <v>48</v>
      </c>
    </row>
    <row r="982" spans="1:48">
      <c r="A982" s="1">
        <f>HYPERLINK("https://cms.ls-nyc.org/matter/dynamic-profile/view/1875565","18-1875565")</f>
        <v>0</v>
      </c>
      <c r="B982" t="s">
        <v>184</v>
      </c>
      <c r="C982" t="s">
        <v>233</v>
      </c>
      <c r="D982" t="s">
        <v>233</v>
      </c>
      <c r="E982" t="s">
        <v>1174</v>
      </c>
      <c r="F982" t="s">
        <v>2631</v>
      </c>
      <c r="G982" t="s">
        <v>4292</v>
      </c>
      <c r="H982" t="s">
        <v>5387</v>
      </c>
      <c r="I982" t="s">
        <v>6047</v>
      </c>
      <c r="J982">
        <v>10453</v>
      </c>
      <c r="K982" t="s">
        <v>6074</v>
      </c>
      <c r="L982" t="s">
        <v>6074</v>
      </c>
      <c r="N982" t="s">
        <v>7276</v>
      </c>
      <c r="O982" t="s">
        <v>7306</v>
      </c>
      <c r="P982" t="s">
        <v>7314</v>
      </c>
      <c r="Q982" t="s">
        <v>7322</v>
      </c>
      <c r="R982" t="s">
        <v>6076</v>
      </c>
      <c r="S982" t="s">
        <v>7324</v>
      </c>
      <c r="U982" t="s">
        <v>233</v>
      </c>
      <c r="V982">
        <v>344.22</v>
      </c>
      <c r="W982" t="s">
        <v>7363</v>
      </c>
      <c r="X982" t="s">
        <v>7376</v>
      </c>
      <c r="Y982" t="s">
        <v>7386</v>
      </c>
      <c r="Z982" t="s">
        <v>8167</v>
      </c>
      <c r="AB982" t="s">
        <v>10951</v>
      </c>
      <c r="AC982">
        <v>32</v>
      </c>
      <c r="AD982" t="s">
        <v>12425</v>
      </c>
      <c r="AE982" t="s">
        <v>6110</v>
      </c>
      <c r="AF982">
        <v>50</v>
      </c>
      <c r="AG982">
        <v>1</v>
      </c>
      <c r="AH982">
        <v>0</v>
      </c>
      <c r="AI982">
        <v>66.92</v>
      </c>
      <c r="AL982" t="s">
        <v>12460</v>
      </c>
      <c r="AM982">
        <v>8124</v>
      </c>
      <c r="AS982">
        <v>0.2</v>
      </c>
      <c r="AT982" t="s">
        <v>233</v>
      </c>
      <c r="AU982" t="s">
        <v>13092</v>
      </c>
    </row>
    <row r="983" spans="1:48">
      <c r="A983" s="1">
        <f>HYPERLINK("https://cms.ls-nyc.org/matter/dynamic-profile/view/1886336","18-1886336")</f>
        <v>0</v>
      </c>
      <c r="B983" t="s">
        <v>113</v>
      </c>
      <c r="C983" t="s">
        <v>443</v>
      </c>
      <c r="D983" t="s">
        <v>496</v>
      </c>
      <c r="E983" t="s">
        <v>1175</v>
      </c>
      <c r="F983" t="s">
        <v>2632</v>
      </c>
      <c r="G983" t="s">
        <v>3932</v>
      </c>
      <c r="H983" t="s">
        <v>5363</v>
      </c>
      <c r="I983" t="s">
        <v>6047</v>
      </c>
      <c r="J983">
        <v>10459</v>
      </c>
      <c r="K983" t="s">
        <v>6074</v>
      </c>
      <c r="L983" t="s">
        <v>6074</v>
      </c>
      <c r="N983" t="s">
        <v>7273</v>
      </c>
      <c r="O983" t="s">
        <v>7308</v>
      </c>
      <c r="P983" t="s">
        <v>7315</v>
      </c>
      <c r="Q983" t="s">
        <v>7322</v>
      </c>
      <c r="R983" t="s">
        <v>6074</v>
      </c>
      <c r="S983" t="s">
        <v>7324</v>
      </c>
      <c r="U983" t="s">
        <v>472</v>
      </c>
      <c r="V983">
        <v>1442</v>
      </c>
      <c r="W983" t="s">
        <v>7363</v>
      </c>
      <c r="X983" t="s">
        <v>7376</v>
      </c>
      <c r="Y983" t="s">
        <v>7387</v>
      </c>
      <c r="Z983" t="s">
        <v>8168</v>
      </c>
      <c r="AA983" t="s">
        <v>10078</v>
      </c>
      <c r="AB983" t="s">
        <v>10952</v>
      </c>
      <c r="AC983">
        <v>42</v>
      </c>
      <c r="AD983" t="s">
        <v>12420</v>
      </c>
      <c r="AE983" t="s">
        <v>12439</v>
      </c>
      <c r="AF983">
        <v>23</v>
      </c>
      <c r="AG983">
        <v>2</v>
      </c>
      <c r="AH983">
        <v>2</v>
      </c>
      <c r="AI983">
        <v>66.93000000000001</v>
      </c>
      <c r="AL983" t="s">
        <v>12460</v>
      </c>
      <c r="AM983">
        <v>16800</v>
      </c>
      <c r="AS983">
        <v>1.25</v>
      </c>
      <c r="AT983" t="s">
        <v>324</v>
      </c>
      <c r="AU983" t="s">
        <v>13095</v>
      </c>
    </row>
    <row r="984" spans="1:48">
      <c r="A984" s="1">
        <f>HYPERLINK("https://cms.ls-nyc.org/matter/dynamic-profile/view/1886203","18-1886203")</f>
        <v>0</v>
      </c>
      <c r="B984" t="s">
        <v>113</v>
      </c>
      <c r="C984" t="s">
        <v>389</v>
      </c>
      <c r="E984" t="s">
        <v>1175</v>
      </c>
      <c r="F984" t="s">
        <v>2632</v>
      </c>
      <c r="G984" t="s">
        <v>3932</v>
      </c>
      <c r="H984" t="s">
        <v>5363</v>
      </c>
      <c r="I984" t="s">
        <v>6047</v>
      </c>
      <c r="J984">
        <v>10459</v>
      </c>
      <c r="K984" t="s">
        <v>6074</v>
      </c>
      <c r="L984" t="s">
        <v>6074</v>
      </c>
      <c r="M984" t="s">
        <v>6545</v>
      </c>
      <c r="N984" t="s">
        <v>7276</v>
      </c>
      <c r="O984" t="s">
        <v>7308</v>
      </c>
      <c r="Q984" t="s">
        <v>7322</v>
      </c>
      <c r="R984" t="s">
        <v>6076</v>
      </c>
      <c r="S984" t="s">
        <v>7324</v>
      </c>
      <c r="U984" t="s">
        <v>389</v>
      </c>
      <c r="V984">
        <v>1442</v>
      </c>
      <c r="W984" t="s">
        <v>7363</v>
      </c>
      <c r="X984" t="s">
        <v>7376</v>
      </c>
      <c r="Z984" t="s">
        <v>8168</v>
      </c>
      <c r="AA984" t="s">
        <v>10078</v>
      </c>
      <c r="AB984" t="s">
        <v>10952</v>
      </c>
      <c r="AC984">
        <v>42</v>
      </c>
      <c r="AD984" t="s">
        <v>12421</v>
      </c>
      <c r="AE984" t="s">
        <v>12439</v>
      </c>
      <c r="AF984">
        <v>23</v>
      </c>
      <c r="AG984">
        <v>2</v>
      </c>
      <c r="AH984">
        <v>2</v>
      </c>
      <c r="AI984">
        <v>66.93000000000001</v>
      </c>
      <c r="AL984" t="s">
        <v>12460</v>
      </c>
      <c r="AM984">
        <v>16800</v>
      </c>
      <c r="AS984">
        <v>35.4</v>
      </c>
      <c r="AT984" t="s">
        <v>564</v>
      </c>
      <c r="AU984" t="s">
        <v>13095</v>
      </c>
    </row>
    <row r="985" spans="1:48">
      <c r="A985" s="1">
        <f>HYPERLINK("https://cms.ls-nyc.org/matter/dynamic-profile/view/1870205","18-1870205")</f>
        <v>0</v>
      </c>
      <c r="B985" t="s">
        <v>115</v>
      </c>
      <c r="C985" t="s">
        <v>311</v>
      </c>
      <c r="E985" t="s">
        <v>855</v>
      </c>
      <c r="F985" t="s">
        <v>2633</v>
      </c>
      <c r="G985" t="s">
        <v>4293</v>
      </c>
      <c r="H985">
        <v>5</v>
      </c>
      <c r="I985" t="s">
        <v>6047</v>
      </c>
      <c r="J985">
        <v>10452</v>
      </c>
      <c r="K985" t="s">
        <v>6074</v>
      </c>
      <c r="L985" t="s">
        <v>6074</v>
      </c>
      <c r="M985" t="s">
        <v>6546</v>
      </c>
      <c r="N985" t="s">
        <v>7281</v>
      </c>
      <c r="O985" t="s">
        <v>7311</v>
      </c>
      <c r="Q985" t="s">
        <v>7322</v>
      </c>
      <c r="R985" t="s">
        <v>6076</v>
      </c>
      <c r="S985" t="s">
        <v>7324</v>
      </c>
      <c r="T985" t="s">
        <v>7336</v>
      </c>
      <c r="U985" t="s">
        <v>355</v>
      </c>
      <c r="V985">
        <v>1396.61</v>
      </c>
      <c r="W985" t="s">
        <v>7363</v>
      </c>
      <c r="X985" t="s">
        <v>7368</v>
      </c>
      <c r="Z985" t="s">
        <v>8169</v>
      </c>
      <c r="AA985" t="s">
        <v>10079</v>
      </c>
      <c r="AB985" t="s">
        <v>10953</v>
      </c>
      <c r="AC985">
        <v>35</v>
      </c>
      <c r="AD985" t="s">
        <v>6322</v>
      </c>
      <c r="AE985" t="s">
        <v>12434</v>
      </c>
      <c r="AF985">
        <v>18</v>
      </c>
      <c r="AG985">
        <v>1</v>
      </c>
      <c r="AH985">
        <v>1</v>
      </c>
      <c r="AI985">
        <v>66.93000000000001</v>
      </c>
      <c r="AL985" t="s">
        <v>12460</v>
      </c>
      <c r="AM985">
        <v>11016</v>
      </c>
      <c r="AS985">
        <v>12.9</v>
      </c>
      <c r="AT985" t="s">
        <v>393</v>
      </c>
      <c r="AU985" t="s">
        <v>13091</v>
      </c>
    </row>
    <row r="986" spans="1:48">
      <c r="A986" s="1">
        <f>HYPERLINK("https://cms.ls-nyc.org/matter/dynamic-profile/view/1875759","18-1875759")</f>
        <v>0</v>
      </c>
      <c r="B986" t="s">
        <v>123</v>
      </c>
      <c r="C986" t="s">
        <v>355</v>
      </c>
      <c r="D986" t="s">
        <v>385</v>
      </c>
      <c r="E986" t="s">
        <v>1176</v>
      </c>
      <c r="F986" t="s">
        <v>2634</v>
      </c>
      <c r="G986" t="s">
        <v>3830</v>
      </c>
      <c r="H986" t="s">
        <v>5465</v>
      </c>
      <c r="I986" t="s">
        <v>6048</v>
      </c>
      <c r="J986">
        <v>10301</v>
      </c>
      <c r="K986" t="s">
        <v>6074</v>
      </c>
      <c r="L986" t="s">
        <v>6074</v>
      </c>
      <c r="M986" t="s">
        <v>6101</v>
      </c>
      <c r="N986" t="s">
        <v>7279</v>
      </c>
      <c r="O986" t="s">
        <v>7311</v>
      </c>
      <c r="P986" t="s">
        <v>7321</v>
      </c>
      <c r="Q986" t="s">
        <v>7322</v>
      </c>
      <c r="R986" t="s">
        <v>6076</v>
      </c>
      <c r="S986" t="s">
        <v>7324</v>
      </c>
      <c r="T986" t="s">
        <v>7336</v>
      </c>
      <c r="U986" t="s">
        <v>355</v>
      </c>
      <c r="V986">
        <v>2259.62</v>
      </c>
      <c r="W986" t="s">
        <v>7364</v>
      </c>
      <c r="X986" t="s">
        <v>7368</v>
      </c>
      <c r="Y986" t="s">
        <v>7390</v>
      </c>
      <c r="Z986" t="s">
        <v>8170</v>
      </c>
      <c r="AB986" t="s">
        <v>10954</v>
      </c>
      <c r="AC986">
        <v>122</v>
      </c>
      <c r="AD986" t="s">
        <v>12422</v>
      </c>
      <c r="AE986" t="s">
        <v>12441</v>
      </c>
      <c r="AF986">
        <v>17</v>
      </c>
      <c r="AG986">
        <v>1</v>
      </c>
      <c r="AH986">
        <v>1</v>
      </c>
      <c r="AI986">
        <v>66.93000000000001</v>
      </c>
      <c r="AL986" t="s">
        <v>12460</v>
      </c>
      <c r="AM986">
        <v>11016</v>
      </c>
      <c r="AP986" t="s">
        <v>12870</v>
      </c>
      <c r="AS986">
        <v>5.3</v>
      </c>
      <c r="AT986" t="s">
        <v>385</v>
      </c>
      <c r="AU986" t="s">
        <v>123</v>
      </c>
    </row>
    <row r="987" spans="1:48">
      <c r="A987" s="1">
        <f>HYPERLINK("https://cms.ls-nyc.org/matter/dynamic-profile/view/1896321","19-1896321")</f>
        <v>0</v>
      </c>
      <c r="B987" t="s">
        <v>83</v>
      </c>
      <c r="C987" t="s">
        <v>302</v>
      </c>
      <c r="E987" t="s">
        <v>1177</v>
      </c>
      <c r="F987" t="s">
        <v>2635</v>
      </c>
      <c r="G987" t="s">
        <v>4294</v>
      </c>
      <c r="H987">
        <v>3</v>
      </c>
      <c r="I987" t="s">
        <v>6043</v>
      </c>
      <c r="J987">
        <v>11203</v>
      </c>
      <c r="K987" t="s">
        <v>6074</v>
      </c>
      <c r="L987" t="s">
        <v>6074</v>
      </c>
      <c r="O987" t="s">
        <v>7306</v>
      </c>
      <c r="Q987" t="s">
        <v>7322</v>
      </c>
      <c r="R987" t="s">
        <v>6076</v>
      </c>
      <c r="S987" t="s">
        <v>7324</v>
      </c>
      <c r="U987" t="s">
        <v>457</v>
      </c>
      <c r="V987">
        <v>796.83</v>
      </c>
      <c r="W987" t="s">
        <v>7362</v>
      </c>
      <c r="Z987" t="s">
        <v>8171</v>
      </c>
      <c r="AC987">
        <v>6</v>
      </c>
      <c r="AF987">
        <v>42</v>
      </c>
      <c r="AG987">
        <v>1</v>
      </c>
      <c r="AH987">
        <v>0</v>
      </c>
      <c r="AI987">
        <v>67.06</v>
      </c>
      <c r="AL987" t="s">
        <v>12460</v>
      </c>
      <c r="AM987">
        <v>8376</v>
      </c>
      <c r="AS987">
        <v>0.1</v>
      </c>
      <c r="AT987" t="s">
        <v>257</v>
      </c>
      <c r="AU987" t="s">
        <v>88</v>
      </c>
    </row>
    <row r="988" spans="1:48">
      <c r="A988" s="1">
        <f>HYPERLINK("https://cms.ls-nyc.org/matter/dynamic-profile/view/1890137","19-1890137")</f>
        <v>0</v>
      </c>
      <c r="B988" t="s">
        <v>90</v>
      </c>
      <c r="C988" t="s">
        <v>477</v>
      </c>
      <c r="E988" t="s">
        <v>1178</v>
      </c>
      <c r="F988" t="s">
        <v>2636</v>
      </c>
      <c r="G988" t="s">
        <v>4295</v>
      </c>
      <c r="H988" t="s">
        <v>5461</v>
      </c>
      <c r="I988" t="s">
        <v>6043</v>
      </c>
      <c r="J988">
        <v>11212</v>
      </c>
      <c r="K988" t="s">
        <v>6074</v>
      </c>
      <c r="L988" t="s">
        <v>6074</v>
      </c>
      <c r="N988" t="s">
        <v>7273</v>
      </c>
      <c r="O988" t="s">
        <v>7308</v>
      </c>
      <c r="Q988" t="s">
        <v>7322</v>
      </c>
      <c r="R988" t="s">
        <v>6074</v>
      </c>
      <c r="S988" t="s">
        <v>7324</v>
      </c>
      <c r="T988" t="s">
        <v>7336</v>
      </c>
      <c r="U988" t="s">
        <v>286</v>
      </c>
      <c r="V988">
        <v>1000</v>
      </c>
      <c r="W988" t="s">
        <v>7362</v>
      </c>
      <c r="X988" t="s">
        <v>7376</v>
      </c>
      <c r="Z988" t="s">
        <v>8172</v>
      </c>
      <c r="AC988">
        <v>71</v>
      </c>
      <c r="AD988" t="s">
        <v>12422</v>
      </c>
      <c r="AE988" t="s">
        <v>12434</v>
      </c>
      <c r="AF988">
        <v>45</v>
      </c>
      <c r="AG988">
        <v>1</v>
      </c>
      <c r="AH988">
        <v>0</v>
      </c>
      <c r="AI988">
        <v>67.25</v>
      </c>
      <c r="AL988" t="s">
        <v>12460</v>
      </c>
      <c r="AM988">
        <v>8400</v>
      </c>
      <c r="AS988">
        <v>0</v>
      </c>
      <c r="AU988" t="s">
        <v>218</v>
      </c>
    </row>
    <row r="989" spans="1:48">
      <c r="A989" s="1">
        <f>HYPERLINK("https://cms.ls-nyc.org/matter/dynamic-profile/view/1874934","18-1874934")</f>
        <v>0</v>
      </c>
      <c r="B989" t="s">
        <v>185</v>
      </c>
      <c r="C989" t="s">
        <v>274</v>
      </c>
      <c r="D989" t="s">
        <v>504</v>
      </c>
      <c r="E989" t="s">
        <v>1179</v>
      </c>
      <c r="F989" t="s">
        <v>2637</v>
      </c>
      <c r="G989" t="s">
        <v>4296</v>
      </c>
      <c r="H989" t="s">
        <v>5490</v>
      </c>
      <c r="I989" t="s">
        <v>6049</v>
      </c>
      <c r="J989">
        <v>10002</v>
      </c>
      <c r="K989" t="s">
        <v>6074</v>
      </c>
      <c r="L989" t="s">
        <v>6075</v>
      </c>
      <c r="N989" t="s">
        <v>6104</v>
      </c>
      <c r="O989" t="s">
        <v>7307</v>
      </c>
      <c r="P989" t="s">
        <v>7314</v>
      </c>
      <c r="Q989" t="s">
        <v>7322</v>
      </c>
      <c r="R989" t="s">
        <v>6076</v>
      </c>
      <c r="S989" t="s">
        <v>7324</v>
      </c>
      <c r="U989" t="s">
        <v>355</v>
      </c>
      <c r="V989">
        <v>900</v>
      </c>
      <c r="W989" t="s">
        <v>7365</v>
      </c>
      <c r="X989" t="s">
        <v>7375</v>
      </c>
      <c r="Y989" t="s">
        <v>7386</v>
      </c>
      <c r="Z989" t="s">
        <v>8173</v>
      </c>
      <c r="AB989" t="s">
        <v>10955</v>
      </c>
      <c r="AC989">
        <v>44</v>
      </c>
      <c r="AD989" t="s">
        <v>12422</v>
      </c>
      <c r="AE989" t="s">
        <v>6110</v>
      </c>
      <c r="AF989">
        <v>3</v>
      </c>
      <c r="AG989">
        <v>2</v>
      </c>
      <c r="AH989">
        <v>1</v>
      </c>
      <c r="AI989">
        <v>67.37</v>
      </c>
      <c r="AL989" t="s">
        <v>12475</v>
      </c>
      <c r="AM989">
        <v>14000</v>
      </c>
      <c r="AS989">
        <v>0.8</v>
      </c>
      <c r="AT989" t="s">
        <v>274</v>
      </c>
      <c r="AU989" t="s">
        <v>13111</v>
      </c>
    </row>
    <row r="990" spans="1:48">
      <c r="A990" s="1">
        <f>HYPERLINK("https://cms.ls-nyc.org/matter/dynamic-profile/view/1901364","19-1901364")</f>
        <v>0</v>
      </c>
      <c r="B990" t="s">
        <v>86</v>
      </c>
      <c r="C990" t="s">
        <v>460</v>
      </c>
      <c r="E990" t="s">
        <v>1180</v>
      </c>
      <c r="F990" t="s">
        <v>2638</v>
      </c>
      <c r="G990" t="s">
        <v>4297</v>
      </c>
      <c r="H990" t="s">
        <v>5373</v>
      </c>
      <c r="I990" t="s">
        <v>6043</v>
      </c>
      <c r="J990">
        <v>11233</v>
      </c>
      <c r="K990" t="s">
        <v>6074</v>
      </c>
      <c r="L990" t="s">
        <v>6075</v>
      </c>
      <c r="M990" t="s">
        <v>6547</v>
      </c>
      <c r="N990" t="s">
        <v>7280</v>
      </c>
      <c r="O990" t="s">
        <v>7311</v>
      </c>
      <c r="Q990" t="s">
        <v>7322</v>
      </c>
      <c r="R990" t="s">
        <v>6076</v>
      </c>
      <c r="S990" t="s">
        <v>7327</v>
      </c>
      <c r="T990" t="s">
        <v>7336</v>
      </c>
      <c r="U990" t="s">
        <v>381</v>
      </c>
      <c r="V990">
        <v>944</v>
      </c>
      <c r="W990" t="s">
        <v>7362</v>
      </c>
      <c r="X990" t="s">
        <v>7382</v>
      </c>
      <c r="Z990" t="s">
        <v>8174</v>
      </c>
      <c r="AA990" t="s">
        <v>10080</v>
      </c>
      <c r="AB990" t="s">
        <v>10956</v>
      </c>
      <c r="AC990">
        <v>20</v>
      </c>
      <c r="AD990" t="s">
        <v>12422</v>
      </c>
      <c r="AE990" t="s">
        <v>7305</v>
      </c>
      <c r="AF990">
        <v>3</v>
      </c>
      <c r="AG990">
        <v>1</v>
      </c>
      <c r="AH990">
        <v>1</v>
      </c>
      <c r="AI990">
        <v>67.42</v>
      </c>
      <c r="AL990" t="s">
        <v>12460</v>
      </c>
      <c r="AM990">
        <v>11400</v>
      </c>
      <c r="AS990">
        <v>0</v>
      </c>
      <c r="AU990" t="s">
        <v>218</v>
      </c>
      <c r="AV990" t="s">
        <v>13146</v>
      </c>
    </row>
    <row r="991" spans="1:48">
      <c r="A991" s="1">
        <f>HYPERLINK("https://cms.ls-nyc.org/matter/dynamic-profile/view/1896382","19-1896382")</f>
        <v>0</v>
      </c>
      <c r="B991" t="s">
        <v>70</v>
      </c>
      <c r="C991" t="s">
        <v>302</v>
      </c>
      <c r="E991" t="s">
        <v>956</v>
      </c>
      <c r="F991" t="s">
        <v>2639</v>
      </c>
      <c r="G991" t="s">
        <v>4298</v>
      </c>
      <c r="H991" t="s">
        <v>5385</v>
      </c>
      <c r="I991" t="s">
        <v>6043</v>
      </c>
      <c r="J991">
        <v>11216</v>
      </c>
      <c r="K991" t="s">
        <v>6074</v>
      </c>
      <c r="L991" t="s">
        <v>6074</v>
      </c>
      <c r="N991" t="s">
        <v>7279</v>
      </c>
      <c r="O991" t="s">
        <v>7309</v>
      </c>
      <c r="Q991" t="s">
        <v>7322</v>
      </c>
      <c r="R991" t="s">
        <v>6076</v>
      </c>
      <c r="S991" t="s">
        <v>7324</v>
      </c>
      <c r="T991" t="s">
        <v>7336</v>
      </c>
      <c r="U991" t="s">
        <v>302</v>
      </c>
      <c r="V991">
        <v>1414.37</v>
      </c>
      <c r="W991" t="s">
        <v>7362</v>
      </c>
      <c r="X991" t="s">
        <v>7368</v>
      </c>
      <c r="Z991" t="s">
        <v>8175</v>
      </c>
      <c r="AA991" t="s">
        <v>10081</v>
      </c>
      <c r="AB991" t="s">
        <v>10957</v>
      </c>
      <c r="AC991">
        <v>6</v>
      </c>
      <c r="AD991" t="s">
        <v>12422</v>
      </c>
      <c r="AF991">
        <v>8</v>
      </c>
      <c r="AG991">
        <v>2</v>
      </c>
      <c r="AH991">
        <v>7</v>
      </c>
      <c r="AI991">
        <v>67.51000000000001</v>
      </c>
      <c r="AL991" t="s">
        <v>12461</v>
      </c>
      <c r="AM991">
        <v>32304</v>
      </c>
      <c r="AS991">
        <v>7</v>
      </c>
      <c r="AT991" t="s">
        <v>270</v>
      </c>
      <c r="AU991" t="s">
        <v>70</v>
      </c>
    </row>
    <row r="992" spans="1:48">
      <c r="A992" s="1">
        <f>HYPERLINK("https://cms.ls-nyc.org/matter/dynamic-profile/view/1891782","19-1891782")</f>
        <v>0</v>
      </c>
      <c r="B992" t="s">
        <v>117</v>
      </c>
      <c r="C992" t="s">
        <v>329</v>
      </c>
      <c r="E992" t="s">
        <v>1181</v>
      </c>
      <c r="F992" t="s">
        <v>2640</v>
      </c>
      <c r="G992" t="s">
        <v>4299</v>
      </c>
      <c r="H992" t="s">
        <v>5623</v>
      </c>
      <c r="I992" t="s">
        <v>6048</v>
      </c>
      <c r="J992">
        <v>10312</v>
      </c>
      <c r="K992" t="s">
        <v>6074</v>
      </c>
      <c r="L992" t="s">
        <v>6074</v>
      </c>
      <c r="M992" t="s">
        <v>6548</v>
      </c>
      <c r="O992" t="s">
        <v>7308</v>
      </c>
      <c r="Q992" t="s">
        <v>7322</v>
      </c>
      <c r="S992" t="s">
        <v>7324</v>
      </c>
      <c r="T992" t="s">
        <v>7336</v>
      </c>
      <c r="U992" t="s">
        <v>318</v>
      </c>
      <c r="V992">
        <v>2400</v>
      </c>
      <c r="W992" t="s">
        <v>7364</v>
      </c>
      <c r="X992" t="s">
        <v>7373</v>
      </c>
      <c r="Z992" t="s">
        <v>8176</v>
      </c>
      <c r="AB992" t="s">
        <v>10958</v>
      </c>
      <c r="AC992">
        <v>1</v>
      </c>
      <c r="AD992" t="s">
        <v>12419</v>
      </c>
      <c r="AF992">
        <v>1</v>
      </c>
      <c r="AG992">
        <v>3</v>
      </c>
      <c r="AH992">
        <v>0</v>
      </c>
      <c r="AI992">
        <v>67.51000000000001</v>
      </c>
      <c r="AL992" t="s">
        <v>12460</v>
      </c>
      <c r="AM992">
        <v>14400</v>
      </c>
      <c r="AO992" t="s">
        <v>12846</v>
      </c>
      <c r="AP992" t="s">
        <v>12886</v>
      </c>
      <c r="AQ992" t="s">
        <v>12910</v>
      </c>
      <c r="AR992" t="s">
        <v>12992</v>
      </c>
      <c r="AS992">
        <v>6.1</v>
      </c>
      <c r="AT992" t="s">
        <v>445</v>
      </c>
      <c r="AU992" t="s">
        <v>13102</v>
      </c>
    </row>
    <row r="993" spans="1:48">
      <c r="A993" s="1">
        <f>HYPERLINK("https://cms.ls-nyc.org/matter/dynamic-profile/view/1893147","19-1893147")</f>
        <v>0</v>
      </c>
      <c r="B993" t="s">
        <v>122</v>
      </c>
      <c r="C993" t="s">
        <v>293</v>
      </c>
      <c r="E993" t="s">
        <v>1182</v>
      </c>
      <c r="F993" t="s">
        <v>2309</v>
      </c>
      <c r="G993" t="s">
        <v>4300</v>
      </c>
      <c r="H993" t="s">
        <v>5624</v>
      </c>
      <c r="I993" t="s">
        <v>6048</v>
      </c>
      <c r="J993">
        <v>10304</v>
      </c>
      <c r="K993" t="s">
        <v>6074</v>
      </c>
      <c r="L993" t="s">
        <v>6074</v>
      </c>
      <c r="M993" t="s">
        <v>6549</v>
      </c>
      <c r="N993" t="s">
        <v>7276</v>
      </c>
      <c r="O993" t="s">
        <v>7308</v>
      </c>
      <c r="Q993" t="s">
        <v>7322</v>
      </c>
      <c r="R993" t="s">
        <v>6076</v>
      </c>
      <c r="S993" t="s">
        <v>7324</v>
      </c>
      <c r="T993" t="s">
        <v>7336</v>
      </c>
      <c r="U993" t="s">
        <v>293</v>
      </c>
      <c r="V993">
        <v>825</v>
      </c>
      <c r="W993" t="s">
        <v>7364</v>
      </c>
      <c r="X993" t="s">
        <v>7373</v>
      </c>
      <c r="Z993" t="s">
        <v>8177</v>
      </c>
      <c r="AB993" t="s">
        <v>10959</v>
      </c>
      <c r="AC993">
        <v>2</v>
      </c>
      <c r="AD993" t="s">
        <v>12419</v>
      </c>
      <c r="AF993">
        <v>4</v>
      </c>
      <c r="AG993">
        <v>3</v>
      </c>
      <c r="AH993">
        <v>1</v>
      </c>
      <c r="AI993">
        <v>67.51000000000001</v>
      </c>
      <c r="AL993" t="s">
        <v>12460</v>
      </c>
      <c r="AM993">
        <v>17384</v>
      </c>
      <c r="AS993">
        <v>18.5</v>
      </c>
      <c r="AT993" t="s">
        <v>241</v>
      </c>
      <c r="AU993" t="s">
        <v>13101</v>
      </c>
    </row>
    <row r="994" spans="1:48">
      <c r="A994" s="1">
        <f>HYPERLINK("https://cms.ls-nyc.org/matter/dynamic-profile/view/1880879","18-1880879")</f>
        <v>0</v>
      </c>
      <c r="B994" t="s">
        <v>96</v>
      </c>
      <c r="C994" t="s">
        <v>333</v>
      </c>
      <c r="D994" t="s">
        <v>389</v>
      </c>
      <c r="E994" t="s">
        <v>822</v>
      </c>
      <c r="F994" t="s">
        <v>2294</v>
      </c>
      <c r="G994" t="s">
        <v>3904</v>
      </c>
      <c r="H994" t="s">
        <v>5625</v>
      </c>
      <c r="I994" t="s">
        <v>6047</v>
      </c>
      <c r="J994">
        <v>10467</v>
      </c>
      <c r="K994" t="s">
        <v>6074</v>
      </c>
      <c r="L994" t="s">
        <v>6074</v>
      </c>
      <c r="N994" t="s">
        <v>7273</v>
      </c>
      <c r="O994" t="s">
        <v>7306</v>
      </c>
      <c r="P994" t="s">
        <v>7314</v>
      </c>
      <c r="Q994" t="s">
        <v>7322</v>
      </c>
      <c r="R994" t="s">
        <v>6076</v>
      </c>
      <c r="S994" t="s">
        <v>7324</v>
      </c>
      <c r="U994" t="s">
        <v>369</v>
      </c>
      <c r="V994">
        <v>1500.03</v>
      </c>
      <c r="W994" t="s">
        <v>7363</v>
      </c>
      <c r="X994" t="s">
        <v>7376</v>
      </c>
      <c r="Y994" t="s">
        <v>7386</v>
      </c>
      <c r="Z994" t="s">
        <v>7685</v>
      </c>
      <c r="AB994" t="s">
        <v>10507</v>
      </c>
      <c r="AC994">
        <v>0</v>
      </c>
      <c r="AD994" t="s">
        <v>12422</v>
      </c>
      <c r="AF994">
        <v>14</v>
      </c>
      <c r="AG994">
        <v>2</v>
      </c>
      <c r="AH994">
        <v>0</v>
      </c>
      <c r="AI994">
        <v>67.52</v>
      </c>
      <c r="AL994" t="s">
        <v>12461</v>
      </c>
      <c r="AM994">
        <v>11114</v>
      </c>
      <c r="AS994">
        <v>2.6</v>
      </c>
      <c r="AT994" t="s">
        <v>369</v>
      </c>
      <c r="AU994" t="s">
        <v>99</v>
      </c>
    </row>
    <row r="995" spans="1:48">
      <c r="A995" s="1">
        <f>HYPERLINK("https://cms.ls-nyc.org/matter/dynamic-profile/view/1884972","18-1884972")</f>
        <v>0</v>
      </c>
      <c r="B995" t="s">
        <v>104</v>
      </c>
      <c r="C995" t="s">
        <v>269</v>
      </c>
      <c r="E995" t="s">
        <v>822</v>
      </c>
      <c r="F995" t="s">
        <v>2641</v>
      </c>
      <c r="G995" t="s">
        <v>3904</v>
      </c>
      <c r="H995" t="s">
        <v>5625</v>
      </c>
      <c r="I995" t="s">
        <v>6047</v>
      </c>
      <c r="J995">
        <v>10467</v>
      </c>
      <c r="K995" t="s">
        <v>6074</v>
      </c>
      <c r="L995" t="s">
        <v>6074</v>
      </c>
      <c r="M995" t="s">
        <v>6550</v>
      </c>
      <c r="N995" t="s">
        <v>7273</v>
      </c>
      <c r="O995" t="s">
        <v>7307</v>
      </c>
      <c r="Q995" t="s">
        <v>7322</v>
      </c>
      <c r="R995" t="s">
        <v>6076</v>
      </c>
      <c r="S995" t="s">
        <v>7324</v>
      </c>
      <c r="T995" t="s">
        <v>7336</v>
      </c>
      <c r="U995" t="s">
        <v>269</v>
      </c>
      <c r="V995">
        <v>1509</v>
      </c>
      <c r="W995" t="s">
        <v>7363</v>
      </c>
      <c r="X995" t="s">
        <v>7367</v>
      </c>
      <c r="Z995" t="s">
        <v>7685</v>
      </c>
      <c r="AA995">
        <v>4043580</v>
      </c>
      <c r="AB995" t="s">
        <v>10507</v>
      </c>
      <c r="AC995">
        <v>0</v>
      </c>
      <c r="AD995" t="s">
        <v>12422</v>
      </c>
      <c r="AE995" t="s">
        <v>12434</v>
      </c>
      <c r="AF995">
        <v>0</v>
      </c>
      <c r="AG995">
        <v>2</v>
      </c>
      <c r="AH995">
        <v>0</v>
      </c>
      <c r="AI995">
        <v>67.52</v>
      </c>
      <c r="AL995" t="s">
        <v>12460</v>
      </c>
      <c r="AM995">
        <v>11114</v>
      </c>
      <c r="AS995">
        <v>1</v>
      </c>
      <c r="AT995" t="s">
        <v>270</v>
      </c>
      <c r="AU995" t="s">
        <v>104</v>
      </c>
    </row>
    <row r="996" spans="1:48">
      <c r="A996" s="1">
        <f>HYPERLINK("https://cms.ls-nyc.org/matter/dynamic-profile/view/1875092","18-1875092")</f>
        <v>0</v>
      </c>
      <c r="B996" t="s">
        <v>96</v>
      </c>
      <c r="C996" t="s">
        <v>237</v>
      </c>
      <c r="D996" t="s">
        <v>262</v>
      </c>
      <c r="E996" t="s">
        <v>822</v>
      </c>
      <c r="F996" t="s">
        <v>2294</v>
      </c>
      <c r="G996" t="s">
        <v>3904</v>
      </c>
      <c r="I996" t="s">
        <v>6047</v>
      </c>
      <c r="J996">
        <v>10467</v>
      </c>
      <c r="K996" t="s">
        <v>6074</v>
      </c>
      <c r="L996" t="s">
        <v>6074</v>
      </c>
      <c r="M996" t="s">
        <v>6551</v>
      </c>
      <c r="N996" t="s">
        <v>7276</v>
      </c>
      <c r="O996" t="s">
        <v>7306</v>
      </c>
      <c r="P996" t="s">
        <v>7314</v>
      </c>
      <c r="Q996" t="s">
        <v>7322</v>
      </c>
      <c r="R996" t="s">
        <v>6076</v>
      </c>
      <c r="S996" t="s">
        <v>7324</v>
      </c>
      <c r="T996" t="s">
        <v>7338</v>
      </c>
      <c r="U996" t="s">
        <v>237</v>
      </c>
      <c r="V996">
        <v>1500.03</v>
      </c>
      <c r="W996" t="s">
        <v>7363</v>
      </c>
      <c r="X996" t="s">
        <v>7376</v>
      </c>
      <c r="Y996" t="s">
        <v>7386</v>
      </c>
      <c r="Z996" t="s">
        <v>7685</v>
      </c>
      <c r="AB996" t="s">
        <v>10507</v>
      </c>
      <c r="AC996">
        <v>0</v>
      </c>
      <c r="AD996" t="s">
        <v>12422</v>
      </c>
      <c r="AE996" t="s">
        <v>12434</v>
      </c>
      <c r="AF996">
        <v>14</v>
      </c>
      <c r="AG996">
        <v>2</v>
      </c>
      <c r="AH996">
        <v>0</v>
      </c>
      <c r="AI996">
        <v>67.52</v>
      </c>
      <c r="AL996" t="s">
        <v>12460</v>
      </c>
      <c r="AM996">
        <v>11114</v>
      </c>
      <c r="AS996">
        <v>0.1</v>
      </c>
      <c r="AT996" t="s">
        <v>262</v>
      </c>
      <c r="AU996" t="s">
        <v>96</v>
      </c>
    </row>
    <row r="997" spans="1:48">
      <c r="A997" s="1">
        <f>HYPERLINK("https://cms.ls-nyc.org/matter/dynamic-profile/view/1878600","18-1878600")</f>
        <v>0</v>
      </c>
      <c r="B997" t="s">
        <v>161</v>
      </c>
      <c r="C997" t="s">
        <v>299</v>
      </c>
      <c r="D997" t="s">
        <v>337</v>
      </c>
      <c r="E997" t="s">
        <v>1183</v>
      </c>
      <c r="F997" t="s">
        <v>2279</v>
      </c>
      <c r="G997" t="s">
        <v>4301</v>
      </c>
      <c r="H997" t="s">
        <v>5364</v>
      </c>
      <c r="I997" t="s">
        <v>6049</v>
      </c>
      <c r="J997">
        <v>10035</v>
      </c>
      <c r="K997" t="s">
        <v>6074</v>
      </c>
      <c r="L997" t="s">
        <v>6074</v>
      </c>
      <c r="M997" t="s">
        <v>6552</v>
      </c>
      <c r="N997" t="s">
        <v>7274</v>
      </c>
      <c r="O997" t="s">
        <v>7308</v>
      </c>
      <c r="P997" t="s">
        <v>7316</v>
      </c>
      <c r="Q997" t="s">
        <v>7322</v>
      </c>
      <c r="R997" t="s">
        <v>6076</v>
      </c>
      <c r="S997" t="s">
        <v>7324</v>
      </c>
      <c r="T997" t="s">
        <v>7336</v>
      </c>
      <c r="U997" t="s">
        <v>427</v>
      </c>
      <c r="V997">
        <v>0</v>
      </c>
      <c r="W997" t="s">
        <v>7365</v>
      </c>
      <c r="X997" t="s">
        <v>7376</v>
      </c>
      <c r="Y997" t="s">
        <v>7388</v>
      </c>
      <c r="Z997" t="s">
        <v>8178</v>
      </c>
      <c r="AC997">
        <v>24</v>
      </c>
      <c r="AD997" t="s">
        <v>12422</v>
      </c>
      <c r="AE997" t="s">
        <v>12434</v>
      </c>
      <c r="AF997">
        <v>22</v>
      </c>
      <c r="AG997">
        <v>3</v>
      </c>
      <c r="AH997">
        <v>0</v>
      </c>
      <c r="AI997">
        <v>67.56</v>
      </c>
      <c r="AL997" t="s">
        <v>12460</v>
      </c>
      <c r="AM997">
        <v>14040</v>
      </c>
      <c r="AS997">
        <v>6.5</v>
      </c>
      <c r="AT997" t="s">
        <v>296</v>
      </c>
      <c r="AU997" t="s">
        <v>13107</v>
      </c>
    </row>
    <row r="998" spans="1:48">
      <c r="A998" s="1">
        <f>HYPERLINK("https://cms.ls-nyc.org/matter/dynamic-profile/view/1892877","19-1892877")</f>
        <v>0</v>
      </c>
      <c r="B998" t="s">
        <v>129</v>
      </c>
      <c r="C998" t="s">
        <v>356</v>
      </c>
      <c r="E998" t="s">
        <v>1063</v>
      </c>
      <c r="F998" t="s">
        <v>2522</v>
      </c>
      <c r="G998" t="s">
        <v>4129</v>
      </c>
      <c r="H998">
        <v>2</v>
      </c>
      <c r="I998" t="s">
        <v>6049</v>
      </c>
      <c r="J998">
        <v>10034</v>
      </c>
      <c r="K998" t="s">
        <v>6074</v>
      </c>
      <c r="L998" t="s">
        <v>6074</v>
      </c>
      <c r="O998" t="s">
        <v>7306</v>
      </c>
      <c r="Q998" t="s">
        <v>7322</v>
      </c>
      <c r="R998" t="s">
        <v>6074</v>
      </c>
      <c r="S998" t="s">
        <v>7324</v>
      </c>
      <c r="U998" t="s">
        <v>356</v>
      </c>
      <c r="V998">
        <v>803</v>
      </c>
      <c r="W998" t="s">
        <v>7365</v>
      </c>
      <c r="X998" t="s">
        <v>7368</v>
      </c>
      <c r="Z998" t="s">
        <v>8011</v>
      </c>
      <c r="AA998" t="s">
        <v>10082</v>
      </c>
      <c r="AB998" t="s">
        <v>10809</v>
      </c>
      <c r="AC998">
        <v>25</v>
      </c>
      <c r="AD998" t="s">
        <v>12422</v>
      </c>
      <c r="AE998" t="s">
        <v>12441</v>
      </c>
      <c r="AF998">
        <v>14</v>
      </c>
      <c r="AG998">
        <v>1</v>
      </c>
      <c r="AH998">
        <v>1</v>
      </c>
      <c r="AI998">
        <v>67.63</v>
      </c>
      <c r="AL998" t="s">
        <v>12461</v>
      </c>
      <c r="AM998">
        <v>11436</v>
      </c>
      <c r="AS998">
        <v>0</v>
      </c>
      <c r="AU998" t="s">
        <v>13106</v>
      </c>
    </row>
    <row r="999" spans="1:48">
      <c r="A999" s="1">
        <f>HYPERLINK("https://cms.ls-nyc.org/matter/dynamic-profile/view/1890304","19-1890304")</f>
        <v>0</v>
      </c>
      <c r="B999" t="s">
        <v>92</v>
      </c>
      <c r="C999" t="s">
        <v>358</v>
      </c>
      <c r="D999" t="s">
        <v>496</v>
      </c>
      <c r="E999" t="s">
        <v>586</v>
      </c>
      <c r="F999" t="s">
        <v>2642</v>
      </c>
      <c r="G999" t="s">
        <v>4302</v>
      </c>
      <c r="H999" t="s">
        <v>5376</v>
      </c>
      <c r="I999" t="s">
        <v>6043</v>
      </c>
      <c r="J999">
        <v>11237</v>
      </c>
      <c r="K999" t="s">
        <v>6074</v>
      </c>
      <c r="L999" t="s">
        <v>6074</v>
      </c>
      <c r="M999" t="s">
        <v>6104</v>
      </c>
      <c r="N999" t="s">
        <v>7275</v>
      </c>
      <c r="O999" t="s">
        <v>7309</v>
      </c>
      <c r="P999" t="s">
        <v>7319</v>
      </c>
      <c r="Q999" t="s">
        <v>7322</v>
      </c>
      <c r="R999" t="s">
        <v>6074</v>
      </c>
      <c r="S999" t="s">
        <v>7324</v>
      </c>
      <c r="U999" t="s">
        <v>428</v>
      </c>
      <c r="V999">
        <v>1150</v>
      </c>
      <c r="W999" t="s">
        <v>7362</v>
      </c>
      <c r="X999" t="s">
        <v>7375</v>
      </c>
      <c r="Y999" t="s">
        <v>7387</v>
      </c>
      <c r="Z999" t="s">
        <v>8179</v>
      </c>
      <c r="AA999" t="s">
        <v>10083</v>
      </c>
      <c r="AB999" t="s">
        <v>9856</v>
      </c>
      <c r="AC999">
        <v>6</v>
      </c>
      <c r="AD999" t="s">
        <v>12422</v>
      </c>
      <c r="AF999">
        <v>9</v>
      </c>
      <c r="AG999">
        <v>3</v>
      </c>
      <c r="AH999">
        <v>3</v>
      </c>
      <c r="AI999">
        <v>67.65000000000001</v>
      </c>
      <c r="AL999" t="s">
        <v>12461</v>
      </c>
      <c r="AM999">
        <v>23400</v>
      </c>
      <c r="AS999">
        <v>0.1</v>
      </c>
      <c r="AT999" t="s">
        <v>420</v>
      </c>
      <c r="AU999" t="s">
        <v>218</v>
      </c>
      <c r="AV999" t="s">
        <v>13145</v>
      </c>
    </row>
    <row r="1000" spans="1:48">
      <c r="A1000" s="1">
        <f>HYPERLINK("https://cms.ls-nyc.org/matter/dynamic-profile/view/1873919","18-1873919")</f>
        <v>0</v>
      </c>
      <c r="B1000" t="s">
        <v>137</v>
      </c>
      <c r="C1000" t="s">
        <v>231</v>
      </c>
      <c r="D1000" t="s">
        <v>472</v>
      </c>
      <c r="E1000" t="s">
        <v>1184</v>
      </c>
      <c r="F1000" t="s">
        <v>2322</v>
      </c>
      <c r="G1000" t="s">
        <v>4303</v>
      </c>
      <c r="H1000">
        <v>6</v>
      </c>
      <c r="I1000" t="s">
        <v>6049</v>
      </c>
      <c r="J1000">
        <v>10029</v>
      </c>
      <c r="K1000" t="s">
        <v>6074</v>
      </c>
      <c r="L1000" t="s">
        <v>6074</v>
      </c>
      <c r="N1000" t="s">
        <v>6104</v>
      </c>
      <c r="O1000" t="s">
        <v>7306</v>
      </c>
      <c r="P1000" t="s">
        <v>7314</v>
      </c>
      <c r="Q1000" t="s">
        <v>7322</v>
      </c>
      <c r="R1000" t="s">
        <v>6076</v>
      </c>
      <c r="S1000" t="s">
        <v>7324</v>
      </c>
      <c r="T1000" t="s">
        <v>7336</v>
      </c>
      <c r="U1000" t="s">
        <v>253</v>
      </c>
      <c r="V1000">
        <v>1108</v>
      </c>
      <c r="W1000" t="s">
        <v>7365</v>
      </c>
      <c r="X1000" t="s">
        <v>7375</v>
      </c>
      <c r="Y1000" t="s">
        <v>7386</v>
      </c>
      <c r="Z1000" t="s">
        <v>8180</v>
      </c>
      <c r="AB1000" t="s">
        <v>10960</v>
      </c>
      <c r="AC1000">
        <v>15</v>
      </c>
      <c r="AD1000" t="s">
        <v>12422</v>
      </c>
      <c r="AE1000" t="s">
        <v>12434</v>
      </c>
      <c r="AF1000">
        <v>11</v>
      </c>
      <c r="AG1000">
        <v>1</v>
      </c>
      <c r="AH1000">
        <v>1</v>
      </c>
      <c r="AI1000">
        <v>67.91</v>
      </c>
      <c r="AL1000" t="s">
        <v>12461</v>
      </c>
      <c r="AM1000">
        <v>11178</v>
      </c>
      <c r="AS1000">
        <v>3.1</v>
      </c>
      <c r="AT1000" t="s">
        <v>281</v>
      </c>
      <c r="AU1000" t="s">
        <v>13090</v>
      </c>
    </row>
    <row r="1001" spans="1:48">
      <c r="A1001" s="1">
        <f>HYPERLINK("https://cms.ls-nyc.org/matter/dynamic-profile/view/1874450","18-1874450")</f>
        <v>0</v>
      </c>
      <c r="B1001" t="s">
        <v>158</v>
      </c>
      <c r="C1001" t="s">
        <v>236</v>
      </c>
      <c r="D1001" t="s">
        <v>462</v>
      </c>
      <c r="E1001" t="s">
        <v>1185</v>
      </c>
      <c r="F1001" t="s">
        <v>2122</v>
      </c>
      <c r="G1001" t="s">
        <v>4304</v>
      </c>
      <c r="H1001" t="s">
        <v>5626</v>
      </c>
      <c r="I1001" t="s">
        <v>6047</v>
      </c>
      <c r="J1001">
        <v>10453</v>
      </c>
      <c r="K1001" t="s">
        <v>6074</v>
      </c>
      <c r="L1001" t="s">
        <v>6074</v>
      </c>
      <c r="M1001" t="s">
        <v>6553</v>
      </c>
      <c r="N1001" t="s">
        <v>7276</v>
      </c>
      <c r="O1001" t="s">
        <v>7307</v>
      </c>
      <c r="P1001" t="s">
        <v>7315</v>
      </c>
      <c r="Q1001" t="s">
        <v>7322</v>
      </c>
      <c r="R1001" t="s">
        <v>6076</v>
      </c>
      <c r="S1001" t="s">
        <v>7324</v>
      </c>
      <c r="U1001" t="s">
        <v>378</v>
      </c>
      <c r="V1001">
        <v>1600</v>
      </c>
      <c r="W1001" t="s">
        <v>7363</v>
      </c>
      <c r="X1001" t="s">
        <v>7383</v>
      </c>
      <c r="Y1001" t="s">
        <v>7387</v>
      </c>
      <c r="Z1001" t="s">
        <v>8181</v>
      </c>
      <c r="AB1001" t="s">
        <v>10961</v>
      </c>
      <c r="AC1001">
        <v>43</v>
      </c>
      <c r="AD1001" t="s">
        <v>12420</v>
      </c>
      <c r="AE1001" t="s">
        <v>12434</v>
      </c>
      <c r="AF1001">
        <v>4</v>
      </c>
      <c r="AG1001">
        <v>1</v>
      </c>
      <c r="AH1001">
        <v>0</v>
      </c>
      <c r="AI1001">
        <v>68.01000000000001</v>
      </c>
      <c r="AL1001" t="s">
        <v>12461</v>
      </c>
      <c r="AM1001">
        <v>8256</v>
      </c>
      <c r="AS1001">
        <v>2</v>
      </c>
      <c r="AT1001" t="s">
        <v>378</v>
      </c>
      <c r="AU1001" t="s">
        <v>13117</v>
      </c>
    </row>
    <row r="1002" spans="1:48">
      <c r="A1002" s="1">
        <f>HYPERLINK("https://cms.ls-nyc.org/matter/dynamic-profile/view/1897842","19-1897842")</f>
        <v>0</v>
      </c>
      <c r="B1002" t="s">
        <v>126</v>
      </c>
      <c r="C1002" t="s">
        <v>375</v>
      </c>
      <c r="E1002" t="s">
        <v>1186</v>
      </c>
      <c r="F1002" t="s">
        <v>2643</v>
      </c>
      <c r="G1002" t="s">
        <v>3956</v>
      </c>
      <c r="H1002" t="s">
        <v>5348</v>
      </c>
      <c r="I1002" t="s">
        <v>6049</v>
      </c>
      <c r="J1002">
        <v>10031</v>
      </c>
      <c r="K1002" t="s">
        <v>6074</v>
      </c>
      <c r="L1002" t="s">
        <v>6074</v>
      </c>
      <c r="N1002" t="s">
        <v>7273</v>
      </c>
      <c r="O1002" t="s">
        <v>7308</v>
      </c>
      <c r="Q1002" t="s">
        <v>7322</v>
      </c>
      <c r="R1002" t="s">
        <v>6076</v>
      </c>
      <c r="S1002" t="s">
        <v>7324</v>
      </c>
      <c r="T1002" t="s">
        <v>7336</v>
      </c>
      <c r="U1002" t="s">
        <v>279</v>
      </c>
      <c r="V1002">
        <v>2130</v>
      </c>
      <c r="W1002" t="s">
        <v>7365</v>
      </c>
      <c r="X1002" t="s">
        <v>7375</v>
      </c>
      <c r="Z1002" t="s">
        <v>8182</v>
      </c>
      <c r="AB1002" t="s">
        <v>10962</v>
      </c>
      <c r="AC1002">
        <v>44</v>
      </c>
      <c r="AD1002" t="s">
        <v>12422</v>
      </c>
      <c r="AE1002" t="s">
        <v>12434</v>
      </c>
      <c r="AF1002">
        <v>22</v>
      </c>
      <c r="AG1002">
        <v>3</v>
      </c>
      <c r="AH1002">
        <v>0</v>
      </c>
      <c r="AI1002">
        <v>68.06999999999999</v>
      </c>
      <c r="AL1002" t="s">
        <v>12461</v>
      </c>
      <c r="AM1002">
        <v>14520</v>
      </c>
      <c r="AS1002">
        <v>0</v>
      </c>
      <c r="AU1002" t="s">
        <v>13107</v>
      </c>
    </row>
    <row r="1003" spans="1:48">
      <c r="A1003" s="1">
        <f>HYPERLINK("https://cms.ls-nyc.org/matter/dynamic-profile/view/1874240","18-1874240")</f>
        <v>0</v>
      </c>
      <c r="B1003" t="s">
        <v>70</v>
      </c>
      <c r="C1003" t="s">
        <v>384</v>
      </c>
      <c r="E1003" t="s">
        <v>1085</v>
      </c>
      <c r="F1003" t="s">
        <v>2644</v>
      </c>
      <c r="G1003" t="s">
        <v>4305</v>
      </c>
      <c r="H1003">
        <v>415</v>
      </c>
      <c r="I1003" t="s">
        <v>6043</v>
      </c>
      <c r="J1003">
        <v>11225</v>
      </c>
      <c r="K1003" t="s">
        <v>6074</v>
      </c>
      <c r="L1003" t="s">
        <v>6074</v>
      </c>
      <c r="N1003" t="s">
        <v>7278</v>
      </c>
      <c r="O1003" t="s">
        <v>7309</v>
      </c>
      <c r="Q1003" t="s">
        <v>7322</v>
      </c>
      <c r="R1003" t="s">
        <v>6076</v>
      </c>
      <c r="S1003" t="s">
        <v>7324</v>
      </c>
      <c r="U1003" t="s">
        <v>395</v>
      </c>
      <c r="V1003">
        <v>257.3</v>
      </c>
      <c r="W1003" t="s">
        <v>7362</v>
      </c>
      <c r="X1003" t="s">
        <v>7376</v>
      </c>
      <c r="Z1003" t="s">
        <v>8183</v>
      </c>
      <c r="AC1003">
        <v>42</v>
      </c>
      <c r="AD1003" t="s">
        <v>12422</v>
      </c>
      <c r="AE1003" t="s">
        <v>12434</v>
      </c>
      <c r="AF1003">
        <v>28</v>
      </c>
      <c r="AG1003">
        <v>2</v>
      </c>
      <c r="AH1003">
        <v>0</v>
      </c>
      <c r="AI1003">
        <v>68.17</v>
      </c>
      <c r="AL1003" t="s">
        <v>12460</v>
      </c>
      <c r="AM1003">
        <v>11220</v>
      </c>
      <c r="AS1003">
        <v>1.6</v>
      </c>
      <c r="AT1003" t="s">
        <v>356</v>
      </c>
      <c r="AU1003" t="s">
        <v>13087</v>
      </c>
    </row>
    <row r="1004" spans="1:48">
      <c r="A1004" s="1">
        <f>HYPERLINK("https://cms.ls-nyc.org/matter/dynamic-profile/view/1873195","18-1873195")</f>
        <v>0</v>
      </c>
      <c r="B1004" t="s">
        <v>51</v>
      </c>
      <c r="C1004" t="s">
        <v>419</v>
      </c>
      <c r="D1004" t="s">
        <v>353</v>
      </c>
      <c r="E1004" t="s">
        <v>1187</v>
      </c>
      <c r="F1004" t="s">
        <v>2645</v>
      </c>
      <c r="G1004" t="s">
        <v>4306</v>
      </c>
      <c r="H1004">
        <v>2</v>
      </c>
      <c r="I1004" t="s">
        <v>6025</v>
      </c>
      <c r="J1004">
        <v>11691</v>
      </c>
      <c r="K1004" t="s">
        <v>6074</v>
      </c>
      <c r="L1004" t="s">
        <v>6074</v>
      </c>
      <c r="M1004" t="s">
        <v>6554</v>
      </c>
      <c r="N1004" t="s">
        <v>7274</v>
      </c>
      <c r="O1004" t="s">
        <v>7306</v>
      </c>
      <c r="P1004" t="s">
        <v>7314</v>
      </c>
      <c r="Q1004" t="s">
        <v>7322</v>
      </c>
      <c r="R1004" t="s">
        <v>6076</v>
      </c>
      <c r="S1004" t="s">
        <v>7324</v>
      </c>
      <c r="T1004" t="s">
        <v>7336</v>
      </c>
      <c r="U1004" t="s">
        <v>231</v>
      </c>
      <c r="V1004">
        <v>1515</v>
      </c>
      <c r="W1004" t="s">
        <v>7361</v>
      </c>
      <c r="X1004" t="s">
        <v>7366</v>
      </c>
      <c r="Y1004" t="s">
        <v>7395</v>
      </c>
      <c r="Z1004" t="s">
        <v>8184</v>
      </c>
      <c r="AA1004" t="s">
        <v>10084</v>
      </c>
      <c r="AB1004" t="s">
        <v>10963</v>
      </c>
      <c r="AC1004">
        <v>2</v>
      </c>
      <c r="AD1004" t="s">
        <v>12419</v>
      </c>
      <c r="AE1004" t="s">
        <v>12435</v>
      </c>
      <c r="AF1004">
        <v>3</v>
      </c>
      <c r="AG1004">
        <v>1</v>
      </c>
      <c r="AH1004">
        <v>2</v>
      </c>
      <c r="AI1004">
        <v>68.81999999999999</v>
      </c>
      <c r="AL1004" t="s">
        <v>12460</v>
      </c>
      <c r="AM1004">
        <v>14300</v>
      </c>
      <c r="AS1004">
        <v>1.4</v>
      </c>
      <c r="AT1004" t="s">
        <v>353</v>
      </c>
      <c r="AU1004" t="s">
        <v>51</v>
      </c>
    </row>
    <row r="1005" spans="1:48">
      <c r="A1005" s="1">
        <f>HYPERLINK("https://cms.ls-nyc.org/matter/dynamic-profile/view/1890300","19-1890300")</f>
        <v>0</v>
      </c>
      <c r="B1005" t="s">
        <v>112</v>
      </c>
      <c r="C1005" t="s">
        <v>358</v>
      </c>
      <c r="D1005" t="s">
        <v>420</v>
      </c>
      <c r="E1005" t="s">
        <v>1188</v>
      </c>
      <c r="F1005" t="s">
        <v>1164</v>
      </c>
      <c r="G1005" t="s">
        <v>4307</v>
      </c>
      <c r="H1005">
        <v>217</v>
      </c>
      <c r="I1005" t="s">
        <v>6047</v>
      </c>
      <c r="J1005">
        <v>10472</v>
      </c>
      <c r="K1005" t="s">
        <v>6074</v>
      </c>
      <c r="L1005" t="s">
        <v>6074</v>
      </c>
      <c r="M1005" t="s">
        <v>6555</v>
      </c>
      <c r="N1005" t="s">
        <v>7276</v>
      </c>
      <c r="O1005" t="s">
        <v>7306</v>
      </c>
      <c r="P1005" t="s">
        <v>7314</v>
      </c>
      <c r="Q1005" t="s">
        <v>7322</v>
      </c>
      <c r="S1005" t="s">
        <v>7324</v>
      </c>
      <c r="U1005" t="s">
        <v>358</v>
      </c>
      <c r="V1005">
        <v>1100</v>
      </c>
      <c r="W1005" t="s">
        <v>7363</v>
      </c>
      <c r="Y1005" t="s">
        <v>7386</v>
      </c>
      <c r="Z1005" t="s">
        <v>8169</v>
      </c>
      <c r="AB1005" t="s">
        <v>10964</v>
      </c>
      <c r="AC1005">
        <v>0</v>
      </c>
      <c r="AF1005">
        <v>1</v>
      </c>
      <c r="AG1005">
        <v>2</v>
      </c>
      <c r="AH1005">
        <v>3</v>
      </c>
      <c r="AI1005">
        <v>68.94</v>
      </c>
      <c r="AL1005" t="s">
        <v>12462</v>
      </c>
      <c r="AM1005">
        <v>20800</v>
      </c>
      <c r="AS1005">
        <v>6.5</v>
      </c>
      <c r="AT1005" t="s">
        <v>448</v>
      </c>
      <c r="AU1005" t="s">
        <v>13125</v>
      </c>
    </row>
    <row r="1006" spans="1:48">
      <c r="A1006" s="1">
        <f>HYPERLINK("https://cms.ls-nyc.org/matter/dynamic-profile/view/1891390","19-1891390")</f>
        <v>0</v>
      </c>
      <c r="B1006" t="s">
        <v>96</v>
      </c>
      <c r="C1006" t="s">
        <v>366</v>
      </c>
      <c r="E1006" t="s">
        <v>1189</v>
      </c>
      <c r="F1006" t="s">
        <v>2239</v>
      </c>
      <c r="G1006" t="s">
        <v>3792</v>
      </c>
      <c r="H1006" t="s">
        <v>5464</v>
      </c>
      <c r="I1006" t="s">
        <v>6047</v>
      </c>
      <c r="J1006">
        <v>10453</v>
      </c>
      <c r="K1006" t="s">
        <v>6074</v>
      </c>
      <c r="L1006" t="s">
        <v>6074</v>
      </c>
      <c r="N1006" t="s">
        <v>7279</v>
      </c>
      <c r="O1006" t="s">
        <v>7311</v>
      </c>
      <c r="Q1006" t="s">
        <v>7322</v>
      </c>
      <c r="R1006" t="s">
        <v>6074</v>
      </c>
      <c r="S1006" t="s">
        <v>7324</v>
      </c>
      <c r="U1006" t="s">
        <v>457</v>
      </c>
      <c r="V1006">
        <v>1306.45</v>
      </c>
      <c r="W1006" t="s">
        <v>7363</v>
      </c>
      <c r="X1006" t="s">
        <v>7376</v>
      </c>
      <c r="Z1006" t="s">
        <v>8185</v>
      </c>
      <c r="AB1006" t="s">
        <v>10965</v>
      </c>
      <c r="AC1006">
        <v>170</v>
      </c>
      <c r="AD1006" t="s">
        <v>12422</v>
      </c>
      <c r="AE1006" t="s">
        <v>6110</v>
      </c>
      <c r="AF1006">
        <v>10</v>
      </c>
      <c r="AG1006">
        <v>3</v>
      </c>
      <c r="AH1006">
        <v>2</v>
      </c>
      <c r="AI1006">
        <v>68.94</v>
      </c>
      <c r="AL1006" t="s">
        <v>12461</v>
      </c>
      <c r="AM1006">
        <v>20800</v>
      </c>
      <c r="AS1006">
        <v>0</v>
      </c>
      <c r="AU1006" t="s">
        <v>13095</v>
      </c>
    </row>
    <row r="1007" spans="1:48">
      <c r="A1007" s="1">
        <f>HYPERLINK("https://cms.ls-nyc.org/matter/dynamic-profile/view/1891378","19-1891378")</f>
        <v>0</v>
      </c>
      <c r="B1007" t="s">
        <v>96</v>
      </c>
      <c r="C1007" t="s">
        <v>366</v>
      </c>
      <c r="E1007" t="s">
        <v>1189</v>
      </c>
      <c r="F1007" t="s">
        <v>2239</v>
      </c>
      <c r="G1007" t="s">
        <v>3792</v>
      </c>
      <c r="H1007" t="s">
        <v>5464</v>
      </c>
      <c r="I1007" t="s">
        <v>6047</v>
      </c>
      <c r="J1007">
        <v>10453</v>
      </c>
      <c r="K1007" t="s">
        <v>6074</v>
      </c>
      <c r="L1007" t="s">
        <v>6074</v>
      </c>
      <c r="M1007" t="s">
        <v>6259</v>
      </c>
      <c r="N1007" t="s">
        <v>7273</v>
      </c>
      <c r="O1007" t="s">
        <v>7308</v>
      </c>
      <c r="Q1007" t="s">
        <v>7322</v>
      </c>
      <c r="R1007" t="s">
        <v>6074</v>
      </c>
      <c r="S1007" t="s">
        <v>7324</v>
      </c>
      <c r="U1007" t="s">
        <v>457</v>
      </c>
      <c r="V1007">
        <v>1306.45</v>
      </c>
      <c r="W1007" t="s">
        <v>7363</v>
      </c>
      <c r="X1007" t="s">
        <v>7376</v>
      </c>
      <c r="Z1007" t="s">
        <v>8185</v>
      </c>
      <c r="AB1007" t="s">
        <v>10965</v>
      </c>
      <c r="AC1007">
        <v>170</v>
      </c>
      <c r="AD1007" t="s">
        <v>12422</v>
      </c>
      <c r="AE1007" t="s">
        <v>6110</v>
      </c>
      <c r="AF1007">
        <v>10</v>
      </c>
      <c r="AG1007">
        <v>3</v>
      </c>
      <c r="AH1007">
        <v>2</v>
      </c>
      <c r="AI1007">
        <v>68.94</v>
      </c>
      <c r="AL1007" t="s">
        <v>12461</v>
      </c>
      <c r="AM1007">
        <v>20800</v>
      </c>
      <c r="AS1007">
        <v>0</v>
      </c>
      <c r="AU1007" t="s">
        <v>13095</v>
      </c>
    </row>
    <row r="1008" spans="1:48">
      <c r="A1008" s="1">
        <f>HYPERLINK("https://cms.ls-nyc.org/matter/dynamic-profile/view/1900563","19-1900563")</f>
        <v>0</v>
      </c>
      <c r="B1008" t="s">
        <v>134</v>
      </c>
      <c r="C1008" t="s">
        <v>260</v>
      </c>
      <c r="E1008" t="s">
        <v>1190</v>
      </c>
      <c r="F1008" t="s">
        <v>2122</v>
      </c>
      <c r="G1008" t="s">
        <v>4308</v>
      </c>
      <c r="H1008" t="s">
        <v>5627</v>
      </c>
      <c r="I1008" t="s">
        <v>6049</v>
      </c>
      <c r="J1008">
        <v>10029</v>
      </c>
      <c r="K1008" t="s">
        <v>6074</v>
      </c>
      <c r="L1008" t="s">
        <v>6075</v>
      </c>
      <c r="N1008" t="s">
        <v>7273</v>
      </c>
      <c r="O1008" t="s">
        <v>7310</v>
      </c>
      <c r="Q1008" t="s">
        <v>7322</v>
      </c>
      <c r="R1008" t="s">
        <v>6076</v>
      </c>
      <c r="S1008" t="s">
        <v>7324</v>
      </c>
      <c r="T1008" t="s">
        <v>7336</v>
      </c>
      <c r="U1008" t="s">
        <v>363</v>
      </c>
      <c r="V1008">
        <v>1085</v>
      </c>
      <c r="W1008" t="s">
        <v>7365</v>
      </c>
      <c r="X1008" t="s">
        <v>7375</v>
      </c>
      <c r="Z1008" t="s">
        <v>8186</v>
      </c>
      <c r="AC1008">
        <v>10</v>
      </c>
      <c r="AD1008" t="s">
        <v>12422</v>
      </c>
      <c r="AE1008" t="s">
        <v>6110</v>
      </c>
      <c r="AF1008">
        <v>21</v>
      </c>
      <c r="AG1008">
        <v>4</v>
      </c>
      <c r="AH1008">
        <v>1</v>
      </c>
      <c r="AI1008">
        <v>68.94</v>
      </c>
      <c r="AL1008" t="s">
        <v>12461</v>
      </c>
      <c r="AM1008">
        <v>20800</v>
      </c>
      <c r="AS1008">
        <v>5</v>
      </c>
      <c r="AT1008" t="s">
        <v>265</v>
      </c>
      <c r="AU1008" t="s">
        <v>13107</v>
      </c>
      <c r="AV1008" t="s">
        <v>13145</v>
      </c>
    </row>
    <row r="1009" spans="1:47">
      <c r="A1009" s="1">
        <f>HYPERLINK("https://cms.ls-nyc.org/matter/dynamic-profile/view/1876295","18-1876295")</f>
        <v>0</v>
      </c>
      <c r="B1009" t="s">
        <v>98</v>
      </c>
      <c r="C1009" t="s">
        <v>253</v>
      </c>
      <c r="D1009" t="s">
        <v>253</v>
      </c>
      <c r="E1009" t="s">
        <v>1191</v>
      </c>
      <c r="F1009" t="s">
        <v>2329</v>
      </c>
      <c r="G1009" t="s">
        <v>4309</v>
      </c>
      <c r="H1009" t="s">
        <v>5382</v>
      </c>
      <c r="I1009" t="s">
        <v>6047</v>
      </c>
      <c r="J1009">
        <v>10459</v>
      </c>
      <c r="K1009" t="s">
        <v>6074</v>
      </c>
      <c r="L1009" t="s">
        <v>6074</v>
      </c>
      <c r="M1009" t="s">
        <v>6556</v>
      </c>
      <c r="N1009" t="s">
        <v>7274</v>
      </c>
      <c r="O1009" t="s">
        <v>7307</v>
      </c>
      <c r="P1009" t="s">
        <v>7315</v>
      </c>
      <c r="Q1009" t="s">
        <v>7322</v>
      </c>
      <c r="R1009" t="s">
        <v>6076</v>
      </c>
      <c r="S1009" t="s">
        <v>7324</v>
      </c>
      <c r="T1009" t="s">
        <v>7336</v>
      </c>
      <c r="U1009" t="s">
        <v>253</v>
      </c>
      <c r="V1009">
        <v>909.48</v>
      </c>
      <c r="W1009" t="s">
        <v>7363</v>
      </c>
      <c r="X1009" t="s">
        <v>7368</v>
      </c>
      <c r="Y1009" t="s">
        <v>7386</v>
      </c>
      <c r="Z1009" t="s">
        <v>8187</v>
      </c>
      <c r="AA1009" t="s">
        <v>10085</v>
      </c>
      <c r="AB1009" t="s">
        <v>10966</v>
      </c>
      <c r="AC1009">
        <v>20</v>
      </c>
      <c r="AD1009" t="s">
        <v>12422</v>
      </c>
      <c r="AE1009" t="s">
        <v>12434</v>
      </c>
      <c r="AF1009">
        <v>11</v>
      </c>
      <c r="AG1009">
        <v>1</v>
      </c>
      <c r="AH1009">
        <v>1</v>
      </c>
      <c r="AI1009">
        <v>69.11</v>
      </c>
      <c r="AL1009" t="s">
        <v>12460</v>
      </c>
      <c r="AM1009">
        <v>11376</v>
      </c>
      <c r="AN1009" t="s">
        <v>12586</v>
      </c>
      <c r="AS1009">
        <v>1</v>
      </c>
      <c r="AT1009" t="s">
        <v>253</v>
      </c>
      <c r="AU1009" t="s">
        <v>13112</v>
      </c>
    </row>
    <row r="1010" spans="1:47">
      <c r="A1010" s="1">
        <f>HYPERLINK("https://cms.ls-nyc.org/matter/dynamic-profile/view/1875625","18-1875625")</f>
        <v>0</v>
      </c>
      <c r="B1010" t="s">
        <v>70</v>
      </c>
      <c r="C1010" t="s">
        <v>233</v>
      </c>
      <c r="D1010" t="s">
        <v>472</v>
      </c>
      <c r="E1010" t="s">
        <v>956</v>
      </c>
      <c r="F1010" t="s">
        <v>2639</v>
      </c>
      <c r="G1010" t="s">
        <v>4298</v>
      </c>
      <c r="H1010" t="s">
        <v>5385</v>
      </c>
      <c r="I1010" t="s">
        <v>6043</v>
      </c>
      <c r="J1010">
        <v>11216</v>
      </c>
      <c r="K1010" t="s">
        <v>6074</v>
      </c>
      <c r="L1010" t="s">
        <v>6074</v>
      </c>
      <c r="N1010" t="s">
        <v>6104</v>
      </c>
      <c r="O1010" t="s">
        <v>7309</v>
      </c>
      <c r="P1010" t="s">
        <v>7315</v>
      </c>
      <c r="Q1010" t="s">
        <v>7322</v>
      </c>
      <c r="R1010" t="s">
        <v>6076</v>
      </c>
      <c r="S1010" t="s">
        <v>7324</v>
      </c>
      <c r="T1010" t="s">
        <v>7336</v>
      </c>
      <c r="U1010" t="s">
        <v>442</v>
      </c>
      <c r="V1010">
        <v>1414.48</v>
      </c>
      <c r="W1010" t="s">
        <v>7362</v>
      </c>
      <c r="X1010" t="s">
        <v>7368</v>
      </c>
      <c r="Y1010" t="s">
        <v>7387</v>
      </c>
      <c r="Z1010" t="s">
        <v>8175</v>
      </c>
      <c r="AA1010" t="s">
        <v>10081</v>
      </c>
      <c r="AB1010" t="s">
        <v>10957</v>
      </c>
      <c r="AC1010">
        <v>6</v>
      </c>
      <c r="AD1010" t="s">
        <v>12422</v>
      </c>
      <c r="AE1010" t="s">
        <v>6110</v>
      </c>
      <c r="AF1010">
        <v>8</v>
      </c>
      <c r="AG1010">
        <v>2</v>
      </c>
      <c r="AH1010">
        <v>7</v>
      </c>
      <c r="AI1010">
        <v>69.17</v>
      </c>
      <c r="AL1010" t="s">
        <v>12461</v>
      </c>
      <c r="AM1010">
        <v>32304</v>
      </c>
      <c r="AP1010" t="s">
        <v>7305</v>
      </c>
      <c r="AS1010">
        <v>12.8</v>
      </c>
      <c r="AT1010" t="s">
        <v>390</v>
      </c>
      <c r="AU1010" t="s">
        <v>70</v>
      </c>
    </row>
    <row r="1011" spans="1:47">
      <c r="A1011" s="1">
        <f>HYPERLINK("https://cms.ls-nyc.org/matter/dynamic-profile/view/1879266","18-1879266")</f>
        <v>0</v>
      </c>
      <c r="B1011" t="s">
        <v>54</v>
      </c>
      <c r="C1011" t="s">
        <v>355</v>
      </c>
      <c r="D1011" t="s">
        <v>325</v>
      </c>
      <c r="E1011" t="s">
        <v>949</v>
      </c>
      <c r="F1011" t="s">
        <v>2563</v>
      </c>
      <c r="G1011" t="s">
        <v>4220</v>
      </c>
      <c r="H1011" t="s">
        <v>5360</v>
      </c>
      <c r="I1011" t="s">
        <v>6055</v>
      </c>
      <c r="J1011">
        <v>11412</v>
      </c>
      <c r="K1011" t="s">
        <v>6074</v>
      </c>
      <c r="L1011" t="s">
        <v>6074</v>
      </c>
      <c r="M1011" t="s">
        <v>6557</v>
      </c>
      <c r="N1011" t="s">
        <v>7273</v>
      </c>
      <c r="O1011" t="s">
        <v>7306</v>
      </c>
      <c r="P1011" t="s">
        <v>7314</v>
      </c>
      <c r="Q1011" t="s">
        <v>7322</v>
      </c>
      <c r="R1011" t="s">
        <v>6076</v>
      </c>
      <c r="S1011" t="s">
        <v>7324</v>
      </c>
      <c r="T1011" t="s">
        <v>7336</v>
      </c>
      <c r="U1011" t="s">
        <v>239</v>
      </c>
      <c r="V1011">
        <v>800</v>
      </c>
      <c r="W1011" t="s">
        <v>7361</v>
      </c>
      <c r="X1011" t="s">
        <v>7366</v>
      </c>
      <c r="Y1011" t="s">
        <v>7386</v>
      </c>
      <c r="Z1011" t="s">
        <v>8066</v>
      </c>
      <c r="AB1011" t="s">
        <v>10862</v>
      </c>
      <c r="AC1011">
        <v>2</v>
      </c>
      <c r="AD1011" t="s">
        <v>12419</v>
      </c>
      <c r="AE1011" t="s">
        <v>6110</v>
      </c>
      <c r="AF1011">
        <v>1</v>
      </c>
      <c r="AG1011">
        <v>1</v>
      </c>
      <c r="AH1011">
        <v>0</v>
      </c>
      <c r="AI1011">
        <v>69.19</v>
      </c>
      <c r="AL1011" t="s">
        <v>12460</v>
      </c>
      <c r="AM1011">
        <v>8400</v>
      </c>
      <c r="AS1011">
        <v>0.8</v>
      </c>
      <c r="AT1011" t="s">
        <v>325</v>
      </c>
      <c r="AU1011" t="s">
        <v>48</v>
      </c>
    </row>
    <row r="1012" spans="1:47">
      <c r="A1012" s="1">
        <f>HYPERLINK("https://cms.ls-nyc.org/matter/dynamic-profile/view/1881230","18-1881230")</f>
        <v>0</v>
      </c>
      <c r="B1012" t="s">
        <v>52</v>
      </c>
      <c r="C1012" t="s">
        <v>240</v>
      </c>
      <c r="D1012" t="s">
        <v>339</v>
      </c>
      <c r="E1012" t="s">
        <v>1192</v>
      </c>
      <c r="F1012" t="s">
        <v>2646</v>
      </c>
      <c r="G1012" t="s">
        <v>4310</v>
      </c>
      <c r="H1012" t="s">
        <v>5471</v>
      </c>
      <c r="I1012" t="s">
        <v>6040</v>
      </c>
      <c r="J1012">
        <v>11355</v>
      </c>
      <c r="K1012" t="s">
        <v>6074</v>
      </c>
      <c r="L1012" t="s">
        <v>6074</v>
      </c>
      <c r="M1012" t="s">
        <v>6558</v>
      </c>
      <c r="N1012" t="s">
        <v>7274</v>
      </c>
      <c r="O1012" t="s">
        <v>7309</v>
      </c>
      <c r="P1012" t="s">
        <v>7319</v>
      </c>
      <c r="Q1012" t="s">
        <v>7322</v>
      </c>
      <c r="R1012" t="s">
        <v>6076</v>
      </c>
      <c r="S1012" t="s">
        <v>7324</v>
      </c>
      <c r="T1012" t="s">
        <v>7336</v>
      </c>
      <c r="U1012" t="s">
        <v>240</v>
      </c>
      <c r="V1012">
        <v>530</v>
      </c>
      <c r="W1012" t="s">
        <v>7361</v>
      </c>
      <c r="X1012" t="s">
        <v>7366</v>
      </c>
      <c r="Y1012" t="s">
        <v>7387</v>
      </c>
      <c r="Z1012" t="s">
        <v>8188</v>
      </c>
      <c r="AB1012" t="s">
        <v>10967</v>
      </c>
      <c r="AC1012">
        <v>36</v>
      </c>
      <c r="AD1012" t="s">
        <v>6322</v>
      </c>
      <c r="AE1012" t="s">
        <v>6110</v>
      </c>
      <c r="AF1012">
        <v>6</v>
      </c>
      <c r="AG1012">
        <v>1</v>
      </c>
      <c r="AH1012">
        <v>0</v>
      </c>
      <c r="AI1012">
        <v>69.19</v>
      </c>
      <c r="AL1012" t="s">
        <v>12464</v>
      </c>
      <c r="AM1012">
        <v>8400</v>
      </c>
      <c r="AS1012">
        <v>8.550000000000001</v>
      </c>
      <c r="AT1012" t="s">
        <v>292</v>
      </c>
      <c r="AU1012" t="s">
        <v>189</v>
      </c>
    </row>
    <row r="1013" spans="1:47">
      <c r="A1013" s="1">
        <f>HYPERLINK("https://cms.ls-nyc.org/matter/dynamic-profile/view/1871940","18-1871940")</f>
        <v>0</v>
      </c>
      <c r="B1013" t="s">
        <v>111</v>
      </c>
      <c r="C1013" t="s">
        <v>388</v>
      </c>
      <c r="E1013" t="s">
        <v>1105</v>
      </c>
      <c r="F1013" t="s">
        <v>2647</v>
      </c>
      <c r="G1013" t="s">
        <v>4311</v>
      </c>
      <c r="H1013">
        <v>3</v>
      </c>
      <c r="I1013" t="s">
        <v>6047</v>
      </c>
      <c r="J1013">
        <v>10459</v>
      </c>
      <c r="K1013" t="s">
        <v>6074</v>
      </c>
      <c r="L1013" t="s">
        <v>6074</v>
      </c>
      <c r="M1013" t="s">
        <v>6559</v>
      </c>
      <c r="N1013" t="s">
        <v>7274</v>
      </c>
      <c r="O1013" t="s">
        <v>7308</v>
      </c>
      <c r="Q1013" t="s">
        <v>7322</v>
      </c>
      <c r="R1013" t="s">
        <v>6076</v>
      </c>
      <c r="S1013" t="s">
        <v>7324</v>
      </c>
      <c r="T1013" t="s">
        <v>7336</v>
      </c>
      <c r="U1013" t="s">
        <v>467</v>
      </c>
      <c r="V1013">
        <v>1400</v>
      </c>
      <c r="W1013" t="s">
        <v>7363</v>
      </c>
      <c r="X1013" t="s">
        <v>7366</v>
      </c>
      <c r="Z1013" t="s">
        <v>8189</v>
      </c>
      <c r="AA1013" t="s">
        <v>10086</v>
      </c>
      <c r="AB1013" t="s">
        <v>10968</v>
      </c>
      <c r="AC1013">
        <v>3</v>
      </c>
      <c r="AD1013" t="s">
        <v>12422</v>
      </c>
      <c r="AE1013" t="s">
        <v>12440</v>
      </c>
      <c r="AF1013">
        <v>7</v>
      </c>
      <c r="AG1013">
        <v>1</v>
      </c>
      <c r="AH1013">
        <v>0</v>
      </c>
      <c r="AI1013">
        <v>69.19</v>
      </c>
      <c r="AL1013" t="s">
        <v>12460</v>
      </c>
      <c r="AM1013">
        <v>8400</v>
      </c>
      <c r="AO1013" t="s">
        <v>12846</v>
      </c>
      <c r="AP1013" t="s">
        <v>12858</v>
      </c>
      <c r="AQ1013" t="s">
        <v>12909</v>
      </c>
      <c r="AR1013" t="s">
        <v>12932</v>
      </c>
      <c r="AS1013">
        <v>7.35</v>
      </c>
      <c r="AT1013" t="s">
        <v>292</v>
      </c>
      <c r="AU1013" t="s">
        <v>13095</v>
      </c>
    </row>
    <row r="1014" spans="1:47">
      <c r="A1014" s="1">
        <f>HYPERLINK("https://cms.ls-nyc.org/matter/dynamic-profile/view/1881514","18-1881514")</f>
        <v>0</v>
      </c>
      <c r="B1014" t="s">
        <v>101</v>
      </c>
      <c r="C1014" t="s">
        <v>369</v>
      </c>
      <c r="E1014" t="s">
        <v>791</v>
      </c>
      <c r="F1014" t="s">
        <v>2174</v>
      </c>
      <c r="G1014" t="s">
        <v>4312</v>
      </c>
      <c r="H1014" t="s">
        <v>5628</v>
      </c>
      <c r="I1014" t="s">
        <v>6047</v>
      </c>
      <c r="J1014">
        <v>10459</v>
      </c>
      <c r="K1014" t="s">
        <v>6074</v>
      </c>
      <c r="L1014" t="s">
        <v>6074</v>
      </c>
      <c r="M1014" t="s">
        <v>6560</v>
      </c>
      <c r="N1014" t="s">
        <v>7276</v>
      </c>
      <c r="O1014" t="s">
        <v>7306</v>
      </c>
      <c r="Q1014" t="s">
        <v>7322</v>
      </c>
      <c r="S1014" t="s">
        <v>7324</v>
      </c>
      <c r="U1014" t="s">
        <v>7343</v>
      </c>
      <c r="V1014">
        <v>242</v>
      </c>
      <c r="W1014" t="s">
        <v>7363</v>
      </c>
      <c r="X1014" t="s">
        <v>7383</v>
      </c>
      <c r="Z1014" t="s">
        <v>8190</v>
      </c>
      <c r="AB1014" t="s">
        <v>10969</v>
      </c>
      <c r="AC1014">
        <v>48</v>
      </c>
      <c r="AD1014" t="s">
        <v>12422</v>
      </c>
      <c r="AE1014" t="s">
        <v>7305</v>
      </c>
      <c r="AF1014">
        <v>6</v>
      </c>
      <c r="AG1014">
        <v>1</v>
      </c>
      <c r="AH1014">
        <v>0</v>
      </c>
      <c r="AI1014">
        <v>69.19</v>
      </c>
      <c r="AL1014" t="s">
        <v>12461</v>
      </c>
      <c r="AM1014">
        <v>8400</v>
      </c>
      <c r="AQ1014" t="s">
        <v>12910</v>
      </c>
      <c r="AR1014" t="s">
        <v>12924</v>
      </c>
      <c r="AS1014">
        <v>2.7</v>
      </c>
      <c r="AT1014" t="s">
        <v>412</v>
      </c>
      <c r="AU1014" t="s">
        <v>13117</v>
      </c>
    </row>
    <row r="1015" spans="1:47">
      <c r="A1015" s="1">
        <f>HYPERLINK("https://cms.ls-nyc.org/matter/dynamic-profile/view/1883227","18-1883227")</f>
        <v>0</v>
      </c>
      <c r="B1015" t="s">
        <v>98</v>
      </c>
      <c r="C1015" t="s">
        <v>403</v>
      </c>
      <c r="D1015" t="s">
        <v>335</v>
      </c>
      <c r="E1015" t="s">
        <v>795</v>
      </c>
      <c r="F1015" t="s">
        <v>2485</v>
      </c>
      <c r="G1015" t="s">
        <v>4313</v>
      </c>
      <c r="H1015">
        <v>10454</v>
      </c>
      <c r="I1015" t="s">
        <v>6047</v>
      </c>
      <c r="J1015">
        <v>10454</v>
      </c>
      <c r="K1015" t="s">
        <v>6074</v>
      </c>
      <c r="L1015" t="s">
        <v>6074</v>
      </c>
      <c r="M1015" t="s">
        <v>6561</v>
      </c>
      <c r="N1015" t="s">
        <v>7276</v>
      </c>
      <c r="O1015" t="s">
        <v>7307</v>
      </c>
      <c r="P1015" t="s">
        <v>7315</v>
      </c>
      <c r="Q1015" t="s">
        <v>7322</v>
      </c>
      <c r="R1015" t="s">
        <v>6076</v>
      </c>
      <c r="S1015" t="s">
        <v>7324</v>
      </c>
      <c r="T1015" t="s">
        <v>7336</v>
      </c>
      <c r="U1015" t="s">
        <v>403</v>
      </c>
      <c r="V1015">
        <v>462</v>
      </c>
      <c r="W1015" t="s">
        <v>7363</v>
      </c>
      <c r="X1015" t="s">
        <v>7376</v>
      </c>
      <c r="Y1015" t="s">
        <v>7387</v>
      </c>
      <c r="Z1015" t="s">
        <v>8191</v>
      </c>
      <c r="AA1015" t="s">
        <v>10087</v>
      </c>
      <c r="AB1015" t="s">
        <v>10970</v>
      </c>
      <c r="AC1015">
        <v>47</v>
      </c>
      <c r="AD1015" t="s">
        <v>12422</v>
      </c>
      <c r="AE1015" t="s">
        <v>7305</v>
      </c>
      <c r="AF1015">
        <v>20</v>
      </c>
      <c r="AG1015">
        <v>1</v>
      </c>
      <c r="AH1015">
        <v>2</v>
      </c>
      <c r="AI1015">
        <v>69.3</v>
      </c>
      <c r="AL1015" t="s">
        <v>12460</v>
      </c>
      <c r="AM1015">
        <v>14400</v>
      </c>
      <c r="AS1015">
        <v>0.9</v>
      </c>
      <c r="AT1015" t="s">
        <v>300</v>
      </c>
      <c r="AU1015" t="s">
        <v>13092</v>
      </c>
    </row>
    <row r="1016" spans="1:47">
      <c r="A1016" s="1">
        <f>HYPERLINK("https://cms.ls-nyc.org/matter/dynamic-profile/view/1861239","18-1861239")</f>
        <v>0</v>
      </c>
      <c r="B1016" t="s">
        <v>128</v>
      </c>
      <c r="C1016" t="s">
        <v>478</v>
      </c>
      <c r="E1016" t="s">
        <v>699</v>
      </c>
      <c r="F1016" t="s">
        <v>2052</v>
      </c>
      <c r="G1016" t="s">
        <v>4314</v>
      </c>
      <c r="H1016">
        <v>73</v>
      </c>
      <c r="I1016" t="s">
        <v>6049</v>
      </c>
      <c r="J1016">
        <v>10031</v>
      </c>
      <c r="K1016" t="s">
        <v>6076</v>
      </c>
      <c r="L1016" t="s">
        <v>6074</v>
      </c>
      <c r="N1016" t="s">
        <v>7282</v>
      </c>
      <c r="O1016" t="s">
        <v>7308</v>
      </c>
      <c r="Q1016" t="s">
        <v>7322</v>
      </c>
      <c r="R1016" t="s">
        <v>6076</v>
      </c>
      <c r="S1016" t="s">
        <v>7324</v>
      </c>
      <c r="U1016" t="s">
        <v>7344</v>
      </c>
      <c r="V1016">
        <v>0</v>
      </c>
      <c r="W1016" t="s">
        <v>7365</v>
      </c>
      <c r="X1016" t="s">
        <v>7368</v>
      </c>
      <c r="Z1016" t="s">
        <v>8192</v>
      </c>
      <c r="AB1016" t="s">
        <v>10971</v>
      </c>
      <c r="AC1016">
        <v>30</v>
      </c>
      <c r="AD1016" t="s">
        <v>12422</v>
      </c>
      <c r="AE1016" t="s">
        <v>6110</v>
      </c>
      <c r="AF1016">
        <v>5</v>
      </c>
      <c r="AG1016">
        <v>1</v>
      </c>
      <c r="AH1016">
        <v>3</v>
      </c>
      <c r="AI1016">
        <v>69.47</v>
      </c>
      <c r="AL1016" t="s">
        <v>12460</v>
      </c>
      <c r="AM1016">
        <v>26232</v>
      </c>
      <c r="AS1016">
        <v>15.7</v>
      </c>
      <c r="AT1016" t="s">
        <v>237</v>
      </c>
      <c r="AU1016" t="s">
        <v>13106</v>
      </c>
    </row>
    <row r="1017" spans="1:47">
      <c r="A1017" s="1">
        <f>HYPERLINK("https://cms.ls-nyc.org/matter/dynamic-profile/view/1889163","19-1889163")</f>
        <v>0</v>
      </c>
      <c r="B1017" t="s">
        <v>86</v>
      </c>
      <c r="C1017" t="s">
        <v>259</v>
      </c>
      <c r="E1017" t="s">
        <v>1193</v>
      </c>
      <c r="F1017" t="s">
        <v>2648</v>
      </c>
      <c r="G1017" t="s">
        <v>4315</v>
      </c>
      <c r="H1017" t="s">
        <v>5497</v>
      </c>
      <c r="I1017" t="s">
        <v>6043</v>
      </c>
      <c r="J1017">
        <v>11208</v>
      </c>
      <c r="K1017" t="s">
        <v>6074</v>
      </c>
      <c r="L1017" t="s">
        <v>6074</v>
      </c>
      <c r="M1017" t="s">
        <v>6562</v>
      </c>
      <c r="N1017" t="s">
        <v>7290</v>
      </c>
      <c r="O1017" t="s">
        <v>7311</v>
      </c>
      <c r="Q1017" t="s">
        <v>7322</v>
      </c>
      <c r="R1017" t="s">
        <v>6076</v>
      </c>
      <c r="S1017" t="s">
        <v>7327</v>
      </c>
      <c r="U1017" t="s">
        <v>266</v>
      </c>
      <c r="V1017">
        <v>0</v>
      </c>
      <c r="W1017" t="s">
        <v>7362</v>
      </c>
      <c r="X1017" t="s">
        <v>7373</v>
      </c>
      <c r="Z1017" t="s">
        <v>8193</v>
      </c>
      <c r="AA1017" t="s">
        <v>10088</v>
      </c>
      <c r="AB1017" t="s">
        <v>10972</v>
      </c>
      <c r="AC1017">
        <v>3</v>
      </c>
      <c r="AF1017">
        <v>0</v>
      </c>
      <c r="AG1017">
        <v>3</v>
      </c>
      <c r="AH1017">
        <v>2</v>
      </c>
      <c r="AI1017">
        <v>69.75</v>
      </c>
      <c r="AL1017" t="s">
        <v>12460</v>
      </c>
      <c r="AM1017">
        <v>21044</v>
      </c>
      <c r="AS1017">
        <v>4.6</v>
      </c>
      <c r="AT1017" t="s">
        <v>265</v>
      </c>
      <c r="AU1017" t="s">
        <v>180</v>
      </c>
    </row>
    <row r="1018" spans="1:47">
      <c r="A1018" s="1">
        <f>HYPERLINK("https://cms.ls-nyc.org/matter/dynamic-profile/view/1876338","18-1876338")</f>
        <v>0</v>
      </c>
      <c r="B1018" t="s">
        <v>106</v>
      </c>
      <c r="C1018" t="s">
        <v>253</v>
      </c>
      <c r="D1018" t="s">
        <v>389</v>
      </c>
      <c r="E1018" t="s">
        <v>617</v>
      </c>
      <c r="F1018" t="s">
        <v>2649</v>
      </c>
      <c r="G1018" t="s">
        <v>4316</v>
      </c>
      <c r="H1018" t="s">
        <v>5439</v>
      </c>
      <c r="I1018" t="s">
        <v>6047</v>
      </c>
      <c r="J1018">
        <v>10468</v>
      </c>
      <c r="K1018" t="s">
        <v>6074</v>
      </c>
      <c r="L1018" t="s">
        <v>6074</v>
      </c>
      <c r="N1018" t="s">
        <v>6104</v>
      </c>
      <c r="O1018" t="s">
        <v>7306</v>
      </c>
      <c r="P1018" t="s">
        <v>7314</v>
      </c>
      <c r="Q1018" t="s">
        <v>7322</v>
      </c>
      <c r="R1018" t="s">
        <v>6076</v>
      </c>
      <c r="S1018" t="s">
        <v>7324</v>
      </c>
      <c r="U1018" t="s">
        <v>253</v>
      </c>
      <c r="V1018">
        <v>1299</v>
      </c>
      <c r="W1018" t="s">
        <v>7363</v>
      </c>
      <c r="X1018" t="s">
        <v>7376</v>
      </c>
      <c r="Y1018" t="s">
        <v>7386</v>
      </c>
      <c r="Z1018" t="s">
        <v>8194</v>
      </c>
      <c r="AB1018" t="s">
        <v>10973</v>
      </c>
      <c r="AC1018">
        <v>26</v>
      </c>
      <c r="AD1018" t="s">
        <v>12422</v>
      </c>
      <c r="AE1018" t="s">
        <v>12440</v>
      </c>
      <c r="AF1018">
        <v>14</v>
      </c>
      <c r="AG1018">
        <v>1</v>
      </c>
      <c r="AH1018">
        <v>0</v>
      </c>
      <c r="AI1018">
        <v>69.79000000000001</v>
      </c>
      <c r="AL1018" t="s">
        <v>12460</v>
      </c>
      <c r="AM1018">
        <v>8472</v>
      </c>
      <c r="AS1018">
        <v>3</v>
      </c>
      <c r="AT1018" t="s">
        <v>389</v>
      </c>
      <c r="AU1018" t="s">
        <v>106</v>
      </c>
    </row>
    <row r="1019" spans="1:47">
      <c r="A1019" s="1">
        <f>HYPERLINK("https://cms.ls-nyc.org/matter/dynamic-profile/view/1895160","19-1895160")</f>
        <v>0</v>
      </c>
      <c r="B1019" t="s">
        <v>86</v>
      </c>
      <c r="C1019" t="s">
        <v>322</v>
      </c>
      <c r="E1019" t="s">
        <v>582</v>
      </c>
      <c r="F1019" t="s">
        <v>2263</v>
      </c>
      <c r="G1019" t="s">
        <v>4053</v>
      </c>
      <c r="H1019" t="s">
        <v>5385</v>
      </c>
      <c r="I1019" t="s">
        <v>6043</v>
      </c>
      <c r="J1019">
        <v>11208</v>
      </c>
      <c r="K1019" t="s">
        <v>6074</v>
      </c>
      <c r="L1019" t="s">
        <v>6074</v>
      </c>
      <c r="M1019" t="s">
        <v>6563</v>
      </c>
      <c r="N1019" t="s">
        <v>7280</v>
      </c>
      <c r="O1019" t="s">
        <v>7311</v>
      </c>
      <c r="Q1019" t="s">
        <v>7322</v>
      </c>
      <c r="R1019" t="s">
        <v>6076</v>
      </c>
      <c r="S1019" t="s">
        <v>7327</v>
      </c>
      <c r="U1019" t="s">
        <v>292</v>
      </c>
      <c r="V1019">
        <v>1408</v>
      </c>
      <c r="W1019" t="s">
        <v>7362</v>
      </c>
      <c r="X1019" t="s">
        <v>7366</v>
      </c>
      <c r="Z1019" t="s">
        <v>8195</v>
      </c>
      <c r="AB1019" t="s">
        <v>10974</v>
      </c>
      <c r="AC1019">
        <v>0</v>
      </c>
      <c r="AD1019" t="s">
        <v>12422</v>
      </c>
      <c r="AE1019" t="s">
        <v>6110</v>
      </c>
      <c r="AF1019">
        <v>3</v>
      </c>
      <c r="AG1019">
        <v>1</v>
      </c>
      <c r="AH1019">
        <v>3</v>
      </c>
      <c r="AI1019">
        <v>69.90000000000001</v>
      </c>
      <c r="AL1019" t="s">
        <v>12460</v>
      </c>
      <c r="AM1019">
        <v>18000</v>
      </c>
      <c r="AS1019">
        <v>16</v>
      </c>
      <c r="AT1019" t="s">
        <v>381</v>
      </c>
      <c r="AU1019" t="s">
        <v>180</v>
      </c>
    </row>
    <row r="1020" spans="1:47">
      <c r="A1020" s="1">
        <f>HYPERLINK("https://cms.ls-nyc.org/matter/dynamic-profile/view/1885376","18-1885376")</f>
        <v>0</v>
      </c>
      <c r="B1020" t="s">
        <v>116</v>
      </c>
      <c r="C1020" t="s">
        <v>250</v>
      </c>
      <c r="D1020" t="s">
        <v>389</v>
      </c>
      <c r="E1020" t="s">
        <v>1194</v>
      </c>
      <c r="F1020" t="s">
        <v>2241</v>
      </c>
      <c r="G1020" t="s">
        <v>4317</v>
      </c>
      <c r="H1020">
        <v>1</v>
      </c>
      <c r="I1020" t="s">
        <v>6047</v>
      </c>
      <c r="J1020">
        <v>10456</v>
      </c>
      <c r="K1020" t="s">
        <v>6074</v>
      </c>
      <c r="L1020" t="s">
        <v>6074</v>
      </c>
      <c r="N1020" t="s">
        <v>6104</v>
      </c>
      <c r="O1020" t="s">
        <v>7307</v>
      </c>
      <c r="P1020" t="s">
        <v>7315</v>
      </c>
      <c r="Q1020" t="s">
        <v>7322</v>
      </c>
      <c r="R1020" t="s">
        <v>6076</v>
      </c>
      <c r="S1020" t="s">
        <v>7324</v>
      </c>
      <c r="U1020" t="s">
        <v>250</v>
      </c>
      <c r="V1020">
        <v>1375</v>
      </c>
      <c r="W1020" t="s">
        <v>7363</v>
      </c>
      <c r="X1020" t="s">
        <v>7372</v>
      </c>
      <c r="Y1020" t="s">
        <v>7386</v>
      </c>
      <c r="Z1020" t="s">
        <v>8196</v>
      </c>
      <c r="AA1020" t="s">
        <v>10089</v>
      </c>
      <c r="AB1020" t="s">
        <v>10975</v>
      </c>
      <c r="AC1020">
        <v>42</v>
      </c>
      <c r="AD1020" t="s">
        <v>12422</v>
      </c>
      <c r="AE1020" t="s">
        <v>12435</v>
      </c>
      <c r="AF1020">
        <v>25</v>
      </c>
      <c r="AG1020">
        <v>1</v>
      </c>
      <c r="AH1020">
        <v>1</v>
      </c>
      <c r="AI1020">
        <v>69.91</v>
      </c>
      <c r="AL1020" t="s">
        <v>12460</v>
      </c>
      <c r="AM1020">
        <v>11508</v>
      </c>
      <c r="AS1020">
        <v>0.75</v>
      </c>
      <c r="AT1020" t="s">
        <v>389</v>
      </c>
      <c r="AU1020" t="s">
        <v>116</v>
      </c>
    </row>
    <row r="1021" spans="1:47">
      <c r="A1021" s="1">
        <f>HYPERLINK("https://cms.ls-nyc.org/matter/dynamic-profile/view/1878094","18-1878094")</f>
        <v>0</v>
      </c>
      <c r="B1021" t="s">
        <v>103</v>
      </c>
      <c r="C1021" t="s">
        <v>255</v>
      </c>
      <c r="E1021" t="s">
        <v>1014</v>
      </c>
      <c r="F1021" t="s">
        <v>2268</v>
      </c>
      <c r="G1021" t="s">
        <v>4274</v>
      </c>
      <c r="H1021" t="s">
        <v>5373</v>
      </c>
      <c r="I1021" t="s">
        <v>6047</v>
      </c>
      <c r="J1021">
        <v>10453</v>
      </c>
      <c r="K1021" t="s">
        <v>6074</v>
      </c>
      <c r="L1021" t="s">
        <v>6074</v>
      </c>
      <c r="N1021" t="s">
        <v>7288</v>
      </c>
      <c r="O1021" t="s">
        <v>7311</v>
      </c>
      <c r="Q1021" t="s">
        <v>7322</v>
      </c>
      <c r="R1021" t="s">
        <v>6076</v>
      </c>
      <c r="S1021" t="s">
        <v>7331</v>
      </c>
      <c r="U1021" t="s">
        <v>355</v>
      </c>
      <c r="V1021">
        <v>1600</v>
      </c>
      <c r="W1021" t="s">
        <v>7363</v>
      </c>
      <c r="X1021" t="s">
        <v>7368</v>
      </c>
      <c r="Z1021" t="s">
        <v>8197</v>
      </c>
      <c r="AA1021" t="s">
        <v>10090</v>
      </c>
      <c r="AB1021" t="s">
        <v>10976</v>
      </c>
      <c r="AC1021">
        <v>48</v>
      </c>
      <c r="AD1021" t="s">
        <v>12422</v>
      </c>
      <c r="AE1021" t="s">
        <v>12434</v>
      </c>
      <c r="AF1021">
        <v>3</v>
      </c>
      <c r="AG1021">
        <v>1</v>
      </c>
      <c r="AH1021">
        <v>3</v>
      </c>
      <c r="AI1021">
        <v>70.09</v>
      </c>
      <c r="AL1021" t="s">
        <v>12460</v>
      </c>
      <c r="AM1021">
        <v>17592</v>
      </c>
      <c r="AS1021">
        <v>5.8</v>
      </c>
      <c r="AT1021" t="s">
        <v>335</v>
      </c>
      <c r="AU1021" t="s">
        <v>13095</v>
      </c>
    </row>
    <row r="1022" spans="1:47">
      <c r="A1022" s="1">
        <f>HYPERLINK("https://cms.ls-nyc.org/matter/dynamic-profile/view/1886672","18-1886672")</f>
        <v>0</v>
      </c>
      <c r="B1022" t="s">
        <v>102</v>
      </c>
      <c r="C1022" t="s">
        <v>479</v>
      </c>
      <c r="E1022" t="s">
        <v>1195</v>
      </c>
      <c r="F1022" t="s">
        <v>2421</v>
      </c>
      <c r="G1022" t="s">
        <v>3779</v>
      </c>
      <c r="H1022" t="s">
        <v>5588</v>
      </c>
      <c r="I1022" t="s">
        <v>6047</v>
      </c>
      <c r="J1022">
        <v>10460</v>
      </c>
      <c r="K1022" t="s">
        <v>6074</v>
      </c>
      <c r="L1022" t="s">
        <v>6074</v>
      </c>
      <c r="M1022" t="s">
        <v>6182</v>
      </c>
      <c r="N1022" t="s">
        <v>7273</v>
      </c>
      <c r="O1022" t="s">
        <v>7308</v>
      </c>
      <c r="Q1022" t="s">
        <v>7322</v>
      </c>
      <c r="R1022" t="s">
        <v>6074</v>
      </c>
      <c r="S1022" t="s">
        <v>7324</v>
      </c>
      <c r="U1022" t="s">
        <v>457</v>
      </c>
      <c r="V1022">
        <v>266.5</v>
      </c>
      <c r="W1022" t="s">
        <v>7363</v>
      </c>
      <c r="X1022" t="s">
        <v>7376</v>
      </c>
      <c r="Z1022" t="s">
        <v>8198</v>
      </c>
      <c r="AB1022" t="s">
        <v>10977</v>
      </c>
      <c r="AC1022">
        <v>168</v>
      </c>
      <c r="AD1022" t="s">
        <v>12422</v>
      </c>
      <c r="AE1022" t="s">
        <v>12434</v>
      </c>
      <c r="AF1022">
        <v>8</v>
      </c>
      <c r="AG1022">
        <v>1</v>
      </c>
      <c r="AH1022">
        <v>0</v>
      </c>
      <c r="AI1022">
        <v>70.18000000000001</v>
      </c>
      <c r="AL1022" t="s">
        <v>12461</v>
      </c>
      <c r="AM1022">
        <v>8520</v>
      </c>
      <c r="AS1022">
        <v>0</v>
      </c>
      <c r="AU1022" t="s">
        <v>13113</v>
      </c>
    </row>
    <row r="1023" spans="1:47">
      <c r="A1023" s="1">
        <f>HYPERLINK("https://cms.ls-nyc.org/matter/dynamic-profile/view/1880665","18-1880665")</f>
        <v>0</v>
      </c>
      <c r="B1023" t="s">
        <v>60</v>
      </c>
      <c r="C1023" t="s">
        <v>357</v>
      </c>
      <c r="D1023" t="s">
        <v>357</v>
      </c>
      <c r="E1023" t="s">
        <v>1196</v>
      </c>
      <c r="F1023" t="s">
        <v>2650</v>
      </c>
      <c r="G1023" t="s">
        <v>4318</v>
      </c>
      <c r="H1023" t="s">
        <v>5347</v>
      </c>
      <c r="I1023" t="s">
        <v>6026</v>
      </c>
      <c r="J1023">
        <v>11435</v>
      </c>
      <c r="K1023" t="s">
        <v>6074</v>
      </c>
      <c r="L1023" t="s">
        <v>6074</v>
      </c>
      <c r="M1023" t="s">
        <v>6564</v>
      </c>
      <c r="N1023" t="s">
        <v>7276</v>
      </c>
      <c r="O1023" t="s">
        <v>7306</v>
      </c>
      <c r="P1023" t="s">
        <v>7314</v>
      </c>
      <c r="Q1023" t="s">
        <v>7322</v>
      </c>
      <c r="R1023" t="s">
        <v>6076</v>
      </c>
      <c r="S1023" t="s">
        <v>7324</v>
      </c>
      <c r="T1023" t="s">
        <v>7336</v>
      </c>
      <c r="U1023" t="s">
        <v>360</v>
      </c>
      <c r="V1023">
        <v>1600</v>
      </c>
      <c r="W1023" t="s">
        <v>7361</v>
      </c>
      <c r="X1023" t="s">
        <v>7366</v>
      </c>
      <c r="Y1023" t="s">
        <v>7386</v>
      </c>
      <c r="Z1023" t="s">
        <v>8199</v>
      </c>
      <c r="AA1023" t="s">
        <v>10091</v>
      </c>
      <c r="AB1023" t="s">
        <v>10978</v>
      </c>
      <c r="AC1023">
        <v>3</v>
      </c>
      <c r="AD1023" t="s">
        <v>12419</v>
      </c>
      <c r="AE1023" t="s">
        <v>6110</v>
      </c>
      <c r="AF1023">
        <v>2</v>
      </c>
      <c r="AG1023">
        <v>2</v>
      </c>
      <c r="AH1023">
        <v>1</v>
      </c>
      <c r="AI1023">
        <v>70.26000000000001</v>
      </c>
      <c r="AL1023" t="s">
        <v>12460</v>
      </c>
      <c r="AM1023">
        <v>14600</v>
      </c>
      <c r="AS1023">
        <v>0.72</v>
      </c>
      <c r="AT1023" t="s">
        <v>357</v>
      </c>
      <c r="AU1023" t="s">
        <v>48</v>
      </c>
    </row>
    <row r="1024" spans="1:47">
      <c r="A1024" s="1">
        <f>HYPERLINK("https://cms.ls-nyc.org/matter/dynamic-profile/view/1898111","19-1898111")</f>
        <v>0</v>
      </c>
      <c r="B1024" t="s">
        <v>51</v>
      </c>
      <c r="C1024" t="s">
        <v>362</v>
      </c>
      <c r="D1024" t="s">
        <v>505</v>
      </c>
      <c r="E1024" t="s">
        <v>1197</v>
      </c>
      <c r="F1024" t="s">
        <v>861</v>
      </c>
      <c r="G1024" t="s">
        <v>4319</v>
      </c>
      <c r="H1024" t="s">
        <v>5395</v>
      </c>
      <c r="I1024" t="s">
        <v>6026</v>
      </c>
      <c r="J1024">
        <v>11435</v>
      </c>
      <c r="K1024" t="s">
        <v>6074</v>
      </c>
      <c r="L1024" t="s">
        <v>6074</v>
      </c>
      <c r="M1024" t="s">
        <v>6565</v>
      </c>
      <c r="N1024" t="s">
        <v>7273</v>
      </c>
      <c r="O1024" t="s">
        <v>7306</v>
      </c>
      <c r="P1024" t="s">
        <v>7314</v>
      </c>
      <c r="Q1024" t="s">
        <v>7322</v>
      </c>
      <c r="R1024" t="s">
        <v>6076</v>
      </c>
      <c r="S1024" t="s">
        <v>7324</v>
      </c>
      <c r="U1024" t="s">
        <v>362</v>
      </c>
      <c r="V1024">
        <v>1060</v>
      </c>
      <c r="W1024" t="s">
        <v>7361</v>
      </c>
      <c r="X1024" t="s">
        <v>7366</v>
      </c>
      <c r="Y1024" t="s">
        <v>7386</v>
      </c>
      <c r="Z1024" t="s">
        <v>8200</v>
      </c>
      <c r="AB1024" t="s">
        <v>10979</v>
      </c>
      <c r="AC1024">
        <v>84</v>
      </c>
      <c r="AD1024" t="s">
        <v>12422</v>
      </c>
      <c r="AE1024" t="s">
        <v>6110</v>
      </c>
      <c r="AF1024">
        <v>12</v>
      </c>
      <c r="AG1024">
        <v>3</v>
      </c>
      <c r="AH1024">
        <v>1</v>
      </c>
      <c r="AI1024">
        <v>70.28</v>
      </c>
      <c r="AL1024" t="s">
        <v>12460</v>
      </c>
      <c r="AM1024">
        <v>18096</v>
      </c>
      <c r="AS1024">
        <v>0.75</v>
      </c>
      <c r="AT1024" t="s">
        <v>343</v>
      </c>
      <c r="AU1024" t="s">
        <v>51</v>
      </c>
    </row>
    <row r="1025" spans="1:48">
      <c r="A1025" s="1">
        <f>HYPERLINK("https://cms.ls-nyc.org/matter/dynamic-profile/view/1885304","18-1885304")</f>
        <v>0</v>
      </c>
      <c r="B1025" t="s">
        <v>115</v>
      </c>
      <c r="C1025" t="s">
        <v>341</v>
      </c>
      <c r="E1025" t="s">
        <v>937</v>
      </c>
      <c r="F1025" t="s">
        <v>2651</v>
      </c>
      <c r="G1025" t="s">
        <v>4132</v>
      </c>
      <c r="H1025" t="s">
        <v>5348</v>
      </c>
      <c r="I1025" t="s">
        <v>6047</v>
      </c>
      <c r="J1025">
        <v>10463</v>
      </c>
      <c r="K1025" t="s">
        <v>6074</v>
      </c>
      <c r="L1025" t="s">
        <v>6074</v>
      </c>
      <c r="M1025" t="s">
        <v>6566</v>
      </c>
      <c r="N1025" t="s">
        <v>7273</v>
      </c>
      <c r="O1025" t="s">
        <v>7308</v>
      </c>
      <c r="Q1025" t="s">
        <v>7322</v>
      </c>
      <c r="R1025" t="s">
        <v>6074</v>
      </c>
      <c r="S1025" t="s">
        <v>7324</v>
      </c>
      <c r="U1025" t="s">
        <v>472</v>
      </c>
      <c r="V1025">
        <v>1144.47</v>
      </c>
      <c r="W1025" t="s">
        <v>7363</v>
      </c>
      <c r="X1025" t="s">
        <v>7376</v>
      </c>
      <c r="Z1025" t="s">
        <v>8201</v>
      </c>
      <c r="AA1025">
        <v>54522717</v>
      </c>
      <c r="AC1025">
        <v>55</v>
      </c>
      <c r="AD1025" t="s">
        <v>12422</v>
      </c>
      <c r="AE1025" t="s">
        <v>12438</v>
      </c>
      <c r="AF1025">
        <v>13</v>
      </c>
      <c r="AG1025">
        <v>2</v>
      </c>
      <c r="AH1025">
        <v>1</v>
      </c>
      <c r="AI1025">
        <v>70.28</v>
      </c>
      <c r="AL1025" t="s">
        <v>12460</v>
      </c>
      <c r="AM1025">
        <v>14604</v>
      </c>
      <c r="AN1025" t="s">
        <v>12587</v>
      </c>
      <c r="AS1025">
        <v>0</v>
      </c>
      <c r="AU1025" t="s">
        <v>13099</v>
      </c>
    </row>
    <row r="1026" spans="1:48">
      <c r="A1026" s="1">
        <f>HYPERLINK("https://cms.ls-nyc.org/matter/dynamic-profile/view/1875487","18-1875487")</f>
        <v>0</v>
      </c>
      <c r="B1026" t="s">
        <v>68</v>
      </c>
      <c r="C1026" t="s">
        <v>480</v>
      </c>
      <c r="D1026" t="s">
        <v>244</v>
      </c>
      <c r="E1026" t="s">
        <v>1198</v>
      </c>
      <c r="F1026" t="s">
        <v>2652</v>
      </c>
      <c r="G1026" t="s">
        <v>4320</v>
      </c>
      <c r="H1026" t="s">
        <v>5376</v>
      </c>
      <c r="I1026" t="s">
        <v>6043</v>
      </c>
      <c r="J1026">
        <v>11212</v>
      </c>
      <c r="K1026" t="s">
        <v>6074</v>
      </c>
      <c r="L1026" t="s">
        <v>6074</v>
      </c>
      <c r="M1026" t="s">
        <v>6567</v>
      </c>
      <c r="N1026" t="s">
        <v>7276</v>
      </c>
      <c r="O1026" t="s">
        <v>7306</v>
      </c>
      <c r="P1026" t="s">
        <v>7314</v>
      </c>
      <c r="Q1026" t="s">
        <v>7322</v>
      </c>
      <c r="S1026" t="s">
        <v>7324</v>
      </c>
      <c r="U1026" t="s">
        <v>480</v>
      </c>
      <c r="V1026">
        <v>1200</v>
      </c>
      <c r="W1026" t="s">
        <v>7362</v>
      </c>
      <c r="X1026" t="s">
        <v>7366</v>
      </c>
      <c r="Y1026" t="s">
        <v>7386</v>
      </c>
      <c r="Z1026" t="s">
        <v>8202</v>
      </c>
      <c r="AB1026" t="s">
        <v>10980</v>
      </c>
      <c r="AC1026">
        <v>0</v>
      </c>
      <c r="AE1026" t="s">
        <v>6110</v>
      </c>
      <c r="AF1026">
        <v>4</v>
      </c>
      <c r="AG1026">
        <v>1</v>
      </c>
      <c r="AH1026">
        <v>0</v>
      </c>
      <c r="AI1026">
        <v>70.38</v>
      </c>
      <c r="AL1026" t="s">
        <v>12460</v>
      </c>
      <c r="AM1026">
        <v>8544</v>
      </c>
      <c r="AN1026" t="s">
        <v>12505</v>
      </c>
      <c r="AS1026">
        <v>5.1</v>
      </c>
      <c r="AT1026" t="s">
        <v>255</v>
      </c>
      <c r="AU1026" t="s">
        <v>13082</v>
      </c>
    </row>
    <row r="1027" spans="1:48">
      <c r="A1027" s="1">
        <f>HYPERLINK("https://cms.ls-nyc.org/matter/dynamic-profile/view/1889889","19-1889889")</f>
        <v>0</v>
      </c>
      <c r="B1027" t="s">
        <v>96</v>
      </c>
      <c r="C1027" t="s">
        <v>351</v>
      </c>
      <c r="E1027" t="s">
        <v>1199</v>
      </c>
      <c r="F1027" t="s">
        <v>2051</v>
      </c>
      <c r="G1027" t="s">
        <v>3792</v>
      </c>
      <c r="H1027" t="s">
        <v>5629</v>
      </c>
      <c r="I1027" t="s">
        <v>6047</v>
      </c>
      <c r="J1027">
        <v>10453</v>
      </c>
      <c r="K1027" t="s">
        <v>6074</v>
      </c>
      <c r="L1027" t="s">
        <v>6074</v>
      </c>
      <c r="N1027" t="s">
        <v>7279</v>
      </c>
      <c r="O1027" t="s">
        <v>7311</v>
      </c>
      <c r="Q1027" t="s">
        <v>7322</v>
      </c>
      <c r="R1027" t="s">
        <v>6074</v>
      </c>
      <c r="S1027" t="s">
        <v>7324</v>
      </c>
      <c r="U1027" t="s">
        <v>457</v>
      </c>
      <c r="V1027">
        <v>168</v>
      </c>
      <c r="W1027" t="s">
        <v>7363</v>
      </c>
      <c r="X1027" t="s">
        <v>7376</v>
      </c>
      <c r="Z1027" t="s">
        <v>8203</v>
      </c>
      <c r="AA1027" t="s">
        <v>10092</v>
      </c>
      <c r="AB1027" t="s">
        <v>10981</v>
      </c>
      <c r="AC1027">
        <v>167</v>
      </c>
      <c r="AD1027" t="s">
        <v>12422</v>
      </c>
      <c r="AE1027" t="s">
        <v>12434</v>
      </c>
      <c r="AF1027">
        <v>20</v>
      </c>
      <c r="AG1027">
        <v>1</v>
      </c>
      <c r="AH1027">
        <v>0</v>
      </c>
      <c r="AI1027">
        <v>70.42</v>
      </c>
      <c r="AL1027" t="s">
        <v>12461</v>
      </c>
      <c r="AM1027">
        <v>8796</v>
      </c>
      <c r="AS1027">
        <v>0</v>
      </c>
      <c r="AU1027" t="s">
        <v>13092</v>
      </c>
    </row>
    <row r="1028" spans="1:48">
      <c r="A1028" s="1">
        <f>HYPERLINK("https://cms.ls-nyc.org/matter/dynamic-profile/view/1859332","18-1859332")</f>
        <v>0</v>
      </c>
      <c r="B1028" t="s">
        <v>89</v>
      </c>
      <c r="C1028" t="s">
        <v>481</v>
      </c>
      <c r="E1028" t="s">
        <v>1200</v>
      </c>
      <c r="F1028" t="s">
        <v>2387</v>
      </c>
      <c r="G1028" t="s">
        <v>4024</v>
      </c>
      <c r="H1028" t="s">
        <v>5435</v>
      </c>
      <c r="I1028" t="s">
        <v>6043</v>
      </c>
      <c r="J1028">
        <v>11239</v>
      </c>
      <c r="K1028" t="s">
        <v>6074</v>
      </c>
      <c r="L1028" t="s">
        <v>6074</v>
      </c>
      <c r="M1028" t="s">
        <v>6081</v>
      </c>
      <c r="N1028" t="s">
        <v>6104</v>
      </c>
      <c r="O1028" t="s">
        <v>7306</v>
      </c>
      <c r="Q1028" t="s">
        <v>7322</v>
      </c>
      <c r="S1028" t="s">
        <v>7324</v>
      </c>
      <c r="U1028" t="s">
        <v>7344</v>
      </c>
      <c r="V1028">
        <v>2000</v>
      </c>
      <c r="W1028" t="s">
        <v>7362</v>
      </c>
      <c r="X1028" t="s">
        <v>7381</v>
      </c>
      <c r="Z1028" t="s">
        <v>7819</v>
      </c>
      <c r="AA1028" t="s">
        <v>9976</v>
      </c>
      <c r="AB1028" t="s">
        <v>10632</v>
      </c>
      <c r="AC1028">
        <v>88</v>
      </c>
      <c r="AD1028" t="s">
        <v>12422</v>
      </c>
      <c r="AE1028" t="s">
        <v>12434</v>
      </c>
      <c r="AF1028">
        <v>24</v>
      </c>
      <c r="AG1028">
        <v>2</v>
      </c>
      <c r="AH1028">
        <v>1</v>
      </c>
      <c r="AI1028">
        <v>70.52</v>
      </c>
      <c r="AL1028" t="s">
        <v>12460</v>
      </c>
      <c r="AM1028">
        <v>14400</v>
      </c>
      <c r="AN1028" t="s">
        <v>12491</v>
      </c>
      <c r="AS1028">
        <v>1</v>
      </c>
      <c r="AT1028" t="s">
        <v>527</v>
      </c>
      <c r="AU1028" t="s">
        <v>13080</v>
      </c>
    </row>
    <row r="1029" spans="1:48">
      <c r="A1029" s="1">
        <f>HYPERLINK("https://cms.ls-nyc.org/matter/dynamic-profile/view/1877190","18-1877190")</f>
        <v>0</v>
      </c>
      <c r="B1029" t="s">
        <v>130</v>
      </c>
      <c r="C1029" t="s">
        <v>273</v>
      </c>
      <c r="E1029" t="s">
        <v>586</v>
      </c>
      <c r="F1029" t="s">
        <v>2457</v>
      </c>
      <c r="G1029" t="s">
        <v>3842</v>
      </c>
      <c r="H1029" t="s">
        <v>5630</v>
      </c>
      <c r="I1029" t="s">
        <v>6049</v>
      </c>
      <c r="J1029">
        <v>10033</v>
      </c>
      <c r="K1029" t="s">
        <v>6074</v>
      </c>
      <c r="L1029" t="s">
        <v>6074</v>
      </c>
      <c r="N1029" t="s">
        <v>7273</v>
      </c>
      <c r="O1029" t="s">
        <v>7308</v>
      </c>
      <c r="Q1029" t="s">
        <v>7322</v>
      </c>
      <c r="R1029" t="s">
        <v>6074</v>
      </c>
      <c r="S1029" t="s">
        <v>7324</v>
      </c>
      <c r="U1029" t="s">
        <v>273</v>
      </c>
      <c r="V1029">
        <v>1300</v>
      </c>
      <c r="W1029" t="s">
        <v>7365</v>
      </c>
      <c r="X1029" t="s">
        <v>7367</v>
      </c>
      <c r="Z1029" t="s">
        <v>8204</v>
      </c>
      <c r="AB1029" t="s">
        <v>10982</v>
      </c>
      <c r="AC1029">
        <v>232</v>
      </c>
      <c r="AD1029" t="s">
        <v>12422</v>
      </c>
      <c r="AE1029" t="s">
        <v>6110</v>
      </c>
      <c r="AF1029">
        <v>16</v>
      </c>
      <c r="AG1029">
        <v>2</v>
      </c>
      <c r="AH1029">
        <v>1</v>
      </c>
      <c r="AI1029">
        <v>70.56999999999999</v>
      </c>
      <c r="AL1029" t="s">
        <v>12460</v>
      </c>
      <c r="AM1029">
        <v>14664</v>
      </c>
      <c r="AS1029">
        <v>1.5</v>
      </c>
      <c r="AT1029" t="s">
        <v>564</v>
      </c>
      <c r="AU1029" t="s">
        <v>13106</v>
      </c>
    </row>
    <row r="1030" spans="1:48">
      <c r="A1030" s="1">
        <f>HYPERLINK("https://cms.ls-nyc.org/matter/dynamic-profile/view/1881071","18-1881071")</f>
        <v>0</v>
      </c>
      <c r="B1030" t="s">
        <v>130</v>
      </c>
      <c r="C1030" t="s">
        <v>464</v>
      </c>
      <c r="D1030" t="s">
        <v>283</v>
      </c>
      <c r="E1030" t="s">
        <v>586</v>
      </c>
      <c r="F1030" t="s">
        <v>2457</v>
      </c>
      <c r="G1030" t="s">
        <v>3842</v>
      </c>
      <c r="H1030" t="s">
        <v>5630</v>
      </c>
      <c r="I1030" t="s">
        <v>6049</v>
      </c>
      <c r="J1030">
        <v>10033</v>
      </c>
      <c r="K1030" t="s">
        <v>6074</v>
      </c>
      <c r="L1030" t="s">
        <v>6074</v>
      </c>
      <c r="N1030" t="s">
        <v>7276</v>
      </c>
      <c r="O1030" t="s">
        <v>7306</v>
      </c>
      <c r="P1030" t="s">
        <v>7314</v>
      </c>
      <c r="Q1030" t="s">
        <v>7322</v>
      </c>
      <c r="R1030" t="s">
        <v>6076</v>
      </c>
      <c r="S1030" t="s">
        <v>7324</v>
      </c>
      <c r="U1030" t="s">
        <v>464</v>
      </c>
      <c r="V1030">
        <v>1300</v>
      </c>
      <c r="W1030" t="s">
        <v>7365</v>
      </c>
      <c r="X1030" t="s">
        <v>7368</v>
      </c>
      <c r="Y1030" t="s">
        <v>7386</v>
      </c>
      <c r="Z1030" t="s">
        <v>8204</v>
      </c>
      <c r="AB1030" t="s">
        <v>10982</v>
      </c>
      <c r="AC1030">
        <v>232</v>
      </c>
      <c r="AD1030" t="s">
        <v>12422</v>
      </c>
      <c r="AE1030" t="s">
        <v>6110</v>
      </c>
      <c r="AF1030">
        <v>16</v>
      </c>
      <c r="AG1030">
        <v>2</v>
      </c>
      <c r="AH1030">
        <v>1</v>
      </c>
      <c r="AI1030">
        <v>70.56999999999999</v>
      </c>
      <c r="AL1030" t="s">
        <v>12460</v>
      </c>
      <c r="AM1030">
        <v>14664</v>
      </c>
      <c r="AN1030" t="s">
        <v>12588</v>
      </c>
      <c r="AS1030">
        <v>0.6</v>
      </c>
      <c r="AT1030" t="s">
        <v>451</v>
      </c>
      <c r="AU1030" t="s">
        <v>13106</v>
      </c>
    </row>
    <row r="1031" spans="1:48">
      <c r="A1031" s="1">
        <f>HYPERLINK("https://cms.ls-nyc.org/matter/dynamic-profile/view/1890201","19-1890201")</f>
        <v>0</v>
      </c>
      <c r="B1031" t="s">
        <v>112</v>
      </c>
      <c r="C1031" t="s">
        <v>477</v>
      </c>
      <c r="D1031" t="s">
        <v>235</v>
      </c>
      <c r="E1031" t="s">
        <v>1201</v>
      </c>
      <c r="F1031" t="s">
        <v>2285</v>
      </c>
      <c r="G1031" t="s">
        <v>4321</v>
      </c>
      <c r="H1031" t="s">
        <v>5510</v>
      </c>
      <c r="I1031" t="s">
        <v>6047</v>
      </c>
      <c r="J1031">
        <v>10473</v>
      </c>
      <c r="K1031" t="s">
        <v>6074</v>
      </c>
      <c r="L1031" t="s">
        <v>6074</v>
      </c>
      <c r="M1031" t="s">
        <v>6568</v>
      </c>
      <c r="N1031" t="s">
        <v>7276</v>
      </c>
      <c r="O1031" t="s">
        <v>7308</v>
      </c>
      <c r="P1031" t="s">
        <v>7316</v>
      </c>
      <c r="Q1031" t="s">
        <v>7322</v>
      </c>
      <c r="R1031" t="s">
        <v>6076</v>
      </c>
      <c r="S1031" t="s">
        <v>7324</v>
      </c>
      <c r="U1031" t="s">
        <v>477</v>
      </c>
      <c r="V1031">
        <v>2220.4</v>
      </c>
      <c r="W1031" t="s">
        <v>7363</v>
      </c>
      <c r="Y1031" t="s">
        <v>7388</v>
      </c>
      <c r="Z1031" t="s">
        <v>8205</v>
      </c>
      <c r="AA1031" t="s">
        <v>10093</v>
      </c>
      <c r="AB1031" t="s">
        <v>10983</v>
      </c>
      <c r="AC1031">
        <v>0</v>
      </c>
      <c r="AD1031" t="s">
        <v>12419</v>
      </c>
      <c r="AE1031" t="s">
        <v>6110</v>
      </c>
      <c r="AF1031">
        <v>3</v>
      </c>
      <c r="AG1031">
        <v>2</v>
      </c>
      <c r="AH1031">
        <v>3</v>
      </c>
      <c r="AI1031">
        <v>70.63</v>
      </c>
      <c r="AL1031" t="s">
        <v>12460</v>
      </c>
      <c r="AM1031">
        <v>21308</v>
      </c>
      <c r="AS1031">
        <v>14.5</v>
      </c>
      <c r="AT1031" t="s">
        <v>330</v>
      </c>
      <c r="AU1031" t="s">
        <v>13116</v>
      </c>
    </row>
    <row r="1032" spans="1:48">
      <c r="A1032" s="1">
        <f>HYPERLINK("https://cms.ls-nyc.org/matter/dynamic-profile/view/1882257","18-1882257")</f>
        <v>0</v>
      </c>
      <c r="B1032" t="s">
        <v>81</v>
      </c>
      <c r="C1032" t="s">
        <v>305</v>
      </c>
      <c r="E1032" t="s">
        <v>1202</v>
      </c>
      <c r="F1032" t="s">
        <v>2653</v>
      </c>
      <c r="G1032" t="s">
        <v>4247</v>
      </c>
      <c r="H1032" t="s">
        <v>5388</v>
      </c>
      <c r="I1032" t="s">
        <v>6043</v>
      </c>
      <c r="J1032">
        <v>11220</v>
      </c>
      <c r="K1032" t="s">
        <v>6074</v>
      </c>
      <c r="L1032" t="s">
        <v>6074</v>
      </c>
      <c r="N1032" t="s">
        <v>7279</v>
      </c>
      <c r="O1032" t="s">
        <v>7311</v>
      </c>
      <c r="Q1032" t="s">
        <v>7322</v>
      </c>
      <c r="R1032" t="s">
        <v>6074</v>
      </c>
      <c r="S1032" t="s">
        <v>7335</v>
      </c>
      <c r="U1032" t="s">
        <v>305</v>
      </c>
      <c r="V1032">
        <v>0</v>
      </c>
      <c r="W1032" t="s">
        <v>7362</v>
      </c>
      <c r="Z1032" t="s">
        <v>8206</v>
      </c>
      <c r="AB1032" t="s">
        <v>10984</v>
      </c>
      <c r="AC1032">
        <v>28</v>
      </c>
      <c r="AF1032">
        <v>0</v>
      </c>
      <c r="AG1032">
        <v>2</v>
      </c>
      <c r="AH1032">
        <v>4</v>
      </c>
      <c r="AI1032">
        <v>70.67</v>
      </c>
      <c r="AL1032" t="s">
        <v>12461</v>
      </c>
      <c r="AM1032">
        <v>23844</v>
      </c>
      <c r="AS1032">
        <v>0.8</v>
      </c>
      <c r="AT1032" t="s">
        <v>442</v>
      </c>
      <c r="AU1032" t="s">
        <v>13129</v>
      </c>
    </row>
    <row r="1033" spans="1:48">
      <c r="A1033" s="1">
        <f>HYPERLINK("https://cms.ls-nyc.org/matter/dynamic-profile/view/1863494","18-1863494")</f>
        <v>0</v>
      </c>
      <c r="B1033" t="s">
        <v>82</v>
      </c>
      <c r="C1033" t="s">
        <v>308</v>
      </c>
      <c r="E1033" t="s">
        <v>1203</v>
      </c>
      <c r="F1033" t="s">
        <v>2654</v>
      </c>
      <c r="G1033" t="s">
        <v>3728</v>
      </c>
      <c r="H1033" t="s">
        <v>5631</v>
      </c>
      <c r="I1033" t="s">
        <v>6043</v>
      </c>
      <c r="J1033">
        <v>11226</v>
      </c>
      <c r="K1033" t="s">
        <v>6074</v>
      </c>
      <c r="L1033" t="s">
        <v>6074</v>
      </c>
      <c r="N1033" t="s">
        <v>7278</v>
      </c>
      <c r="O1033" t="s">
        <v>7309</v>
      </c>
      <c r="Q1033" t="s">
        <v>7322</v>
      </c>
      <c r="R1033" t="s">
        <v>6074</v>
      </c>
      <c r="S1033" t="s">
        <v>7324</v>
      </c>
      <c r="U1033" t="s">
        <v>333</v>
      </c>
      <c r="V1033">
        <v>1500</v>
      </c>
      <c r="W1033" t="s">
        <v>7362</v>
      </c>
      <c r="X1033" t="s">
        <v>7368</v>
      </c>
      <c r="Z1033" t="s">
        <v>8207</v>
      </c>
      <c r="AB1033" t="s">
        <v>10985</v>
      </c>
      <c r="AC1033">
        <v>65</v>
      </c>
      <c r="AE1033" t="s">
        <v>12434</v>
      </c>
      <c r="AF1033">
        <v>31</v>
      </c>
      <c r="AG1033">
        <v>1</v>
      </c>
      <c r="AH1033">
        <v>0</v>
      </c>
      <c r="AI1033">
        <v>70.68000000000001</v>
      </c>
      <c r="AL1033" t="s">
        <v>12460</v>
      </c>
      <c r="AM1033">
        <v>8580</v>
      </c>
      <c r="AS1033">
        <v>1.5</v>
      </c>
      <c r="AT1033" t="s">
        <v>350</v>
      </c>
      <c r="AU1033" t="s">
        <v>13087</v>
      </c>
    </row>
    <row r="1034" spans="1:48">
      <c r="A1034" s="1">
        <f>HYPERLINK("https://cms.ls-nyc.org/matter/dynamic-profile/view/1894468","19-1894468")</f>
        <v>0</v>
      </c>
      <c r="B1034" t="s">
        <v>96</v>
      </c>
      <c r="C1034" t="s">
        <v>386</v>
      </c>
      <c r="E1034" t="s">
        <v>1204</v>
      </c>
      <c r="F1034" t="s">
        <v>2239</v>
      </c>
      <c r="G1034" t="s">
        <v>3792</v>
      </c>
      <c r="H1034" t="s">
        <v>5632</v>
      </c>
      <c r="I1034" t="s">
        <v>6047</v>
      </c>
      <c r="J1034">
        <v>10453</v>
      </c>
      <c r="K1034" t="s">
        <v>6074</v>
      </c>
      <c r="L1034" t="s">
        <v>6074</v>
      </c>
      <c r="M1034" t="s">
        <v>6259</v>
      </c>
      <c r="N1034" t="s">
        <v>7273</v>
      </c>
      <c r="O1034" t="s">
        <v>7308</v>
      </c>
      <c r="Q1034" t="s">
        <v>7322</v>
      </c>
      <c r="R1034" t="s">
        <v>6074</v>
      </c>
      <c r="S1034" t="s">
        <v>7324</v>
      </c>
      <c r="U1034" t="s">
        <v>457</v>
      </c>
      <c r="V1034">
        <v>1049.5</v>
      </c>
      <c r="W1034" t="s">
        <v>7363</v>
      </c>
      <c r="X1034" t="s">
        <v>7375</v>
      </c>
      <c r="Z1034" t="s">
        <v>8208</v>
      </c>
      <c r="AB1034" t="s">
        <v>10986</v>
      </c>
      <c r="AC1034">
        <v>170</v>
      </c>
      <c r="AD1034" t="s">
        <v>12425</v>
      </c>
      <c r="AF1034">
        <v>3</v>
      </c>
      <c r="AG1034">
        <v>2</v>
      </c>
      <c r="AH1034">
        <v>2</v>
      </c>
      <c r="AI1034">
        <v>70.68000000000001</v>
      </c>
      <c r="AL1034" t="s">
        <v>12461</v>
      </c>
      <c r="AM1034">
        <v>18200</v>
      </c>
      <c r="AS1034">
        <v>0</v>
      </c>
      <c r="AU1034" t="s">
        <v>13093</v>
      </c>
    </row>
    <row r="1035" spans="1:48">
      <c r="A1035" s="1">
        <f>HYPERLINK("https://cms.ls-nyc.org/matter/dynamic-profile/view/1896217","19-1896217")</f>
        <v>0</v>
      </c>
      <c r="B1035" t="s">
        <v>120</v>
      </c>
      <c r="C1035" t="s">
        <v>417</v>
      </c>
      <c r="E1035" t="s">
        <v>1064</v>
      </c>
      <c r="F1035" t="s">
        <v>2655</v>
      </c>
      <c r="G1035" t="s">
        <v>4322</v>
      </c>
      <c r="H1035" t="s">
        <v>5633</v>
      </c>
      <c r="I1035" t="s">
        <v>6048</v>
      </c>
      <c r="J1035">
        <v>10301</v>
      </c>
      <c r="K1035" t="s">
        <v>6074</v>
      </c>
      <c r="L1035" t="s">
        <v>6074</v>
      </c>
      <c r="N1035" t="s">
        <v>6104</v>
      </c>
      <c r="O1035" t="s">
        <v>7309</v>
      </c>
      <c r="Q1035" t="s">
        <v>7323</v>
      </c>
      <c r="R1035" t="s">
        <v>6076</v>
      </c>
      <c r="S1035" t="s">
        <v>7324</v>
      </c>
      <c r="U1035" t="s">
        <v>417</v>
      </c>
      <c r="V1035">
        <v>2086</v>
      </c>
      <c r="W1035" t="s">
        <v>7364</v>
      </c>
      <c r="X1035" t="s">
        <v>7374</v>
      </c>
      <c r="Z1035" t="s">
        <v>8209</v>
      </c>
      <c r="AB1035" t="s">
        <v>10987</v>
      </c>
      <c r="AC1035">
        <v>454</v>
      </c>
      <c r="AD1035" t="s">
        <v>12422</v>
      </c>
      <c r="AE1035" t="s">
        <v>6110</v>
      </c>
      <c r="AF1035">
        <v>-1</v>
      </c>
      <c r="AG1035">
        <v>2</v>
      </c>
      <c r="AH1035">
        <v>2</v>
      </c>
      <c r="AI1035">
        <v>70.68000000000001</v>
      </c>
      <c r="AJ1035" t="s">
        <v>12443</v>
      </c>
      <c r="AL1035" t="s">
        <v>12460</v>
      </c>
      <c r="AM1035">
        <v>18200</v>
      </c>
      <c r="AS1035">
        <v>2</v>
      </c>
      <c r="AT1035" t="s">
        <v>460</v>
      </c>
      <c r="AU1035" t="s">
        <v>13101</v>
      </c>
    </row>
    <row r="1036" spans="1:48">
      <c r="A1036" s="1">
        <f>HYPERLINK("https://cms.ls-nyc.org/matter/dynamic-profile/view/1881254","18-1881254")</f>
        <v>0</v>
      </c>
      <c r="B1036" t="s">
        <v>126</v>
      </c>
      <c r="C1036" t="s">
        <v>240</v>
      </c>
      <c r="E1036" t="s">
        <v>1205</v>
      </c>
      <c r="F1036" t="s">
        <v>2287</v>
      </c>
      <c r="G1036" t="s">
        <v>4323</v>
      </c>
      <c r="H1036">
        <v>61</v>
      </c>
      <c r="I1036" t="s">
        <v>6049</v>
      </c>
      <c r="J1036">
        <v>10039</v>
      </c>
      <c r="K1036" t="s">
        <v>6074</v>
      </c>
      <c r="L1036" t="s">
        <v>6074</v>
      </c>
      <c r="M1036" t="s">
        <v>6569</v>
      </c>
      <c r="N1036" t="s">
        <v>7273</v>
      </c>
      <c r="O1036" t="s">
        <v>7308</v>
      </c>
      <c r="Q1036" t="s">
        <v>7322</v>
      </c>
      <c r="R1036" t="s">
        <v>6074</v>
      </c>
      <c r="S1036" t="s">
        <v>7324</v>
      </c>
      <c r="T1036" t="s">
        <v>7336</v>
      </c>
      <c r="U1036" t="s">
        <v>256</v>
      </c>
      <c r="V1036">
        <v>837.89</v>
      </c>
      <c r="W1036" t="s">
        <v>7365</v>
      </c>
      <c r="X1036" t="s">
        <v>7367</v>
      </c>
      <c r="Z1036" t="s">
        <v>8210</v>
      </c>
      <c r="AB1036" t="s">
        <v>10988</v>
      </c>
      <c r="AC1036">
        <v>24</v>
      </c>
      <c r="AD1036" t="s">
        <v>12422</v>
      </c>
      <c r="AE1036" t="s">
        <v>12441</v>
      </c>
      <c r="AF1036">
        <v>35</v>
      </c>
      <c r="AG1036">
        <v>1</v>
      </c>
      <c r="AH1036">
        <v>0</v>
      </c>
      <c r="AI1036">
        <v>70.68000000000001</v>
      </c>
      <c r="AL1036" t="s">
        <v>12460</v>
      </c>
      <c r="AM1036">
        <v>8580</v>
      </c>
      <c r="AS1036">
        <v>0.75</v>
      </c>
      <c r="AT1036" t="s">
        <v>350</v>
      </c>
      <c r="AU1036" t="s">
        <v>13107</v>
      </c>
    </row>
    <row r="1037" spans="1:48">
      <c r="A1037" s="1">
        <f>HYPERLINK("https://cms.ls-nyc.org/matter/dynamic-profile/view/1885367","18-1885367")</f>
        <v>0</v>
      </c>
      <c r="B1037" t="s">
        <v>115</v>
      </c>
      <c r="C1037" t="s">
        <v>250</v>
      </c>
      <c r="E1037" t="s">
        <v>1206</v>
      </c>
      <c r="F1037" t="s">
        <v>2193</v>
      </c>
      <c r="G1037" t="s">
        <v>4132</v>
      </c>
      <c r="H1037" t="s">
        <v>5447</v>
      </c>
      <c r="I1037" t="s">
        <v>6047</v>
      </c>
      <c r="J1037">
        <v>10463</v>
      </c>
      <c r="K1037" t="s">
        <v>6074</v>
      </c>
      <c r="L1037" t="s">
        <v>6074</v>
      </c>
      <c r="M1037" t="s">
        <v>6566</v>
      </c>
      <c r="N1037" t="s">
        <v>7273</v>
      </c>
      <c r="O1037" t="s">
        <v>7308</v>
      </c>
      <c r="Q1037" t="s">
        <v>7322</v>
      </c>
      <c r="R1037" t="s">
        <v>6074</v>
      </c>
      <c r="S1037" t="s">
        <v>7324</v>
      </c>
      <c r="U1037" t="s">
        <v>472</v>
      </c>
      <c r="V1037">
        <v>1530</v>
      </c>
      <c r="W1037" t="s">
        <v>7363</v>
      </c>
      <c r="X1037" t="s">
        <v>7376</v>
      </c>
      <c r="Z1037" t="s">
        <v>8211</v>
      </c>
      <c r="AA1037" t="s">
        <v>10094</v>
      </c>
      <c r="AC1037">
        <v>55</v>
      </c>
      <c r="AD1037" t="s">
        <v>12422</v>
      </c>
      <c r="AE1037" t="s">
        <v>7305</v>
      </c>
      <c r="AF1037">
        <v>3</v>
      </c>
      <c r="AG1037">
        <v>1</v>
      </c>
      <c r="AH1037">
        <v>3</v>
      </c>
      <c r="AI1037">
        <v>70.84999999999999</v>
      </c>
      <c r="AL1037" t="s">
        <v>12461</v>
      </c>
      <c r="AM1037">
        <v>17784</v>
      </c>
      <c r="AS1037">
        <v>0</v>
      </c>
      <c r="AU1037" t="s">
        <v>13099</v>
      </c>
    </row>
    <row r="1038" spans="1:48">
      <c r="A1038" s="1">
        <f>HYPERLINK("https://cms.ls-nyc.org/matter/dynamic-profile/view/1898732","19-1898732")</f>
        <v>0</v>
      </c>
      <c r="B1038" t="s">
        <v>72</v>
      </c>
      <c r="C1038" t="s">
        <v>309</v>
      </c>
      <c r="E1038" t="s">
        <v>1207</v>
      </c>
      <c r="F1038" t="s">
        <v>2656</v>
      </c>
      <c r="G1038" t="s">
        <v>4324</v>
      </c>
      <c r="H1038" t="s">
        <v>5634</v>
      </c>
      <c r="I1038" t="s">
        <v>6043</v>
      </c>
      <c r="J1038">
        <v>11233</v>
      </c>
      <c r="K1038" t="s">
        <v>6074</v>
      </c>
      <c r="L1038" t="s">
        <v>6076</v>
      </c>
      <c r="N1038" t="s">
        <v>7279</v>
      </c>
      <c r="O1038" t="s">
        <v>7311</v>
      </c>
      <c r="Q1038" t="s">
        <v>7322</v>
      </c>
      <c r="R1038" t="s">
        <v>6074</v>
      </c>
      <c r="S1038" t="s">
        <v>7324</v>
      </c>
      <c r="T1038" t="s">
        <v>7336</v>
      </c>
      <c r="U1038" t="s">
        <v>330</v>
      </c>
      <c r="V1038">
        <v>615</v>
      </c>
      <c r="W1038" t="s">
        <v>7362</v>
      </c>
      <c r="X1038" t="s">
        <v>7305</v>
      </c>
      <c r="Z1038" t="s">
        <v>8212</v>
      </c>
      <c r="AC1038">
        <v>359</v>
      </c>
      <c r="AD1038" t="s">
        <v>12422</v>
      </c>
      <c r="AF1038">
        <v>10</v>
      </c>
      <c r="AG1038">
        <v>1</v>
      </c>
      <c r="AH1038">
        <v>1</v>
      </c>
      <c r="AI1038">
        <v>70.95999999999999</v>
      </c>
      <c r="AL1038" t="s">
        <v>12460</v>
      </c>
      <c r="AM1038">
        <v>12000</v>
      </c>
      <c r="AN1038" t="s">
        <v>12488</v>
      </c>
      <c r="AS1038">
        <v>0</v>
      </c>
      <c r="AU1038" t="s">
        <v>180</v>
      </c>
    </row>
    <row r="1039" spans="1:48">
      <c r="A1039" s="1">
        <f>HYPERLINK("https://cms.ls-nyc.org/matter/dynamic-profile/view/1898821","19-1898821")</f>
        <v>0</v>
      </c>
      <c r="B1039" t="s">
        <v>72</v>
      </c>
      <c r="C1039" t="s">
        <v>294</v>
      </c>
      <c r="E1039" t="s">
        <v>1207</v>
      </c>
      <c r="F1039" t="s">
        <v>2656</v>
      </c>
      <c r="G1039" t="s">
        <v>4324</v>
      </c>
      <c r="H1039" t="s">
        <v>5634</v>
      </c>
      <c r="I1039" t="s">
        <v>6043</v>
      </c>
      <c r="J1039">
        <v>11233</v>
      </c>
      <c r="K1039" t="s">
        <v>6074</v>
      </c>
      <c r="L1039" t="s">
        <v>6076</v>
      </c>
      <c r="N1039" t="s">
        <v>7275</v>
      </c>
      <c r="O1039" t="s">
        <v>7307</v>
      </c>
      <c r="Q1039" t="s">
        <v>7322</v>
      </c>
      <c r="R1039" t="s">
        <v>6074</v>
      </c>
      <c r="S1039" t="s">
        <v>7324</v>
      </c>
      <c r="T1039" t="s">
        <v>7336</v>
      </c>
      <c r="U1039" t="s">
        <v>287</v>
      </c>
      <c r="V1039">
        <v>615</v>
      </c>
      <c r="W1039" t="s">
        <v>7362</v>
      </c>
      <c r="X1039" t="s">
        <v>7305</v>
      </c>
      <c r="Z1039" t="s">
        <v>8212</v>
      </c>
      <c r="AC1039">
        <v>359</v>
      </c>
      <c r="AD1039" t="s">
        <v>12422</v>
      </c>
      <c r="AF1039">
        <v>10</v>
      </c>
      <c r="AG1039">
        <v>1</v>
      </c>
      <c r="AH1039">
        <v>1</v>
      </c>
      <c r="AI1039">
        <v>70.95999999999999</v>
      </c>
      <c r="AL1039" t="s">
        <v>12460</v>
      </c>
      <c r="AM1039">
        <v>12000</v>
      </c>
      <c r="AN1039" t="s">
        <v>12589</v>
      </c>
      <c r="AS1039">
        <v>0</v>
      </c>
      <c r="AU1039" t="s">
        <v>180</v>
      </c>
    </row>
    <row r="1040" spans="1:48">
      <c r="A1040" s="1">
        <f>HYPERLINK("https://cms.ls-nyc.org/matter/dynamic-profile/view/1900716","19-1900716")</f>
        <v>0</v>
      </c>
      <c r="B1040" t="s">
        <v>125</v>
      </c>
      <c r="C1040" t="s">
        <v>381</v>
      </c>
      <c r="E1040" t="s">
        <v>1208</v>
      </c>
      <c r="F1040" t="s">
        <v>2657</v>
      </c>
      <c r="G1040" t="s">
        <v>4325</v>
      </c>
      <c r="H1040">
        <v>27</v>
      </c>
      <c r="I1040" t="s">
        <v>6049</v>
      </c>
      <c r="J1040">
        <v>10033</v>
      </c>
      <c r="K1040" t="s">
        <v>6074</v>
      </c>
      <c r="L1040" t="s">
        <v>6075</v>
      </c>
      <c r="O1040" t="s">
        <v>7306</v>
      </c>
      <c r="Q1040" t="s">
        <v>7322</v>
      </c>
      <c r="R1040" t="s">
        <v>6076</v>
      </c>
      <c r="S1040" t="s">
        <v>7324</v>
      </c>
      <c r="U1040" t="s">
        <v>381</v>
      </c>
      <c r="V1040">
        <v>2176.5</v>
      </c>
      <c r="W1040" t="s">
        <v>7365</v>
      </c>
      <c r="X1040" t="s">
        <v>7367</v>
      </c>
      <c r="Z1040" t="s">
        <v>8213</v>
      </c>
      <c r="AB1040" t="s">
        <v>10989</v>
      </c>
      <c r="AC1040">
        <v>40</v>
      </c>
      <c r="AD1040" t="s">
        <v>12422</v>
      </c>
      <c r="AE1040" t="s">
        <v>12441</v>
      </c>
      <c r="AF1040">
        <v>18</v>
      </c>
      <c r="AG1040">
        <v>2</v>
      </c>
      <c r="AH1040">
        <v>0</v>
      </c>
      <c r="AI1040">
        <v>70.95999999999999</v>
      </c>
      <c r="AL1040" t="s">
        <v>12461</v>
      </c>
      <c r="AM1040">
        <v>12000</v>
      </c>
      <c r="AS1040">
        <v>1.2</v>
      </c>
      <c r="AT1040" t="s">
        <v>381</v>
      </c>
      <c r="AU1040" t="s">
        <v>13106</v>
      </c>
      <c r="AV1040" t="s">
        <v>13145</v>
      </c>
    </row>
    <row r="1041" spans="1:47">
      <c r="A1041" s="1">
        <f>HYPERLINK("https://cms.ls-nyc.org/matter/dynamic-profile/view/1891305","19-1891305")</f>
        <v>0</v>
      </c>
      <c r="B1041" t="s">
        <v>96</v>
      </c>
      <c r="C1041" t="s">
        <v>366</v>
      </c>
      <c r="E1041" t="s">
        <v>1209</v>
      </c>
      <c r="F1041" t="s">
        <v>2410</v>
      </c>
      <c r="G1041" t="s">
        <v>3792</v>
      </c>
      <c r="H1041" t="s">
        <v>5417</v>
      </c>
      <c r="I1041" t="s">
        <v>6047</v>
      </c>
      <c r="J1041">
        <v>10453</v>
      </c>
      <c r="K1041" t="s">
        <v>6074</v>
      </c>
      <c r="L1041" t="s">
        <v>6074</v>
      </c>
      <c r="N1041" t="s">
        <v>7279</v>
      </c>
      <c r="O1041" t="s">
        <v>7311</v>
      </c>
      <c r="Q1041" t="s">
        <v>7322</v>
      </c>
      <c r="R1041" t="s">
        <v>6074</v>
      </c>
      <c r="S1041" t="s">
        <v>7324</v>
      </c>
      <c r="U1041" t="s">
        <v>457</v>
      </c>
      <c r="V1041">
        <v>868</v>
      </c>
      <c r="W1041" t="s">
        <v>7363</v>
      </c>
      <c r="X1041" t="s">
        <v>7376</v>
      </c>
      <c r="Z1041" t="s">
        <v>8214</v>
      </c>
      <c r="AB1041" t="s">
        <v>10990</v>
      </c>
      <c r="AC1041">
        <v>170</v>
      </c>
      <c r="AD1041" t="s">
        <v>12422</v>
      </c>
      <c r="AE1041" t="s">
        <v>12437</v>
      </c>
      <c r="AF1041">
        <v>8</v>
      </c>
      <c r="AG1041">
        <v>1</v>
      </c>
      <c r="AH1041">
        <v>0</v>
      </c>
      <c r="AI1041">
        <v>71.09999999999999</v>
      </c>
      <c r="AL1041" t="s">
        <v>12461</v>
      </c>
      <c r="AM1041">
        <v>8880</v>
      </c>
      <c r="AS1041">
        <v>0</v>
      </c>
      <c r="AU1041" t="s">
        <v>13095</v>
      </c>
    </row>
    <row r="1042" spans="1:47">
      <c r="A1042" s="1">
        <f>HYPERLINK("https://cms.ls-nyc.org/matter/dynamic-profile/view/1891302","19-1891302")</f>
        <v>0</v>
      </c>
      <c r="B1042" t="s">
        <v>96</v>
      </c>
      <c r="C1042" t="s">
        <v>366</v>
      </c>
      <c r="E1042" t="s">
        <v>1209</v>
      </c>
      <c r="F1042" t="s">
        <v>2410</v>
      </c>
      <c r="G1042" t="s">
        <v>3792</v>
      </c>
      <c r="H1042" t="s">
        <v>5417</v>
      </c>
      <c r="I1042" t="s">
        <v>6047</v>
      </c>
      <c r="J1042">
        <v>10453</v>
      </c>
      <c r="K1042" t="s">
        <v>6074</v>
      </c>
      <c r="L1042" t="s">
        <v>6074</v>
      </c>
      <c r="M1042" t="s">
        <v>6259</v>
      </c>
      <c r="N1042" t="s">
        <v>7273</v>
      </c>
      <c r="O1042" t="s">
        <v>7308</v>
      </c>
      <c r="Q1042" t="s">
        <v>7322</v>
      </c>
      <c r="R1042" t="s">
        <v>6074</v>
      </c>
      <c r="S1042" t="s">
        <v>7324</v>
      </c>
      <c r="U1042" t="s">
        <v>457</v>
      </c>
      <c r="V1042">
        <v>868</v>
      </c>
      <c r="W1042" t="s">
        <v>7363</v>
      </c>
      <c r="X1042" t="s">
        <v>7376</v>
      </c>
      <c r="Z1042" t="s">
        <v>8214</v>
      </c>
      <c r="AB1042" t="s">
        <v>10990</v>
      </c>
      <c r="AC1042">
        <v>170</v>
      </c>
      <c r="AD1042" t="s">
        <v>12422</v>
      </c>
      <c r="AE1042" t="s">
        <v>12437</v>
      </c>
      <c r="AF1042">
        <v>8</v>
      </c>
      <c r="AG1042">
        <v>1</v>
      </c>
      <c r="AH1042">
        <v>0</v>
      </c>
      <c r="AI1042">
        <v>71.09999999999999</v>
      </c>
      <c r="AL1042" t="s">
        <v>12461</v>
      </c>
      <c r="AM1042">
        <v>8880</v>
      </c>
      <c r="AS1042">
        <v>0</v>
      </c>
      <c r="AU1042" t="s">
        <v>13095</v>
      </c>
    </row>
    <row r="1043" spans="1:47">
      <c r="A1043" s="1">
        <f>HYPERLINK("https://cms.ls-nyc.org/matter/dynamic-profile/view/1875590","18-1875590")</f>
        <v>0</v>
      </c>
      <c r="B1043" t="s">
        <v>67</v>
      </c>
      <c r="C1043" t="s">
        <v>233</v>
      </c>
      <c r="D1043" t="s">
        <v>351</v>
      </c>
      <c r="E1043" t="s">
        <v>1210</v>
      </c>
      <c r="F1043" t="s">
        <v>1370</v>
      </c>
      <c r="G1043" t="s">
        <v>4326</v>
      </c>
      <c r="I1043" t="s">
        <v>6025</v>
      </c>
      <c r="J1043">
        <v>11691</v>
      </c>
      <c r="K1043" t="s">
        <v>6074</v>
      </c>
      <c r="L1043" t="s">
        <v>6074</v>
      </c>
      <c r="M1043" t="s">
        <v>6570</v>
      </c>
      <c r="N1043" t="s">
        <v>7293</v>
      </c>
      <c r="O1043" t="s">
        <v>7312</v>
      </c>
      <c r="P1043" t="s">
        <v>7316</v>
      </c>
      <c r="Q1043" t="s">
        <v>7322</v>
      </c>
      <c r="R1043" t="s">
        <v>6076</v>
      </c>
      <c r="S1043" t="s">
        <v>7324</v>
      </c>
      <c r="T1043" t="s">
        <v>7336</v>
      </c>
      <c r="U1043" t="s">
        <v>233</v>
      </c>
      <c r="V1043">
        <v>1184</v>
      </c>
      <c r="W1043" t="s">
        <v>7361</v>
      </c>
      <c r="X1043" t="s">
        <v>7368</v>
      </c>
      <c r="Y1043" t="s">
        <v>7402</v>
      </c>
      <c r="Z1043" t="s">
        <v>8215</v>
      </c>
      <c r="AA1043" t="s">
        <v>10095</v>
      </c>
      <c r="AB1043" t="s">
        <v>10991</v>
      </c>
      <c r="AC1043">
        <v>284</v>
      </c>
      <c r="AD1043" t="s">
        <v>12420</v>
      </c>
      <c r="AE1043" t="s">
        <v>12434</v>
      </c>
      <c r="AF1043">
        <v>2</v>
      </c>
      <c r="AG1043">
        <v>1</v>
      </c>
      <c r="AH1043">
        <v>2</v>
      </c>
      <c r="AI1043">
        <v>71.2</v>
      </c>
      <c r="AL1043" t="s">
        <v>12460</v>
      </c>
      <c r="AM1043">
        <v>14796</v>
      </c>
      <c r="AO1043" t="s">
        <v>12856</v>
      </c>
      <c r="AP1043" t="s">
        <v>7305</v>
      </c>
      <c r="AQ1043" t="s">
        <v>12909</v>
      </c>
      <c r="AR1043" t="s">
        <v>12920</v>
      </c>
      <c r="AS1043">
        <v>59.8</v>
      </c>
      <c r="AT1043" t="s">
        <v>351</v>
      </c>
      <c r="AU1043" t="s">
        <v>189</v>
      </c>
    </row>
    <row r="1044" spans="1:47">
      <c r="A1044" s="1">
        <f>HYPERLINK("https://cms.ls-nyc.org/matter/dynamic-profile/view/1875631","18-1875631")</f>
        <v>0</v>
      </c>
      <c r="B1044" t="s">
        <v>132</v>
      </c>
      <c r="C1044" t="s">
        <v>233</v>
      </c>
      <c r="E1044" t="s">
        <v>1211</v>
      </c>
      <c r="F1044" t="s">
        <v>2285</v>
      </c>
      <c r="G1044" t="s">
        <v>4327</v>
      </c>
      <c r="H1044">
        <v>49</v>
      </c>
      <c r="I1044" t="s">
        <v>6049</v>
      </c>
      <c r="J1044">
        <v>10033</v>
      </c>
      <c r="K1044" t="s">
        <v>6074</v>
      </c>
      <c r="L1044" t="s">
        <v>6074</v>
      </c>
      <c r="N1044" t="s">
        <v>7276</v>
      </c>
      <c r="O1044" t="s">
        <v>7309</v>
      </c>
      <c r="Q1044" t="s">
        <v>7322</v>
      </c>
      <c r="R1044" t="s">
        <v>6076</v>
      </c>
      <c r="S1044" t="s">
        <v>7324</v>
      </c>
      <c r="U1044" t="s">
        <v>233</v>
      </c>
      <c r="V1044">
        <v>1756.71</v>
      </c>
      <c r="W1044" t="s">
        <v>7365</v>
      </c>
      <c r="X1044" t="s">
        <v>7367</v>
      </c>
      <c r="Z1044" t="s">
        <v>8216</v>
      </c>
      <c r="AB1044" t="s">
        <v>10992</v>
      </c>
      <c r="AC1044">
        <v>50</v>
      </c>
      <c r="AD1044" t="s">
        <v>12422</v>
      </c>
      <c r="AE1044" t="s">
        <v>12434</v>
      </c>
      <c r="AF1044">
        <v>25</v>
      </c>
      <c r="AG1044">
        <v>2</v>
      </c>
      <c r="AH1044">
        <v>0</v>
      </c>
      <c r="AI1044">
        <v>71.23</v>
      </c>
      <c r="AL1044" t="s">
        <v>12460</v>
      </c>
      <c r="AM1044">
        <v>11724</v>
      </c>
      <c r="AS1044">
        <v>4</v>
      </c>
      <c r="AT1044" t="s">
        <v>434</v>
      </c>
      <c r="AU1044" t="s">
        <v>13106</v>
      </c>
    </row>
    <row r="1045" spans="1:47">
      <c r="A1045" s="1">
        <f>HYPERLINK("https://cms.ls-nyc.org/matter/dynamic-profile/view/1880714","18-1880714")</f>
        <v>0</v>
      </c>
      <c r="B1045" t="s">
        <v>175</v>
      </c>
      <c r="C1045" t="s">
        <v>256</v>
      </c>
      <c r="D1045" t="s">
        <v>345</v>
      </c>
      <c r="E1045" t="s">
        <v>1211</v>
      </c>
      <c r="F1045" t="s">
        <v>2285</v>
      </c>
      <c r="G1045" t="s">
        <v>4327</v>
      </c>
      <c r="H1045">
        <v>49</v>
      </c>
      <c r="I1045" t="s">
        <v>6049</v>
      </c>
      <c r="J1045">
        <v>10033</v>
      </c>
      <c r="K1045" t="s">
        <v>6074</v>
      </c>
      <c r="L1045" t="s">
        <v>6074</v>
      </c>
      <c r="N1045" t="s">
        <v>7288</v>
      </c>
      <c r="O1045" t="s">
        <v>7309</v>
      </c>
      <c r="P1045" t="s">
        <v>7315</v>
      </c>
      <c r="Q1045" t="s">
        <v>7322</v>
      </c>
      <c r="R1045" t="s">
        <v>6076</v>
      </c>
      <c r="S1045" t="s">
        <v>7324</v>
      </c>
      <c r="U1045" t="s">
        <v>256</v>
      </c>
      <c r="V1045">
        <v>1756.71</v>
      </c>
      <c r="W1045" t="s">
        <v>7365</v>
      </c>
      <c r="X1045" t="s">
        <v>7368</v>
      </c>
      <c r="Y1045" t="s">
        <v>7387</v>
      </c>
      <c r="Z1045" t="s">
        <v>8216</v>
      </c>
      <c r="AB1045" t="s">
        <v>10992</v>
      </c>
      <c r="AC1045">
        <v>50</v>
      </c>
      <c r="AD1045" t="s">
        <v>12422</v>
      </c>
      <c r="AE1045" t="s">
        <v>12434</v>
      </c>
      <c r="AF1045">
        <v>25</v>
      </c>
      <c r="AG1045">
        <v>2</v>
      </c>
      <c r="AH1045">
        <v>0</v>
      </c>
      <c r="AI1045">
        <v>71.23</v>
      </c>
      <c r="AL1045" t="s">
        <v>12460</v>
      </c>
      <c r="AM1045">
        <v>11724</v>
      </c>
      <c r="AS1045">
        <v>2</v>
      </c>
      <c r="AT1045" t="s">
        <v>345</v>
      </c>
      <c r="AU1045" t="s">
        <v>13106</v>
      </c>
    </row>
    <row r="1046" spans="1:47">
      <c r="A1046" s="1">
        <f>HYPERLINK("https://cms.ls-nyc.org/matter/dynamic-profile/view/1874137","18-1874137")</f>
        <v>0</v>
      </c>
      <c r="B1046" t="s">
        <v>103</v>
      </c>
      <c r="C1046" t="s">
        <v>384</v>
      </c>
      <c r="E1046" t="s">
        <v>1212</v>
      </c>
      <c r="F1046" t="s">
        <v>2239</v>
      </c>
      <c r="G1046" t="s">
        <v>4328</v>
      </c>
      <c r="H1046" t="s">
        <v>5504</v>
      </c>
      <c r="I1046" t="s">
        <v>6047</v>
      </c>
      <c r="J1046">
        <v>10460</v>
      </c>
      <c r="K1046" t="s">
        <v>6074</v>
      </c>
      <c r="L1046" t="s">
        <v>6074</v>
      </c>
      <c r="M1046" t="s">
        <v>6571</v>
      </c>
      <c r="N1046" t="s">
        <v>7276</v>
      </c>
      <c r="O1046" t="s">
        <v>7308</v>
      </c>
      <c r="Q1046" t="s">
        <v>7322</v>
      </c>
      <c r="R1046" t="s">
        <v>6076</v>
      </c>
      <c r="S1046" t="s">
        <v>7324</v>
      </c>
      <c r="U1046" t="s">
        <v>384</v>
      </c>
      <c r="V1046">
        <v>0</v>
      </c>
      <c r="W1046" t="s">
        <v>7363</v>
      </c>
      <c r="X1046" t="s">
        <v>7379</v>
      </c>
      <c r="Z1046" t="s">
        <v>8217</v>
      </c>
      <c r="AA1046" t="s">
        <v>10096</v>
      </c>
      <c r="AB1046" t="s">
        <v>10993</v>
      </c>
      <c r="AC1046">
        <v>200</v>
      </c>
      <c r="AE1046" t="s">
        <v>12434</v>
      </c>
      <c r="AF1046">
        <v>10</v>
      </c>
      <c r="AG1046">
        <v>3</v>
      </c>
      <c r="AH1046">
        <v>3</v>
      </c>
      <c r="AI1046">
        <v>71.28</v>
      </c>
      <c r="AL1046" t="s">
        <v>12460</v>
      </c>
      <c r="AM1046">
        <v>24050</v>
      </c>
      <c r="AS1046">
        <v>56</v>
      </c>
      <c r="AT1046" t="s">
        <v>280</v>
      </c>
      <c r="AU1046" t="s">
        <v>13099</v>
      </c>
    </row>
    <row r="1047" spans="1:47">
      <c r="A1047" s="1">
        <f>HYPERLINK("https://cms.ls-nyc.org/matter/dynamic-profile/view/1853765","17-1853765")</f>
        <v>0</v>
      </c>
      <c r="B1047" t="s">
        <v>167</v>
      </c>
      <c r="C1047" t="s">
        <v>482</v>
      </c>
      <c r="D1047" t="s">
        <v>325</v>
      </c>
      <c r="E1047" t="s">
        <v>767</v>
      </c>
      <c r="F1047" t="s">
        <v>2629</v>
      </c>
      <c r="G1047" t="s">
        <v>4329</v>
      </c>
      <c r="H1047" t="s">
        <v>5588</v>
      </c>
      <c r="I1047" t="s">
        <v>6047</v>
      </c>
      <c r="J1047">
        <v>10467</v>
      </c>
      <c r="K1047" t="s">
        <v>6074</v>
      </c>
      <c r="L1047" t="s">
        <v>6074</v>
      </c>
      <c r="M1047" t="s">
        <v>6572</v>
      </c>
      <c r="N1047" t="s">
        <v>7278</v>
      </c>
      <c r="O1047" t="s">
        <v>7309</v>
      </c>
      <c r="P1047" t="s">
        <v>7314</v>
      </c>
      <c r="Q1047" t="s">
        <v>7322</v>
      </c>
      <c r="R1047" t="s">
        <v>6076</v>
      </c>
      <c r="S1047" t="s">
        <v>7332</v>
      </c>
      <c r="U1047" t="s">
        <v>502</v>
      </c>
      <c r="V1047">
        <v>908.25</v>
      </c>
      <c r="W1047" t="s">
        <v>7363</v>
      </c>
      <c r="X1047" t="s">
        <v>7368</v>
      </c>
      <c r="Y1047" t="s">
        <v>7386</v>
      </c>
      <c r="Z1047" t="s">
        <v>8218</v>
      </c>
      <c r="AA1047" t="s">
        <v>10097</v>
      </c>
      <c r="AB1047" t="s">
        <v>10994</v>
      </c>
      <c r="AC1047">
        <v>49</v>
      </c>
      <c r="AD1047" t="s">
        <v>12422</v>
      </c>
      <c r="AE1047" t="s">
        <v>12434</v>
      </c>
      <c r="AF1047">
        <v>22</v>
      </c>
      <c r="AG1047">
        <v>2</v>
      </c>
      <c r="AH1047">
        <v>2</v>
      </c>
      <c r="AI1047">
        <v>71.5</v>
      </c>
      <c r="AL1047" t="s">
        <v>12461</v>
      </c>
      <c r="AM1047">
        <v>17589.36</v>
      </c>
      <c r="AS1047">
        <v>0.25</v>
      </c>
      <c r="AT1047" t="s">
        <v>13068</v>
      </c>
      <c r="AU1047" t="s">
        <v>13092</v>
      </c>
    </row>
    <row r="1048" spans="1:47">
      <c r="A1048" s="1">
        <f>HYPERLINK("https://cms.ls-nyc.org/matter/dynamic-profile/view/1885571","18-1885571")</f>
        <v>0</v>
      </c>
      <c r="B1048" t="s">
        <v>71</v>
      </c>
      <c r="C1048" t="s">
        <v>266</v>
      </c>
      <c r="E1048" t="s">
        <v>1193</v>
      </c>
      <c r="F1048" t="s">
        <v>2648</v>
      </c>
      <c r="G1048" t="s">
        <v>4315</v>
      </c>
      <c r="H1048" t="s">
        <v>5497</v>
      </c>
      <c r="I1048" t="s">
        <v>6043</v>
      </c>
      <c r="J1048">
        <v>11208</v>
      </c>
      <c r="K1048" t="s">
        <v>6074</v>
      </c>
      <c r="L1048" t="s">
        <v>6074</v>
      </c>
      <c r="M1048" t="s">
        <v>6562</v>
      </c>
      <c r="N1048" t="s">
        <v>7276</v>
      </c>
      <c r="O1048" t="s">
        <v>7308</v>
      </c>
      <c r="Q1048" t="s">
        <v>7322</v>
      </c>
      <c r="S1048" t="s">
        <v>7324</v>
      </c>
      <c r="U1048" t="s">
        <v>266</v>
      </c>
      <c r="V1048">
        <v>0</v>
      </c>
      <c r="W1048" t="s">
        <v>7362</v>
      </c>
      <c r="X1048" t="s">
        <v>7373</v>
      </c>
      <c r="Z1048" t="s">
        <v>8193</v>
      </c>
      <c r="AA1048" t="s">
        <v>10098</v>
      </c>
      <c r="AB1048" t="s">
        <v>10972</v>
      </c>
      <c r="AC1048">
        <v>3</v>
      </c>
      <c r="AF1048">
        <v>0</v>
      </c>
      <c r="AG1048">
        <v>3</v>
      </c>
      <c r="AH1048">
        <v>2</v>
      </c>
      <c r="AI1048">
        <v>71.53</v>
      </c>
      <c r="AL1048" t="s">
        <v>12460</v>
      </c>
      <c r="AM1048">
        <v>21044</v>
      </c>
      <c r="AS1048">
        <v>13</v>
      </c>
      <c r="AT1048" t="s">
        <v>268</v>
      </c>
      <c r="AU1048" t="s">
        <v>13084</v>
      </c>
    </row>
    <row r="1049" spans="1:47">
      <c r="A1049" s="1">
        <f>HYPERLINK("https://cms.ls-nyc.org/matter/dynamic-profile/view/1879474","18-1879474")</f>
        <v>0</v>
      </c>
      <c r="B1049" t="s">
        <v>54</v>
      </c>
      <c r="C1049" t="s">
        <v>239</v>
      </c>
      <c r="D1049" t="s">
        <v>325</v>
      </c>
      <c r="E1049" t="s">
        <v>1213</v>
      </c>
      <c r="F1049" t="s">
        <v>2658</v>
      </c>
      <c r="G1049" t="s">
        <v>4330</v>
      </c>
      <c r="H1049" t="s">
        <v>5361</v>
      </c>
      <c r="I1049" t="s">
        <v>6027</v>
      </c>
      <c r="J1049">
        <v>11427</v>
      </c>
      <c r="K1049" t="s">
        <v>6074</v>
      </c>
      <c r="L1049" t="s">
        <v>6074</v>
      </c>
      <c r="M1049" t="s">
        <v>6573</v>
      </c>
      <c r="N1049" t="s">
        <v>7274</v>
      </c>
      <c r="O1049" t="s">
        <v>7306</v>
      </c>
      <c r="P1049" t="s">
        <v>7314</v>
      </c>
      <c r="Q1049" t="s">
        <v>7322</v>
      </c>
      <c r="R1049" t="s">
        <v>6076</v>
      </c>
      <c r="S1049" t="s">
        <v>7324</v>
      </c>
      <c r="T1049" t="s">
        <v>7336</v>
      </c>
      <c r="U1049" t="s">
        <v>239</v>
      </c>
      <c r="V1049">
        <v>1800</v>
      </c>
      <c r="W1049" t="s">
        <v>7361</v>
      </c>
      <c r="X1049" t="s">
        <v>7366</v>
      </c>
      <c r="Y1049" t="s">
        <v>7386</v>
      </c>
      <c r="Z1049" t="s">
        <v>8219</v>
      </c>
      <c r="AB1049" t="s">
        <v>10995</v>
      </c>
      <c r="AC1049">
        <v>3</v>
      </c>
      <c r="AD1049" t="s">
        <v>12419</v>
      </c>
      <c r="AE1049" t="s">
        <v>6110</v>
      </c>
      <c r="AF1049">
        <v>1</v>
      </c>
      <c r="AG1049">
        <v>3</v>
      </c>
      <c r="AH1049">
        <v>0</v>
      </c>
      <c r="AI1049">
        <v>71.55</v>
      </c>
      <c r="AL1049" t="s">
        <v>12460</v>
      </c>
      <c r="AM1049">
        <v>14868</v>
      </c>
      <c r="AS1049">
        <v>0.6</v>
      </c>
      <c r="AT1049" t="s">
        <v>325</v>
      </c>
      <c r="AU1049" t="s">
        <v>48</v>
      </c>
    </row>
    <row r="1050" spans="1:47">
      <c r="A1050" s="1">
        <f>HYPERLINK("https://cms.ls-nyc.org/matter/dynamic-profile/view/1888931","19-1888931")</f>
        <v>0</v>
      </c>
      <c r="B1050" t="s">
        <v>113</v>
      </c>
      <c r="C1050" t="s">
        <v>456</v>
      </c>
      <c r="E1050" t="s">
        <v>1214</v>
      </c>
      <c r="F1050" t="s">
        <v>2659</v>
      </c>
      <c r="G1050" t="s">
        <v>3806</v>
      </c>
      <c r="H1050" t="s">
        <v>5635</v>
      </c>
      <c r="I1050" t="s">
        <v>6047</v>
      </c>
      <c r="J1050">
        <v>10452</v>
      </c>
      <c r="K1050" t="s">
        <v>6074</v>
      </c>
      <c r="L1050" t="s">
        <v>6074</v>
      </c>
      <c r="M1050" t="s">
        <v>6574</v>
      </c>
      <c r="N1050" t="s">
        <v>7276</v>
      </c>
      <c r="O1050" t="s">
        <v>7308</v>
      </c>
      <c r="Q1050" t="s">
        <v>7322</v>
      </c>
      <c r="R1050" t="s">
        <v>6076</v>
      </c>
      <c r="S1050" t="s">
        <v>7324</v>
      </c>
      <c r="U1050" t="s">
        <v>456</v>
      </c>
      <c r="V1050">
        <v>1078.15</v>
      </c>
      <c r="W1050" t="s">
        <v>7363</v>
      </c>
      <c r="X1050" t="s">
        <v>7376</v>
      </c>
      <c r="Z1050" t="s">
        <v>8220</v>
      </c>
      <c r="AB1050" t="s">
        <v>10996</v>
      </c>
      <c r="AC1050">
        <v>59</v>
      </c>
      <c r="AD1050" t="s">
        <v>12422</v>
      </c>
      <c r="AE1050" t="s">
        <v>6110</v>
      </c>
      <c r="AF1050">
        <v>30</v>
      </c>
      <c r="AG1050">
        <v>1</v>
      </c>
      <c r="AH1050">
        <v>1</v>
      </c>
      <c r="AI1050">
        <v>71.59999999999999</v>
      </c>
      <c r="AL1050" t="s">
        <v>12460</v>
      </c>
      <c r="AM1050">
        <v>12108</v>
      </c>
      <c r="AS1050">
        <v>21.7</v>
      </c>
      <c r="AT1050" t="s">
        <v>501</v>
      </c>
      <c r="AU1050" t="s">
        <v>13095</v>
      </c>
    </row>
    <row r="1051" spans="1:47">
      <c r="A1051" s="1">
        <f>HYPERLINK("https://cms.ls-nyc.org/matter/dynamic-profile/view/1873622","18-1873622")</f>
        <v>0</v>
      </c>
      <c r="B1051" t="s">
        <v>68</v>
      </c>
      <c r="C1051" t="s">
        <v>467</v>
      </c>
      <c r="D1051" t="s">
        <v>344</v>
      </c>
      <c r="E1051" t="s">
        <v>1215</v>
      </c>
      <c r="F1051" t="s">
        <v>2660</v>
      </c>
      <c r="G1051" t="s">
        <v>4331</v>
      </c>
      <c r="H1051" t="s">
        <v>5422</v>
      </c>
      <c r="I1051" t="s">
        <v>6043</v>
      </c>
      <c r="J1051">
        <v>11212</v>
      </c>
      <c r="K1051" t="s">
        <v>6074</v>
      </c>
      <c r="L1051" t="s">
        <v>6074</v>
      </c>
      <c r="M1051" t="s">
        <v>6575</v>
      </c>
      <c r="N1051" t="s">
        <v>7276</v>
      </c>
      <c r="O1051" t="s">
        <v>7308</v>
      </c>
      <c r="P1051" t="s">
        <v>7316</v>
      </c>
      <c r="Q1051" t="s">
        <v>7322</v>
      </c>
      <c r="R1051" t="s">
        <v>6076</v>
      </c>
      <c r="S1051" t="s">
        <v>7324</v>
      </c>
      <c r="T1051" t="s">
        <v>7339</v>
      </c>
      <c r="U1051" t="s">
        <v>480</v>
      </c>
      <c r="V1051">
        <v>950</v>
      </c>
      <c r="W1051" t="s">
        <v>7362</v>
      </c>
      <c r="X1051" t="s">
        <v>7374</v>
      </c>
      <c r="Y1051" t="s">
        <v>7388</v>
      </c>
      <c r="Z1051" t="s">
        <v>8221</v>
      </c>
      <c r="AA1051" t="s">
        <v>10099</v>
      </c>
      <c r="AB1051" t="s">
        <v>10997</v>
      </c>
      <c r="AC1051">
        <v>6</v>
      </c>
      <c r="AD1051" t="s">
        <v>12422</v>
      </c>
      <c r="AE1051" t="s">
        <v>12435</v>
      </c>
      <c r="AF1051">
        <v>10</v>
      </c>
      <c r="AG1051">
        <v>1</v>
      </c>
      <c r="AH1051">
        <v>3</v>
      </c>
      <c r="AI1051">
        <v>71.70999999999999</v>
      </c>
      <c r="AL1051" t="s">
        <v>12460</v>
      </c>
      <c r="AM1051">
        <v>18000</v>
      </c>
      <c r="AS1051">
        <v>12.4</v>
      </c>
      <c r="AT1051" t="s">
        <v>13069</v>
      </c>
      <c r="AU1051" t="s">
        <v>218</v>
      </c>
    </row>
    <row r="1052" spans="1:47">
      <c r="A1052" s="1">
        <f>HYPERLINK("https://cms.ls-nyc.org/matter/dynamic-profile/view/1888450","19-1888450")</f>
        <v>0</v>
      </c>
      <c r="B1052" t="s">
        <v>74</v>
      </c>
      <c r="C1052" t="s">
        <v>306</v>
      </c>
      <c r="E1052" t="s">
        <v>582</v>
      </c>
      <c r="F1052" t="s">
        <v>2263</v>
      </c>
      <c r="G1052" t="s">
        <v>4053</v>
      </c>
      <c r="H1052" t="s">
        <v>5385</v>
      </c>
      <c r="I1052" t="s">
        <v>6043</v>
      </c>
      <c r="J1052">
        <v>11208</v>
      </c>
      <c r="K1052" t="s">
        <v>6074</v>
      </c>
      <c r="L1052" t="s">
        <v>6074</v>
      </c>
      <c r="M1052" t="s">
        <v>6563</v>
      </c>
      <c r="N1052" t="s">
        <v>7276</v>
      </c>
      <c r="O1052" t="s">
        <v>7310</v>
      </c>
      <c r="Q1052" t="s">
        <v>7322</v>
      </c>
      <c r="R1052" t="s">
        <v>6076</v>
      </c>
      <c r="S1052" t="s">
        <v>7324</v>
      </c>
      <c r="U1052" t="s">
        <v>292</v>
      </c>
      <c r="V1052">
        <v>1408</v>
      </c>
      <c r="W1052" t="s">
        <v>7362</v>
      </c>
      <c r="X1052" t="s">
        <v>7366</v>
      </c>
      <c r="Z1052" t="s">
        <v>8195</v>
      </c>
      <c r="AB1052" t="s">
        <v>10974</v>
      </c>
      <c r="AC1052">
        <v>0</v>
      </c>
      <c r="AD1052" t="s">
        <v>12422</v>
      </c>
      <c r="AE1052" t="s">
        <v>6110</v>
      </c>
      <c r="AF1052">
        <v>3</v>
      </c>
      <c r="AG1052">
        <v>1</v>
      </c>
      <c r="AH1052">
        <v>3</v>
      </c>
      <c r="AI1052">
        <v>71.70999999999999</v>
      </c>
      <c r="AL1052" t="s">
        <v>12460</v>
      </c>
      <c r="AM1052">
        <v>18000</v>
      </c>
      <c r="AS1052">
        <v>21.7</v>
      </c>
      <c r="AT1052" t="s">
        <v>343</v>
      </c>
      <c r="AU1052" t="s">
        <v>180</v>
      </c>
    </row>
    <row r="1053" spans="1:47">
      <c r="A1053" s="1">
        <f>HYPERLINK("https://cms.ls-nyc.org/matter/dynamic-profile/view/1878306","18-1878306")</f>
        <v>0</v>
      </c>
      <c r="B1053" t="s">
        <v>97</v>
      </c>
      <c r="C1053" t="s">
        <v>248</v>
      </c>
      <c r="D1053" t="s">
        <v>389</v>
      </c>
      <c r="E1053" t="s">
        <v>1216</v>
      </c>
      <c r="F1053" t="s">
        <v>2661</v>
      </c>
      <c r="G1053" t="s">
        <v>4332</v>
      </c>
      <c r="H1053" t="s">
        <v>5529</v>
      </c>
      <c r="I1053" t="s">
        <v>6047</v>
      </c>
      <c r="J1053">
        <v>10452</v>
      </c>
      <c r="K1053" t="s">
        <v>6074</v>
      </c>
      <c r="L1053" t="s">
        <v>6074</v>
      </c>
      <c r="N1053" t="s">
        <v>6104</v>
      </c>
      <c r="O1053" t="s">
        <v>7307</v>
      </c>
      <c r="P1053" t="s">
        <v>7315</v>
      </c>
      <c r="Q1053" t="s">
        <v>7322</v>
      </c>
      <c r="R1053" t="s">
        <v>6076</v>
      </c>
      <c r="S1053" t="s">
        <v>7324</v>
      </c>
      <c r="U1053" t="s">
        <v>373</v>
      </c>
      <c r="V1053">
        <v>774.8200000000001</v>
      </c>
      <c r="W1053" t="s">
        <v>7363</v>
      </c>
      <c r="X1053" t="s">
        <v>7376</v>
      </c>
      <c r="Y1053" t="s">
        <v>7387</v>
      </c>
      <c r="Z1053" t="s">
        <v>8222</v>
      </c>
      <c r="AB1053" t="s">
        <v>10998</v>
      </c>
      <c r="AC1053">
        <v>45</v>
      </c>
      <c r="AD1053" t="s">
        <v>12422</v>
      </c>
      <c r="AE1053" t="s">
        <v>6110</v>
      </c>
      <c r="AF1053">
        <v>30</v>
      </c>
      <c r="AG1053">
        <v>3</v>
      </c>
      <c r="AH1053">
        <v>1</v>
      </c>
      <c r="AI1053">
        <v>71.70999999999999</v>
      </c>
      <c r="AL1053" t="s">
        <v>12460</v>
      </c>
      <c r="AM1053">
        <v>18000</v>
      </c>
      <c r="AS1053">
        <v>2.9</v>
      </c>
      <c r="AT1053" t="s">
        <v>389</v>
      </c>
      <c r="AU1053" t="s">
        <v>97</v>
      </c>
    </row>
    <row r="1054" spans="1:47">
      <c r="A1054" s="1">
        <f>HYPERLINK("https://cms.ls-nyc.org/matter/dynamic-profile/view/1897247","19-1897247")</f>
        <v>0</v>
      </c>
      <c r="B1054" t="s">
        <v>133</v>
      </c>
      <c r="C1054" t="s">
        <v>279</v>
      </c>
      <c r="E1054" t="s">
        <v>1217</v>
      </c>
      <c r="F1054" t="s">
        <v>2318</v>
      </c>
      <c r="G1054" t="s">
        <v>4207</v>
      </c>
      <c r="H1054">
        <v>23</v>
      </c>
      <c r="I1054" t="s">
        <v>6049</v>
      </c>
      <c r="J1054">
        <v>10034</v>
      </c>
      <c r="K1054" t="s">
        <v>6074</v>
      </c>
      <c r="L1054" t="s">
        <v>6074</v>
      </c>
      <c r="N1054" t="s">
        <v>7273</v>
      </c>
      <c r="O1054" t="s">
        <v>7306</v>
      </c>
      <c r="Q1054" t="s">
        <v>7322</v>
      </c>
      <c r="R1054" t="s">
        <v>6074</v>
      </c>
      <c r="S1054" t="s">
        <v>7324</v>
      </c>
      <c r="U1054" t="s">
        <v>279</v>
      </c>
      <c r="V1054">
        <v>929.89</v>
      </c>
      <c r="W1054" t="s">
        <v>7365</v>
      </c>
      <c r="X1054" t="s">
        <v>7367</v>
      </c>
      <c r="Z1054" t="s">
        <v>8223</v>
      </c>
      <c r="AB1054" t="s">
        <v>10999</v>
      </c>
      <c r="AC1054">
        <v>20</v>
      </c>
      <c r="AD1054" t="s">
        <v>12422</v>
      </c>
      <c r="AE1054" t="s">
        <v>12441</v>
      </c>
      <c r="AF1054">
        <v>48</v>
      </c>
      <c r="AG1054">
        <v>3</v>
      </c>
      <c r="AH1054">
        <v>0</v>
      </c>
      <c r="AI1054">
        <v>71.79000000000001</v>
      </c>
      <c r="AL1054" t="s">
        <v>12461</v>
      </c>
      <c r="AM1054">
        <v>15312</v>
      </c>
      <c r="AS1054">
        <v>0</v>
      </c>
      <c r="AU1054" t="s">
        <v>13106</v>
      </c>
    </row>
    <row r="1055" spans="1:47">
      <c r="A1055" s="1">
        <f>HYPERLINK("https://cms.ls-nyc.org/matter/dynamic-profile/view/1885244","18-1885244")</f>
        <v>0</v>
      </c>
      <c r="B1055" t="s">
        <v>81</v>
      </c>
      <c r="C1055" t="s">
        <v>341</v>
      </c>
      <c r="E1055" t="s">
        <v>1218</v>
      </c>
      <c r="F1055" t="s">
        <v>1803</v>
      </c>
      <c r="G1055" t="s">
        <v>4333</v>
      </c>
      <c r="I1055" t="s">
        <v>6043</v>
      </c>
      <c r="J1055">
        <v>11226</v>
      </c>
      <c r="K1055" t="s">
        <v>6074</v>
      </c>
      <c r="L1055" t="s">
        <v>6074</v>
      </c>
      <c r="N1055" t="s">
        <v>7274</v>
      </c>
      <c r="O1055" t="s">
        <v>7308</v>
      </c>
      <c r="Q1055" t="s">
        <v>7322</v>
      </c>
      <c r="S1055" t="s">
        <v>7324</v>
      </c>
      <c r="U1055" t="s">
        <v>492</v>
      </c>
      <c r="V1055">
        <v>778.9299999999999</v>
      </c>
      <c r="W1055" t="s">
        <v>7362</v>
      </c>
      <c r="Z1055" t="s">
        <v>8224</v>
      </c>
      <c r="AB1055" t="s">
        <v>11000</v>
      </c>
      <c r="AC1055">
        <v>0</v>
      </c>
      <c r="AF1055">
        <v>8</v>
      </c>
      <c r="AG1055">
        <v>1</v>
      </c>
      <c r="AH1055">
        <v>0</v>
      </c>
      <c r="AI1055">
        <v>71.86</v>
      </c>
      <c r="AL1055" t="s">
        <v>12460</v>
      </c>
      <c r="AM1055">
        <v>8724</v>
      </c>
      <c r="AS1055">
        <v>0.3</v>
      </c>
      <c r="AT1055" t="s">
        <v>344</v>
      </c>
      <c r="AU1055" t="s">
        <v>88</v>
      </c>
    </row>
    <row r="1056" spans="1:47">
      <c r="A1056" s="1">
        <f>HYPERLINK("https://cms.ls-nyc.org/matter/dynamic-profile/view/1897546","19-1897546")</f>
        <v>0</v>
      </c>
      <c r="B1056" t="s">
        <v>126</v>
      </c>
      <c r="C1056" t="s">
        <v>424</v>
      </c>
      <c r="E1056" t="s">
        <v>1142</v>
      </c>
      <c r="F1056" t="s">
        <v>2598</v>
      </c>
      <c r="G1056" t="s">
        <v>4334</v>
      </c>
      <c r="H1056" t="s">
        <v>5636</v>
      </c>
      <c r="I1056" t="s">
        <v>6049</v>
      </c>
      <c r="J1056">
        <v>10039</v>
      </c>
      <c r="K1056" t="s">
        <v>6074</v>
      </c>
      <c r="L1056" t="s">
        <v>6074</v>
      </c>
      <c r="M1056" t="s">
        <v>6576</v>
      </c>
      <c r="N1056" t="s">
        <v>7276</v>
      </c>
      <c r="O1056" t="s">
        <v>7308</v>
      </c>
      <c r="Q1056" t="s">
        <v>7323</v>
      </c>
      <c r="R1056" t="s">
        <v>6076</v>
      </c>
      <c r="S1056" t="s">
        <v>7330</v>
      </c>
      <c r="T1056" t="s">
        <v>7336</v>
      </c>
      <c r="U1056" t="s">
        <v>397</v>
      </c>
      <c r="V1056">
        <v>844</v>
      </c>
      <c r="W1056" t="s">
        <v>7365</v>
      </c>
      <c r="X1056" t="s">
        <v>7369</v>
      </c>
      <c r="Z1056" t="s">
        <v>8121</v>
      </c>
      <c r="AB1056" t="s">
        <v>10911</v>
      </c>
      <c r="AC1056">
        <v>360</v>
      </c>
      <c r="AD1056" t="s">
        <v>12429</v>
      </c>
      <c r="AE1056" t="s">
        <v>6110</v>
      </c>
      <c r="AF1056">
        <v>12</v>
      </c>
      <c r="AG1056">
        <v>1</v>
      </c>
      <c r="AH1056">
        <v>3</v>
      </c>
      <c r="AI1056">
        <v>71.86</v>
      </c>
      <c r="AJ1056" t="s">
        <v>12443</v>
      </c>
      <c r="AK1056" t="s">
        <v>12455</v>
      </c>
      <c r="AL1056" t="s">
        <v>12460</v>
      </c>
      <c r="AM1056">
        <v>18504</v>
      </c>
      <c r="AS1056">
        <v>6.75</v>
      </c>
      <c r="AT1056" t="s">
        <v>423</v>
      </c>
      <c r="AU1056" t="s">
        <v>13107</v>
      </c>
    </row>
    <row r="1057" spans="1:48">
      <c r="A1057" s="1">
        <f>HYPERLINK("https://cms.ls-nyc.org/matter/dynamic-profile/view/1871392","18-1871392")</f>
        <v>0</v>
      </c>
      <c r="B1057" t="s">
        <v>186</v>
      </c>
      <c r="C1057" t="s">
        <v>342</v>
      </c>
      <c r="D1057" t="s">
        <v>239</v>
      </c>
      <c r="E1057" t="s">
        <v>1171</v>
      </c>
      <c r="F1057" t="s">
        <v>2662</v>
      </c>
      <c r="G1057" t="s">
        <v>4335</v>
      </c>
      <c r="H1057">
        <v>2710</v>
      </c>
      <c r="I1057" t="s">
        <v>6049</v>
      </c>
      <c r="J1057">
        <v>10029</v>
      </c>
      <c r="K1057" t="s">
        <v>6074</v>
      </c>
      <c r="L1057" t="s">
        <v>6074</v>
      </c>
      <c r="N1057" t="s">
        <v>6104</v>
      </c>
      <c r="O1057" t="s">
        <v>7306</v>
      </c>
      <c r="P1057" t="s">
        <v>7314</v>
      </c>
      <c r="Q1057" t="s">
        <v>7322</v>
      </c>
      <c r="R1057" t="s">
        <v>6076</v>
      </c>
      <c r="S1057" t="s">
        <v>7324</v>
      </c>
      <c r="T1057" t="s">
        <v>7336</v>
      </c>
      <c r="U1057" t="s">
        <v>304</v>
      </c>
      <c r="V1057">
        <v>800</v>
      </c>
      <c r="W1057" t="s">
        <v>7365</v>
      </c>
      <c r="X1057" t="s">
        <v>7367</v>
      </c>
      <c r="Y1057" t="s">
        <v>7386</v>
      </c>
      <c r="Z1057" t="s">
        <v>8225</v>
      </c>
      <c r="AB1057" t="s">
        <v>11001</v>
      </c>
      <c r="AC1057">
        <v>396</v>
      </c>
      <c r="AD1057" t="s">
        <v>12423</v>
      </c>
      <c r="AE1057" t="s">
        <v>12434</v>
      </c>
      <c r="AF1057">
        <v>30</v>
      </c>
      <c r="AG1057">
        <v>1</v>
      </c>
      <c r="AH1057">
        <v>0</v>
      </c>
      <c r="AI1057">
        <v>71.86</v>
      </c>
      <c r="AL1057" t="s">
        <v>12460</v>
      </c>
      <c r="AM1057">
        <v>8724</v>
      </c>
      <c r="AS1057">
        <v>3.8</v>
      </c>
      <c r="AT1057" t="s">
        <v>299</v>
      </c>
      <c r="AU1057" t="s">
        <v>13100</v>
      </c>
    </row>
    <row r="1058" spans="1:48">
      <c r="A1058" s="1">
        <f>HYPERLINK("https://cms.ls-nyc.org/matter/dynamic-profile/view/1892385","19-1892385")</f>
        <v>0</v>
      </c>
      <c r="B1058" t="s">
        <v>84</v>
      </c>
      <c r="C1058" t="s">
        <v>337</v>
      </c>
      <c r="E1058" t="s">
        <v>1219</v>
      </c>
      <c r="F1058" t="s">
        <v>2031</v>
      </c>
      <c r="G1058" t="s">
        <v>4336</v>
      </c>
      <c r="H1058" t="s">
        <v>5637</v>
      </c>
      <c r="I1058" t="s">
        <v>6043</v>
      </c>
      <c r="J1058">
        <v>11203</v>
      </c>
      <c r="K1058" t="s">
        <v>6074</v>
      </c>
      <c r="L1058" t="s">
        <v>6074</v>
      </c>
      <c r="M1058" t="s">
        <v>6577</v>
      </c>
      <c r="N1058" t="s">
        <v>7274</v>
      </c>
      <c r="O1058" t="s">
        <v>7308</v>
      </c>
      <c r="Q1058" t="s">
        <v>7322</v>
      </c>
      <c r="R1058" t="s">
        <v>6076</v>
      </c>
      <c r="S1058" t="s">
        <v>7324</v>
      </c>
      <c r="U1058" t="s">
        <v>337</v>
      </c>
      <c r="V1058">
        <v>838</v>
      </c>
      <c r="W1058" t="s">
        <v>7362</v>
      </c>
      <c r="Z1058" t="s">
        <v>8226</v>
      </c>
      <c r="AB1058" t="s">
        <v>11002</v>
      </c>
      <c r="AC1058">
        <v>0</v>
      </c>
      <c r="AD1058" t="s">
        <v>12422</v>
      </c>
      <c r="AF1058">
        <v>0</v>
      </c>
      <c r="AG1058">
        <v>1</v>
      </c>
      <c r="AH1058">
        <v>0</v>
      </c>
      <c r="AI1058">
        <v>71.87</v>
      </c>
      <c r="AL1058" t="s">
        <v>12460</v>
      </c>
      <c r="AM1058">
        <v>8976</v>
      </c>
      <c r="AS1058">
        <v>23.4</v>
      </c>
      <c r="AT1058" t="s">
        <v>381</v>
      </c>
      <c r="AU1058" t="s">
        <v>69</v>
      </c>
    </row>
    <row r="1059" spans="1:48">
      <c r="A1059" s="1">
        <f>HYPERLINK("https://cms.ls-nyc.org/matter/dynamic-profile/view/1886177","18-1886177")</f>
        <v>0</v>
      </c>
      <c r="B1059" t="s">
        <v>161</v>
      </c>
      <c r="C1059" t="s">
        <v>389</v>
      </c>
      <c r="D1059" t="s">
        <v>337</v>
      </c>
      <c r="E1059" t="s">
        <v>687</v>
      </c>
      <c r="F1059" t="s">
        <v>2663</v>
      </c>
      <c r="G1059" t="s">
        <v>4337</v>
      </c>
      <c r="I1059" t="s">
        <v>6049</v>
      </c>
      <c r="J1059">
        <v>10029</v>
      </c>
      <c r="K1059" t="s">
        <v>6074</v>
      </c>
      <c r="L1059" t="s">
        <v>6074</v>
      </c>
      <c r="N1059" t="s">
        <v>6104</v>
      </c>
      <c r="O1059" t="s">
        <v>7306</v>
      </c>
      <c r="P1059" t="s">
        <v>7314</v>
      </c>
      <c r="Q1059" t="s">
        <v>7322</v>
      </c>
      <c r="R1059" t="s">
        <v>6076</v>
      </c>
      <c r="S1059" t="s">
        <v>7324</v>
      </c>
      <c r="T1059" t="s">
        <v>7336</v>
      </c>
      <c r="U1059" t="s">
        <v>389</v>
      </c>
      <c r="V1059">
        <v>1396</v>
      </c>
      <c r="W1059" t="s">
        <v>7365</v>
      </c>
      <c r="X1059" t="s">
        <v>7367</v>
      </c>
      <c r="Y1059" t="s">
        <v>7386</v>
      </c>
      <c r="Z1059" t="s">
        <v>8227</v>
      </c>
      <c r="AC1059">
        <v>90</v>
      </c>
      <c r="AD1059" t="s">
        <v>12422</v>
      </c>
      <c r="AE1059" t="s">
        <v>12434</v>
      </c>
      <c r="AF1059">
        <v>38</v>
      </c>
      <c r="AG1059">
        <v>1</v>
      </c>
      <c r="AH1059">
        <v>0</v>
      </c>
      <c r="AI1059">
        <v>71.95999999999999</v>
      </c>
      <c r="AL1059" t="s">
        <v>12460</v>
      </c>
      <c r="AM1059">
        <v>8736</v>
      </c>
      <c r="AN1059" t="s">
        <v>12590</v>
      </c>
      <c r="AS1059">
        <v>0.1</v>
      </c>
      <c r="AT1059" t="s">
        <v>448</v>
      </c>
      <c r="AU1059" t="s">
        <v>13107</v>
      </c>
    </row>
    <row r="1060" spans="1:48">
      <c r="A1060" s="1">
        <f>HYPERLINK("https://cms.ls-nyc.org/matter/dynamic-profile/view/1892884","19-1892884")</f>
        <v>0</v>
      </c>
      <c r="B1060" t="s">
        <v>61</v>
      </c>
      <c r="C1060" t="s">
        <v>356</v>
      </c>
      <c r="E1060" t="s">
        <v>1220</v>
      </c>
      <c r="F1060" t="s">
        <v>2664</v>
      </c>
      <c r="G1060" t="s">
        <v>4338</v>
      </c>
      <c r="H1060" t="s">
        <v>5638</v>
      </c>
      <c r="I1060" t="s">
        <v>6025</v>
      </c>
      <c r="J1060">
        <v>11691</v>
      </c>
      <c r="K1060" t="s">
        <v>6074</v>
      </c>
      <c r="L1060" t="s">
        <v>6074</v>
      </c>
      <c r="M1060" t="s">
        <v>6578</v>
      </c>
      <c r="N1060" t="s">
        <v>7276</v>
      </c>
      <c r="O1060" t="s">
        <v>7309</v>
      </c>
      <c r="Q1060" t="s">
        <v>7322</v>
      </c>
      <c r="R1060" t="s">
        <v>6076</v>
      </c>
      <c r="S1060" t="s">
        <v>7324</v>
      </c>
      <c r="T1060" t="s">
        <v>7339</v>
      </c>
      <c r="U1060" t="s">
        <v>356</v>
      </c>
      <c r="V1060">
        <v>222</v>
      </c>
      <c r="W1060" t="s">
        <v>7361</v>
      </c>
      <c r="X1060" t="s">
        <v>7368</v>
      </c>
      <c r="Z1060" t="s">
        <v>8228</v>
      </c>
      <c r="AA1060" t="s">
        <v>10100</v>
      </c>
      <c r="AB1060" t="s">
        <v>11003</v>
      </c>
      <c r="AC1060">
        <v>70</v>
      </c>
      <c r="AD1060" t="s">
        <v>12420</v>
      </c>
      <c r="AE1060" t="s">
        <v>6110</v>
      </c>
      <c r="AF1060">
        <v>25</v>
      </c>
      <c r="AG1060">
        <v>1</v>
      </c>
      <c r="AH1060">
        <v>0</v>
      </c>
      <c r="AI1060">
        <v>72.06</v>
      </c>
      <c r="AL1060" t="s">
        <v>12461</v>
      </c>
      <c r="AM1060">
        <v>9000</v>
      </c>
      <c r="AS1060">
        <v>3</v>
      </c>
      <c r="AT1060" t="s">
        <v>436</v>
      </c>
      <c r="AU1060" t="s">
        <v>189</v>
      </c>
    </row>
    <row r="1061" spans="1:48">
      <c r="A1061" s="1">
        <f>HYPERLINK("https://cms.ls-nyc.org/matter/dynamic-profile/view/1893348","19-1893348")</f>
        <v>0</v>
      </c>
      <c r="B1061" t="s">
        <v>54</v>
      </c>
      <c r="C1061" t="s">
        <v>313</v>
      </c>
      <c r="E1061" t="s">
        <v>1220</v>
      </c>
      <c r="F1061" t="s">
        <v>2664</v>
      </c>
      <c r="G1061" t="s">
        <v>4338</v>
      </c>
      <c r="H1061" t="s">
        <v>5638</v>
      </c>
      <c r="I1061" t="s">
        <v>6025</v>
      </c>
      <c r="J1061">
        <v>11691</v>
      </c>
      <c r="K1061" t="s">
        <v>6074</v>
      </c>
      <c r="L1061" t="s">
        <v>6074</v>
      </c>
      <c r="M1061" t="s">
        <v>6578</v>
      </c>
      <c r="N1061" t="s">
        <v>7276</v>
      </c>
      <c r="O1061" t="s">
        <v>7308</v>
      </c>
      <c r="Q1061" t="s">
        <v>7322</v>
      </c>
      <c r="R1061" t="s">
        <v>6076</v>
      </c>
      <c r="S1061" t="s">
        <v>7324</v>
      </c>
      <c r="T1061" t="s">
        <v>7339</v>
      </c>
      <c r="U1061" t="s">
        <v>313</v>
      </c>
      <c r="V1061">
        <v>222</v>
      </c>
      <c r="W1061" t="s">
        <v>7361</v>
      </c>
      <c r="X1061" t="s">
        <v>7368</v>
      </c>
      <c r="Z1061" t="s">
        <v>8228</v>
      </c>
      <c r="AA1061" t="s">
        <v>10100</v>
      </c>
      <c r="AB1061" t="s">
        <v>11003</v>
      </c>
      <c r="AC1061">
        <v>70</v>
      </c>
      <c r="AD1061" t="s">
        <v>12420</v>
      </c>
      <c r="AE1061" t="s">
        <v>6110</v>
      </c>
      <c r="AF1061">
        <v>25</v>
      </c>
      <c r="AG1061">
        <v>1</v>
      </c>
      <c r="AH1061">
        <v>0</v>
      </c>
      <c r="AI1061">
        <v>72.06</v>
      </c>
      <c r="AL1061" t="s">
        <v>12461</v>
      </c>
      <c r="AM1061">
        <v>9000</v>
      </c>
      <c r="AO1061" t="s">
        <v>12850</v>
      </c>
      <c r="AP1061" t="s">
        <v>12887</v>
      </c>
      <c r="AQ1061" t="s">
        <v>12909</v>
      </c>
      <c r="AR1061" t="s">
        <v>12973</v>
      </c>
      <c r="AS1061">
        <v>2.1</v>
      </c>
      <c r="AT1061" t="s">
        <v>252</v>
      </c>
      <c r="AU1061" t="s">
        <v>189</v>
      </c>
    </row>
    <row r="1062" spans="1:48">
      <c r="A1062" s="1">
        <f>HYPERLINK("https://cms.ls-nyc.org/matter/dynamic-profile/view/1896393","19-1896393")</f>
        <v>0</v>
      </c>
      <c r="B1062" t="s">
        <v>84</v>
      </c>
      <c r="C1062" t="s">
        <v>302</v>
      </c>
      <c r="E1062" t="s">
        <v>1221</v>
      </c>
      <c r="F1062" t="s">
        <v>2665</v>
      </c>
      <c r="G1062" t="s">
        <v>3722</v>
      </c>
      <c r="H1062">
        <v>2</v>
      </c>
      <c r="I1062" t="s">
        <v>6043</v>
      </c>
      <c r="J1062">
        <v>11226</v>
      </c>
      <c r="K1062" t="s">
        <v>6074</v>
      </c>
      <c r="L1062" t="s">
        <v>6074</v>
      </c>
      <c r="N1062" t="s">
        <v>7273</v>
      </c>
      <c r="O1062" t="s">
        <v>7306</v>
      </c>
      <c r="Q1062" t="s">
        <v>7322</v>
      </c>
      <c r="R1062" t="s">
        <v>6074</v>
      </c>
      <c r="S1062" t="s">
        <v>7324</v>
      </c>
      <c r="U1062" t="s">
        <v>302</v>
      </c>
      <c r="V1062">
        <v>0</v>
      </c>
      <c r="W1062" t="s">
        <v>7362</v>
      </c>
      <c r="Z1062" t="s">
        <v>8229</v>
      </c>
      <c r="AC1062">
        <v>0</v>
      </c>
      <c r="AF1062">
        <v>0</v>
      </c>
      <c r="AG1062">
        <v>1</v>
      </c>
      <c r="AH1062">
        <v>0</v>
      </c>
      <c r="AI1062">
        <v>72.06</v>
      </c>
      <c r="AL1062" t="s">
        <v>12460</v>
      </c>
      <c r="AM1062">
        <v>9000</v>
      </c>
      <c r="AS1062">
        <v>0.4</v>
      </c>
      <c r="AT1062" t="s">
        <v>302</v>
      </c>
      <c r="AU1062" t="s">
        <v>69</v>
      </c>
    </row>
    <row r="1063" spans="1:48">
      <c r="A1063" s="1">
        <f>HYPERLINK("https://cms.ls-nyc.org/matter/dynamic-profile/view/1897876","19-1897876")</f>
        <v>0</v>
      </c>
      <c r="B1063" t="s">
        <v>102</v>
      </c>
      <c r="C1063" t="s">
        <v>375</v>
      </c>
      <c r="E1063" t="s">
        <v>1077</v>
      </c>
      <c r="F1063" t="s">
        <v>2228</v>
      </c>
      <c r="G1063" t="s">
        <v>3779</v>
      </c>
      <c r="H1063" t="s">
        <v>5393</v>
      </c>
      <c r="I1063" t="s">
        <v>6047</v>
      </c>
      <c r="J1063">
        <v>10460</v>
      </c>
      <c r="K1063" t="s">
        <v>6074</v>
      </c>
      <c r="L1063" t="s">
        <v>6074</v>
      </c>
      <c r="M1063" t="s">
        <v>6579</v>
      </c>
      <c r="N1063" t="s">
        <v>7276</v>
      </c>
      <c r="O1063" t="s">
        <v>7308</v>
      </c>
      <c r="Q1063" t="s">
        <v>7322</v>
      </c>
      <c r="R1063" t="s">
        <v>6076</v>
      </c>
      <c r="S1063" t="s">
        <v>7324</v>
      </c>
      <c r="U1063" t="s">
        <v>362</v>
      </c>
      <c r="V1063">
        <v>1789</v>
      </c>
      <c r="W1063" t="s">
        <v>7363</v>
      </c>
      <c r="X1063" t="s">
        <v>7368</v>
      </c>
      <c r="Z1063" t="s">
        <v>8025</v>
      </c>
      <c r="AA1063" t="s">
        <v>10101</v>
      </c>
      <c r="AB1063" t="s">
        <v>10823</v>
      </c>
      <c r="AC1063">
        <v>168</v>
      </c>
      <c r="AD1063" t="s">
        <v>12422</v>
      </c>
      <c r="AE1063" t="s">
        <v>12434</v>
      </c>
      <c r="AF1063">
        <v>13</v>
      </c>
      <c r="AG1063">
        <v>1</v>
      </c>
      <c r="AH1063">
        <v>0</v>
      </c>
      <c r="AI1063">
        <v>72.06</v>
      </c>
      <c r="AL1063" t="s">
        <v>12460</v>
      </c>
      <c r="AM1063">
        <v>9000</v>
      </c>
      <c r="AS1063">
        <v>3.1</v>
      </c>
      <c r="AT1063" t="s">
        <v>260</v>
      </c>
      <c r="AU1063" t="s">
        <v>13095</v>
      </c>
      <c r="AV1063" t="s">
        <v>13146</v>
      </c>
    </row>
    <row r="1064" spans="1:48">
      <c r="A1064" s="1">
        <f>HYPERLINK("https://cms.ls-nyc.org/matter/dynamic-profile/view/1893534","19-1893534")</f>
        <v>0</v>
      </c>
      <c r="B1064" t="s">
        <v>128</v>
      </c>
      <c r="C1064" t="s">
        <v>367</v>
      </c>
      <c r="E1064" t="s">
        <v>808</v>
      </c>
      <c r="F1064" t="s">
        <v>2111</v>
      </c>
      <c r="G1064" t="s">
        <v>4339</v>
      </c>
      <c r="H1064">
        <v>2</v>
      </c>
      <c r="I1064" t="s">
        <v>6049</v>
      </c>
      <c r="J1064">
        <v>10034</v>
      </c>
      <c r="K1064" t="s">
        <v>6074</v>
      </c>
      <c r="L1064" t="s">
        <v>6074</v>
      </c>
      <c r="N1064" t="s">
        <v>7276</v>
      </c>
      <c r="O1064" t="s">
        <v>7307</v>
      </c>
      <c r="Q1064" t="s">
        <v>7322</v>
      </c>
      <c r="R1064" t="s">
        <v>6076</v>
      </c>
      <c r="S1064" t="s">
        <v>7324</v>
      </c>
      <c r="U1064" t="s">
        <v>367</v>
      </c>
      <c r="V1064">
        <v>553</v>
      </c>
      <c r="W1064" t="s">
        <v>7365</v>
      </c>
      <c r="X1064" t="s">
        <v>7367</v>
      </c>
      <c r="Z1064" t="s">
        <v>8230</v>
      </c>
      <c r="AB1064" t="s">
        <v>11004</v>
      </c>
      <c r="AC1064">
        <v>25</v>
      </c>
      <c r="AD1064" t="s">
        <v>12422</v>
      </c>
      <c r="AE1064" t="s">
        <v>12441</v>
      </c>
      <c r="AF1064">
        <v>42</v>
      </c>
      <c r="AG1064">
        <v>1</v>
      </c>
      <c r="AH1064">
        <v>0</v>
      </c>
      <c r="AI1064">
        <v>72.06</v>
      </c>
      <c r="AL1064" t="s">
        <v>12461</v>
      </c>
      <c r="AM1064">
        <v>9000</v>
      </c>
      <c r="AS1064">
        <v>1.2</v>
      </c>
      <c r="AT1064" t="s">
        <v>276</v>
      </c>
      <c r="AU1064" t="s">
        <v>13106</v>
      </c>
      <c r="AV1064" t="s">
        <v>13145</v>
      </c>
    </row>
    <row r="1065" spans="1:48">
      <c r="A1065" s="1">
        <f>HYPERLINK("https://cms.ls-nyc.org/matter/dynamic-profile/view/1892328","19-1892328")</f>
        <v>0</v>
      </c>
      <c r="B1065" t="s">
        <v>187</v>
      </c>
      <c r="C1065" t="s">
        <v>337</v>
      </c>
      <c r="E1065" t="s">
        <v>725</v>
      </c>
      <c r="F1065" t="s">
        <v>2666</v>
      </c>
      <c r="G1065" t="s">
        <v>4340</v>
      </c>
      <c r="H1065" t="s">
        <v>5357</v>
      </c>
      <c r="I1065" t="s">
        <v>6047</v>
      </c>
      <c r="J1065">
        <v>10457</v>
      </c>
      <c r="K1065" t="s">
        <v>6074</v>
      </c>
      <c r="L1065" t="s">
        <v>6074</v>
      </c>
      <c r="M1065" t="s">
        <v>6110</v>
      </c>
      <c r="N1065" t="s">
        <v>7283</v>
      </c>
      <c r="O1065" t="s">
        <v>7309</v>
      </c>
      <c r="Q1065" t="s">
        <v>7322</v>
      </c>
      <c r="R1065" t="s">
        <v>6076</v>
      </c>
      <c r="S1065" t="s">
        <v>7326</v>
      </c>
      <c r="U1065" t="s">
        <v>457</v>
      </c>
      <c r="V1065">
        <v>1518.75</v>
      </c>
      <c r="W1065" t="s">
        <v>7363</v>
      </c>
      <c r="X1065" t="s">
        <v>7366</v>
      </c>
      <c r="Z1065" t="s">
        <v>8231</v>
      </c>
      <c r="AA1065" t="s">
        <v>10102</v>
      </c>
      <c r="AB1065" t="s">
        <v>11005</v>
      </c>
      <c r="AC1065">
        <v>38</v>
      </c>
      <c r="AD1065" t="s">
        <v>12422</v>
      </c>
      <c r="AE1065" t="s">
        <v>6110</v>
      </c>
      <c r="AF1065">
        <v>2</v>
      </c>
      <c r="AG1065">
        <v>2</v>
      </c>
      <c r="AH1065">
        <v>0</v>
      </c>
      <c r="AI1065">
        <v>72.09999999999999</v>
      </c>
      <c r="AL1065" t="s">
        <v>12460</v>
      </c>
      <c r="AM1065">
        <v>12192</v>
      </c>
      <c r="AS1065">
        <v>5.5</v>
      </c>
      <c r="AT1065" t="s">
        <v>501</v>
      </c>
      <c r="AU1065" t="s">
        <v>13131</v>
      </c>
    </row>
    <row r="1066" spans="1:48">
      <c r="A1066" s="1">
        <f>HYPERLINK("https://cms.ls-nyc.org/matter/dynamic-profile/view/1895261","19-1895261")</f>
        <v>0</v>
      </c>
      <c r="B1066" t="s">
        <v>54</v>
      </c>
      <c r="C1066" t="s">
        <v>247</v>
      </c>
      <c r="E1066" t="s">
        <v>569</v>
      </c>
      <c r="F1066" t="s">
        <v>2104</v>
      </c>
      <c r="G1066" t="s">
        <v>4341</v>
      </c>
      <c r="H1066" t="s">
        <v>5495</v>
      </c>
      <c r="I1066" t="s">
        <v>6025</v>
      </c>
      <c r="J1066">
        <v>11691</v>
      </c>
      <c r="K1066" t="s">
        <v>6074</v>
      </c>
      <c r="L1066" t="s">
        <v>6074</v>
      </c>
      <c r="N1066" t="s">
        <v>6104</v>
      </c>
      <c r="O1066" t="s">
        <v>7307</v>
      </c>
      <c r="Q1066" t="s">
        <v>7322</v>
      </c>
      <c r="R1066" t="s">
        <v>6076</v>
      </c>
      <c r="S1066" t="s">
        <v>7324</v>
      </c>
      <c r="U1066" t="s">
        <v>322</v>
      </c>
      <c r="V1066">
        <v>1068</v>
      </c>
      <c r="W1066" t="s">
        <v>7361</v>
      </c>
      <c r="Z1066" t="s">
        <v>8232</v>
      </c>
      <c r="AA1066" t="s">
        <v>10103</v>
      </c>
      <c r="AB1066" t="s">
        <v>11006</v>
      </c>
      <c r="AC1066">
        <v>917</v>
      </c>
      <c r="AD1066" t="s">
        <v>12422</v>
      </c>
      <c r="AE1066" t="s">
        <v>7305</v>
      </c>
      <c r="AF1066">
        <v>5</v>
      </c>
      <c r="AG1066">
        <v>1</v>
      </c>
      <c r="AH1066">
        <v>0</v>
      </c>
      <c r="AI1066">
        <v>72.15000000000001</v>
      </c>
      <c r="AL1066" t="s">
        <v>12460</v>
      </c>
      <c r="AM1066">
        <v>9012</v>
      </c>
      <c r="AS1066">
        <v>0.75</v>
      </c>
      <c r="AT1066" t="s">
        <v>424</v>
      </c>
      <c r="AU1066" t="s">
        <v>54</v>
      </c>
    </row>
    <row r="1067" spans="1:48">
      <c r="A1067" s="1">
        <f>HYPERLINK("https://cms.ls-nyc.org/matter/dynamic-profile/view/1877948","18-1877948")</f>
        <v>0</v>
      </c>
      <c r="B1067" t="s">
        <v>52</v>
      </c>
      <c r="C1067" t="s">
        <v>244</v>
      </c>
      <c r="D1067" t="s">
        <v>277</v>
      </c>
      <c r="E1067" t="s">
        <v>966</v>
      </c>
      <c r="F1067" t="s">
        <v>2667</v>
      </c>
      <c r="G1067" t="s">
        <v>4342</v>
      </c>
      <c r="H1067">
        <v>15</v>
      </c>
      <c r="I1067" t="s">
        <v>6046</v>
      </c>
      <c r="J1067">
        <v>11101</v>
      </c>
      <c r="K1067" t="s">
        <v>6074</v>
      </c>
      <c r="L1067" t="s">
        <v>6074</v>
      </c>
      <c r="M1067" t="s">
        <v>6580</v>
      </c>
      <c r="N1067" t="s">
        <v>7276</v>
      </c>
      <c r="O1067" t="s">
        <v>7308</v>
      </c>
      <c r="P1067" t="s">
        <v>7316</v>
      </c>
      <c r="Q1067" t="s">
        <v>7322</v>
      </c>
      <c r="R1067" t="s">
        <v>6076</v>
      </c>
      <c r="S1067" t="s">
        <v>7324</v>
      </c>
      <c r="T1067" t="s">
        <v>7336</v>
      </c>
      <c r="U1067" t="s">
        <v>244</v>
      </c>
      <c r="V1067">
        <v>1400</v>
      </c>
      <c r="W1067" t="s">
        <v>7361</v>
      </c>
      <c r="X1067" t="s">
        <v>7366</v>
      </c>
      <c r="Y1067" t="s">
        <v>7388</v>
      </c>
      <c r="Z1067" t="s">
        <v>8233</v>
      </c>
      <c r="AA1067" t="s">
        <v>10104</v>
      </c>
      <c r="AB1067" t="s">
        <v>11007</v>
      </c>
      <c r="AC1067">
        <v>16</v>
      </c>
      <c r="AD1067" t="s">
        <v>12422</v>
      </c>
      <c r="AE1067" t="s">
        <v>6110</v>
      </c>
      <c r="AF1067">
        <v>6</v>
      </c>
      <c r="AG1067">
        <v>1</v>
      </c>
      <c r="AH1067">
        <v>2</v>
      </c>
      <c r="AI1067">
        <v>72.18000000000001</v>
      </c>
      <c r="AL1067" t="s">
        <v>12460</v>
      </c>
      <c r="AM1067">
        <v>15000</v>
      </c>
      <c r="AO1067" t="s">
        <v>12846</v>
      </c>
      <c r="AP1067" t="s">
        <v>12858</v>
      </c>
      <c r="AQ1067" t="s">
        <v>12909</v>
      </c>
      <c r="AR1067" t="s">
        <v>12993</v>
      </c>
      <c r="AS1067">
        <v>27.1</v>
      </c>
      <c r="AT1067" t="s">
        <v>330</v>
      </c>
      <c r="AU1067" t="s">
        <v>48</v>
      </c>
    </row>
    <row r="1068" spans="1:48">
      <c r="A1068" s="1">
        <f>HYPERLINK("https://cms.ls-nyc.org/matter/dynamic-profile/view/1884034","18-1884034")</f>
        <v>0</v>
      </c>
      <c r="B1068" t="s">
        <v>98</v>
      </c>
      <c r="C1068" t="s">
        <v>412</v>
      </c>
      <c r="D1068" t="s">
        <v>297</v>
      </c>
      <c r="E1068" t="s">
        <v>1222</v>
      </c>
      <c r="F1068" t="s">
        <v>2668</v>
      </c>
      <c r="G1068" t="s">
        <v>4343</v>
      </c>
      <c r="H1068" t="s">
        <v>5639</v>
      </c>
      <c r="I1068" t="s">
        <v>6047</v>
      </c>
      <c r="J1068">
        <v>10452</v>
      </c>
      <c r="K1068" t="s">
        <v>6074</v>
      </c>
      <c r="L1068" t="s">
        <v>6074</v>
      </c>
      <c r="N1068" t="s">
        <v>6104</v>
      </c>
      <c r="O1068" t="s">
        <v>7306</v>
      </c>
      <c r="P1068" t="s">
        <v>7314</v>
      </c>
      <c r="Q1068" t="s">
        <v>7322</v>
      </c>
      <c r="R1068" t="s">
        <v>6076</v>
      </c>
      <c r="S1068" t="s">
        <v>7324</v>
      </c>
      <c r="U1068" t="s">
        <v>292</v>
      </c>
      <c r="V1068">
        <v>700</v>
      </c>
      <c r="W1068" t="s">
        <v>7363</v>
      </c>
      <c r="X1068" t="s">
        <v>7376</v>
      </c>
      <c r="Y1068" t="s">
        <v>7386</v>
      </c>
      <c r="Z1068" t="s">
        <v>8234</v>
      </c>
      <c r="AB1068" t="s">
        <v>11008</v>
      </c>
      <c r="AC1068">
        <v>102</v>
      </c>
      <c r="AD1068" t="s">
        <v>12425</v>
      </c>
      <c r="AE1068" t="s">
        <v>6110</v>
      </c>
      <c r="AF1068">
        <v>6</v>
      </c>
      <c r="AG1068">
        <v>1</v>
      </c>
      <c r="AH1068">
        <v>2</v>
      </c>
      <c r="AI1068">
        <v>72.18000000000001</v>
      </c>
      <c r="AL1068" t="s">
        <v>12461</v>
      </c>
      <c r="AM1068">
        <v>15000</v>
      </c>
      <c r="AS1068">
        <v>0.2</v>
      </c>
      <c r="AT1068" t="s">
        <v>412</v>
      </c>
      <c r="AU1068" t="s">
        <v>13092</v>
      </c>
    </row>
    <row r="1069" spans="1:48">
      <c r="A1069" s="1">
        <f>HYPERLINK("https://cms.ls-nyc.org/matter/dynamic-profile/view/1881793","18-1881793")</f>
        <v>0</v>
      </c>
      <c r="B1069" t="s">
        <v>165</v>
      </c>
      <c r="C1069" t="s">
        <v>451</v>
      </c>
      <c r="E1069" t="s">
        <v>1205</v>
      </c>
      <c r="F1069" t="s">
        <v>2356</v>
      </c>
      <c r="G1069" t="s">
        <v>4344</v>
      </c>
      <c r="H1069" t="s">
        <v>5564</v>
      </c>
      <c r="I1069" t="s">
        <v>6049</v>
      </c>
      <c r="J1069">
        <v>10032</v>
      </c>
      <c r="K1069" t="s">
        <v>6074</v>
      </c>
      <c r="L1069" t="s">
        <v>6074</v>
      </c>
      <c r="M1069" t="s">
        <v>6581</v>
      </c>
      <c r="N1069" t="s">
        <v>7276</v>
      </c>
      <c r="O1069" t="s">
        <v>7307</v>
      </c>
      <c r="Q1069" t="s">
        <v>7322</v>
      </c>
      <c r="S1069" t="s">
        <v>7324</v>
      </c>
      <c r="U1069" t="s">
        <v>451</v>
      </c>
      <c r="V1069">
        <v>802</v>
      </c>
      <c r="W1069" t="s">
        <v>7365</v>
      </c>
      <c r="X1069" t="s">
        <v>7374</v>
      </c>
      <c r="Z1069" t="s">
        <v>8235</v>
      </c>
      <c r="AB1069" t="s">
        <v>11009</v>
      </c>
      <c r="AC1069">
        <v>0</v>
      </c>
      <c r="AD1069" t="s">
        <v>12422</v>
      </c>
      <c r="AE1069" t="s">
        <v>6110</v>
      </c>
      <c r="AF1069">
        <v>6</v>
      </c>
      <c r="AG1069">
        <v>2</v>
      </c>
      <c r="AH1069">
        <v>1</v>
      </c>
      <c r="AI1069">
        <v>72.18000000000001</v>
      </c>
      <c r="AL1069" t="s">
        <v>12461</v>
      </c>
      <c r="AM1069">
        <v>15000</v>
      </c>
      <c r="AS1069">
        <v>1.3</v>
      </c>
      <c r="AT1069" t="s">
        <v>386</v>
      </c>
      <c r="AU1069" t="s">
        <v>13111</v>
      </c>
    </row>
    <row r="1070" spans="1:48">
      <c r="A1070" s="1">
        <f>HYPERLINK("https://cms.ls-nyc.org/matter/dynamic-profile/view/1897237","19-1897237")</f>
        <v>0</v>
      </c>
      <c r="B1070" t="s">
        <v>54</v>
      </c>
      <c r="C1070" t="s">
        <v>347</v>
      </c>
      <c r="E1070" t="s">
        <v>1223</v>
      </c>
      <c r="F1070" t="s">
        <v>2669</v>
      </c>
      <c r="G1070" t="s">
        <v>3900</v>
      </c>
      <c r="H1070" t="s">
        <v>5483</v>
      </c>
      <c r="I1070" t="s">
        <v>6025</v>
      </c>
      <c r="J1070">
        <v>11691</v>
      </c>
      <c r="K1070" t="s">
        <v>6074</v>
      </c>
      <c r="L1070" t="s">
        <v>6074</v>
      </c>
      <c r="N1070" t="s">
        <v>7279</v>
      </c>
      <c r="O1070" t="s">
        <v>7311</v>
      </c>
      <c r="Q1070" t="s">
        <v>7322</v>
      </c>
      <c r="R1070" t="s">
        <v>6074</v>
      </c>
      <c r="S1070" t="s">
        <v>7324</v>
      </c>
      <c r="U1070" t="s">
        <v>347</v>
      </c>
      <c r="V1070">
        <v>819</v>
      </c>
      <c r="W1070" t="s">
        <v>7361</v>
      </c>
      <c r="X1070" t="s">
        <v>7375</v>
      </c>
      <c r="Z1070" t="s">
        <v>8236</v>
      </c>
      <c r="AB1070" t="s">
        <v>11010</v>
      </c>
      <c r="AC1070">
        <v>43</v>
      </c>
      <c r="AD1070" t="s">
        <v>12422</v>
      </c>
      <c r="AE1070" t="s">
        <v>6110</v>
      </c>
      <c r="AF1070">
        <v>15</v>
      </c>
      <c r="AG1070">
        <v>2</v>
      </c>
      <c r="AH1070">
        <v>3</v>
      </c>
      <c r="AI1070">
        <v>72.26000000000001</v>
      </c>
      <c r="AL1070" t="s">
        <v>12461</v>
      </c>
      <c r="AM1070">
        <v>21800</v>
      </c>
      <c r="AS1070">
        <v>0</v>
      </c>
      <c r="AU1070" t="s">
        <v>189</v>
      </c>
    </row>
    <row r="1071" spans="1:48">
      <c r="A1071" s="1">
        <f>HYPERLINK("https://cms.ls-nyc.org/matter/dynamic-profile/view/1900016","19-1900016")</f>
        <v>0</v>
      </c>
      <c r="B1071" t="s">
        <v>152</v>
      </c>
      <c r="C1071" t="s">
        <v>265</v>
      </c>
      <c r="E1071" t="s">
        <v>1224</v>
      </c>
      <c r="F1071" t="s">
        <v>2670</v>
      </c>
      <c r="G1071" t="s">
        <v>4345</v>
      </c>
      <c r="I1071" t="s">
        <v>6060</v>
      </c>
      <c r="J1071">
        <v>11418</v>
      </c>
      <c r="K1071" t="s">
        <v>6074</v>
      </c>
      <c r="L1071" t="s">
        <v>6075</v>
      </c>
      <c r="M1071" t="s">
        <v>6582</v>
      </c>
      <c r="N1071" t="s">
        <v>7276</v>
      </c>
      <c r="O1071" t="s">
        <v>7310</v>
      </c>
      <c r="Q1071" t="s">
        <v>7322</v>
      </c>
      <c r="R1071" t="s">
        <v>6074</v>
      </c>
      <c r="S1071" t="s">
        <v>7324</v>
      </c>
      <c r="U1071" t="s">
        <v>265</v>
      </c>
      <c r="V1071">
        <v>1213</v>
      </c>
      <c r="W1071" t="s">
        <v>7361</v>
      </c>
      <c r="X1071" t="s">
        <v>7366</v>
      </c>
      <c r="Z1071" t="s">
        <v>8237</v>
      </c>
      <c r="AB1071" t="s">
        <v>11011</v>
      </c>
      <c r="AC1071">
        <v>60</v>
      </c>
      <c r="AF1071">
        <v>3</v>
      </c>
      <c r="AG1071">
        <v>1</v>
      </c>
      <c r="AH1071">
        <v>0</v>
      </c>
      <c r="AI1071">
        <v>72.44</v>
      </c>
      <c r="AL1071" t="s">
        <v>12460</v>
      </c>
      <c r="AM1071">
        <v>9048</v>
      </c>
      <c r="AS1071">
        <v>2.8</v>
      </c>
      <c r="AT1071" t="s">
        <v>496</v>
      </c>
      <c r="AU1071" t="s">
        <v>13078</v>
      </c>
    </row>
    <row r="1072" spans="1:48">
      <c r="A1072" s="1">
        <f>HYPERLINK("https://cms.ls-nyc.org/matter/dynamic-profile/view/1892741","19-1892741")</f>
        <v>0</v>
      </c>
      <c r="B1072" t="s">
        <v>81</v>
      </c>
      <c r="C1072" t="s">
        <v>395</v>
      </c>
      <c r="E1072" t="s">
        <v>1225</v>
      </c>
      <c r="F1072" t="s">
        <v>2671</v>
      </c>
      <c r="G1072" t="s">
        <v>4346</v>
      </c>
      <c r="H1072" t="s">
        <v>5357</v>
      </c>
      <c r="I1072" t="s">
        <v>6043</v>
      </c>
      <c r="J1072">
        <v>11225</v>
      </c>
      <c r="K1072" t="s">
        <v>6074</v>
      </c>
      <c r="L1072" t="s">
        <v>6074</v>
      </c>
      <c r="N1072" t="s">
        <v>7282</v>
      </c>
      <c r="O1072" t="s">
        <v>7308</v>
      </c>
      <c r="Q1072" t="s">
        <v>7322</v>
      </c>
      <c r="R1072" t="s">
        <v>6074</v>
      </c>
      <c r="S1072" t="s">
        <v>7324</v>
      </c>
      <c r="U1072" t="s">
        <v>477</v>
      </c>
      <c r="V1072">
        <v>1726.17</v>
      </c>
      <c r="W1072" t="s">
        <v>7362</v>
      </c>
      <c r="Z1072" t="s">
        <v>8238</v>
      </c>
      <c r="AC1072">
        <v>0</v>
      </c>
      <c r="AF1072">
        <v>14</v>
      </c>
      <c r="AG1072">
        <v>2</v>
      </c>
      <c r="AH1072">
        <v>0</v>
      </c>
      <c r="AI1072">
        <v>72.45</v>
      </c>
      <c r="AL1072" t="s">
        <v>12460</v>
      </c>
      <c r="AM1072">
        <v>12252</v>
      </c>
      <c r="AS1072">
        <v>1.8</v>
      </c>
      <c r="AT1072" t="s">
        <v>338</v>
      </c>
      <c r="AU1072" t="s">
        <v>88</v>
      </c>
      <c r="AV1072" t="s">
        <v>13145</v>
      </c>
    </row>
    <row r="1073" spans="1:48">
      <c r="A1073" s="1">
        <f>HYPERLINK("https://cms.ls-nyc.org/matter/dynamic-profile/view/1892743","19-1892743")</f>
        <v>0</v>
      </c>
      <c r="B1073" t="s">
        <v>81</v>
      </c>
      <c r="C1073" t="s">
        <v>395</v>
      </c>
      <c r="E1073" t="s">
        <v>1225</v>
      </c>
      <c r="F1073" t="s">
        <v>2671</v>
      </c>
      <c r="G1073" t="s">
        <v>4346</v>
      </c>
      <c r="H1073" t="s">
        <v>5357</v>
      </c>
      <c r="I1073" t="s">
        <v>6043</v>
      </c>
      <c r="J1073">
        <v>11225</v>
      </c>
      <c r="K1073" t="s">
        <v>6074</v>
      </c>
      <c r="L1073" t="s">
        <v>6074</v>
      </c>
      <c r="N1073" t="s">
        <v>7282</v>
      </c>
      <c r="O1073" t="s">
        <v>7308</v>
      </c>
      <c r="Q1073" t="s">
        <v>7322</v>
      </c>
      <c r="R1073" t="s">
        <v>6074</v>
      </c>
      <c r="S1073" t="s">
        <v>7324</v>
      </c>
      <c r="U1073" t="s">
        <v>477</v>
      </c>
      <c r="V1073">
        <v>1726.17</v>
      </c>
      <c r="W1073" t="s">
        <v>7362</v>
      </c>
      <c r="Z1073" t="s">
        <v>8238</v>
      </c>
      <c r="AC1073">
        <v>0</v>
      </c>
      <c r="AF1073">
        <v>14</v>
      </c>
      <c r="AG1073">
        <v>2</v>
      </c>
      <c r="AH1073">
        <v>0</v>
      </c>
      <c r="AI1073">
        <v>72.45</v>
      </c>
      <c r="AL1073" t="s">
        <v>12460</v>
      </c>
      <c r="AM1073">
        <v>12252</v>
      </c>
      <c r="AS1073">
        <v>0</v>
      </c>
      <c r="AU1073" t="s">
        <v>88</v>
      </c>
    </row>
    <row r="1074" spans="1:48">
      <c r="A1074" s="1">
        <f>HYPERLINK("https://cms.ls-nyc.org/matter/dynamic-profile/view/1875536","18-1875536")</f>
        <v>0</v>
      </c>
      <c r="B1074" t="s">
        <v>184</v>
      </c>
      <c r="C1074" t="s">
        <v>233</v>
      </c>
      <c r="D1074" t="s">
        <v>233</v>
      </c>
      <c r="E1074" t="s">
        <v>737</v>
      </c>
      <c r="F1074" t="s">
        <v>2672</v>
      </c>
      <c r="G1074" t="s">
        <v>4347</v>
      </c>
      <c r="H1074" t="s">
        <v>5640</v>
      </c>
      <c r="I1074" t="s">
        <v>6047</v>
      </c>
      <c r="J1074">
        <v>10453</v>
      </c>
      <c r="K1074" t="s">
        <v>6074</v>
      </c>
      <c r="L1074" t="s">
        <v>6074</v>
      </c>
      <c r="N1074" t="s">
        <v>6104</v>
      </c>
      <c r="O1074" t="s">
        <v>7306</v>
      </c>
      <c r="P1074" t="s">
        <v>7314</v>
      </c>
      <c r="Q1074" t="s">
        <v>7322</v>
      </c>
      <c r="R1074" t="s">
        <v>6076</v>
      </c>
      <c r="S1074" t="s">
        <v>7324</v>
      </c>
      <c r="U1074" t="s">
        <v>233</v>
      </c>
      <c r="V1074">
        <v>875.8</v>
      </c>
      <c r="W1074" t="s">
        <v>7363</v>
      </c>
      <c r="X1074" t="s">
        <v>7376</v>
      </c>
      <c r="Y1074" t="s">
        <v>7386</v>
      </c>
      <c r="Z1074" t="s">
        <v>8239</v>
      </c>
      <c r="AB1074" t="s">
        <v>11012</v>
      </c>
      <c r="AC1074">
        <v>38</v>
      </c>
      <c r="AD1074" t="s">
        <v>12422</v>
      </c>
      <c r="AE1074" t="s">
        <v>6110</v>
      </c>
      <c r="AF1074">
        <v>39</v>
      </c>
      <c r="AG1074">
        <v>1</v>
      </c>
      <c r="AH1074">
        <v>0</v>
      </c>
      <c r="AI1074">
        <v>72.45</v>
      </c>
      <c r="AL1074" t="s">
        <v>12461</v>
      </c>
      <c r="AM1074">
        <v>8796</v>
      </c>
      <c r="AS1074">
        <v>0.4</v>
      </c>
      <c r="AT1074" t="s">
        <v>243</v>
      </c>
      <c r="AU1074" t="s">
        <v>13092</v>
      </c>
    </row>
    <row r="1075" spans="1:48">
      <c r="A1075" s="1">
        <f>HYPERLINK("https://cms.ls-nyc.org/matter/dynamic-profile/view/1880344","18-1880344")</f>
        <v>0</v>
      </c>
      <c r="B1075" t="s">
        <v>118</v>
      </c>
      <c r="C1075" t="s">
        <v>354</v>
      </c>
      <c r="E1075" t="s">
        <v>1226</v>
      </c>
      <c r="F1075" t="s">
        <v>2673</v>
      </c>
      <c r="G1075" t="s">
        <v>4348</v>
      </c>
      <c r="H1075">
        <v>1</v>
      </c>
      <c r="I1075" t="s">
        <v>6048</v>
      </c>
      <c r="J1075">
        <v>10301</v>
      </c>
      <c r="K1075" t="s">
        <v>6074</v>
      </c>
      <c r="L1075" t="s">
        <v>6076</v>
      </c>
      <c r="M1075" t="s">
        <v>6583</v>
      </c>
      <c r="N1075" t="s">
        <v>7274</v>
      </c>
      <c r="O1075" t="s">
        <v>7308</v>
      </c>
      <c r="Q1075" t="s">
        <v>7322</v>
      </c>
      <c r="R1075" t="s">
        <v>6076</v>
      </c>
      <c r="S1075" t="s">
        <v>7324</v>
      </c>
      <c r="T1075" t="s">
        <v>7336</v>
      </c>
      <c r="U1075" t="s">
        <v>354</v>
      </c>
      <c r="V1075">
        <v>1243.56</v>
      </c>
      <c r="W1075" t="s">
        <v>7364</v>
      </c>
      <c r="X1075" t="s">
        <v>7368</v>
      </c>
      <c r="Z1075" t="s">
        <v>8240</v>
      </c>
      <c r="AB1075" t="s">
        <v>11013</v>
      </c>
      <c r="AC1075">
        <v>2</v>
      </c>
      <c r="AD1075" t="s">
        <v>12419</v>
      </c>
      <c r="AE1075" t="s">
        <v>12434</v>
      </c>
      <c r="AF1075">
        <v>6</v>
      </c>
      <c r="AG1075">
        <v>1</v>
      </c>
      <c r="AH1075">
        <v>0</v>
      </c>
      <c r="AI1075">
        <v>72.45</v>
      </c>
      <c r="AL1075" t="s">
        <v>12460</v>
      </c>
      <c r="AM1075">
        <v>8796</v>
      </c>
      <c r="AO1075" t="s">
        <v>12846</v>
      </c>
      <c r="AS1075">
        <v>12.4</v>
      </c>
      <c r="AT1075" t="s">
        <v>317</v>
      </c>
      <c r="AU1075" t="s">
        <v>13122</v>
      </c>
    </row>
    <row r="1076" spans="1:48">
      <c r="A1076" s="1">
        <f>HYPERLINK("https://cms.ls-nyc.org/matter/dynamic-profile/view/1876791","18-1876791")</f>
        <v>0</v>
      </c>
      <c r="B1076" t="s">
        <v>118</v>
      </c>
      <c r="C1076" t="s">
        <v>409</v>
      </c>
      <c r="D1076" t="s">
        <v>313</v>
      </c>
      <c r="E1076" t="s">
        <v>1226</v>
      </c>
      <c r="F1076" t="s">
        <v>2673</v>
      </c>
      <c r="G1076" t="s">
        <v>4348</v>
      </c>
      <c r="H1076">
        <v>1</v>
      </c>
      <c r="I1076" t="s">
        <v>6048</v>
      </c>
      <c r="J1076">
        <v>10301</v>
      </c>
      <c r="K1076" t="s">
        <v>6074</v>
      </c>
      <c r="L1076" t="s">
        <v>6076</v>
      </c>
      <c r="M1076" t="s">
        <v>6584</v>
      </c>
      <c r="N1076" t="s">
        <v>7273</v>
      </c>
      <c r="O1076" t="s">
        <v>7308</v>
      </c>
      <c r="P1076" t="s">
        <v>7316</v>
      </c>
      <c r="Q1076" t="s">
        <v>7322</v>
      </c>
      <c r="R1076" t="s">
        <v>6076</v>
      </c>
      <c r="S1076" t="s">
        <v>7324</v>
      </c>
      <c r="T1076" t="s">
        <v>7336</v>
      </c>
      <c r="U1076" t="s">
        <v>409</v>
      </c>
      <c r="V1076">
        <v>1243.56</v>
      </c>
      <c r="W1076" t="s">
        <v>7364</v>
      </c>
      <c r="X1076" t="s">
        <v>7367</v>
      </c>
      <c r="Y1076" t="s">
        <v>7394</v>
      </c>
      <c r="AB1076" t="s">
        <v>11013</v>
      </c>
      <c r="AC1076">
        <v>2</v>
      </c>
      <c r="AD1076" t="s">
        <v>12419</v>
      </c>
      <c r="AE1076" t="s">
        <v>12434</v>
      </c>
      <c r="AF1076">
        <v>6</v>
      </c>
      <c r="AG1076">
        <v>1</v>
      </c>
      <c r="AH1076">
        <v>0</v>
      </c>
      <c r="AI1076">
        <v>72.45</v>
      </c>
      <c r="AL1076" t="s">
        <v>12460</v>
      </c>
      <c r="AM1076">
        <v>8796</v>
      </c>
      <c r="AO1076" t="s">
        <v>12846</v>
      </c>
      <c r="AS1076">
        <v>15.2</v>
      </c>
      <c r="AT1076" t="s">
        <v>337</v>
      </c>
      <c r="AU1076" t="s">
        <v>210</v>
      </c>
    </row>
    <row r="1077" spans="1:48">
      <c r="A1077" s="1">
        <f>HYPERLINK("https://cms.ls-nyc.org/matter/dynamic-profile/view/1880926","18-1880926")</f>
        <v>0</v>
      </c>
      <c r="B1077" t="s">
        <v>118</v>
      </c>
      <c r="C1077" t="s">
        <v>333</v>
      </c>
      <c r="E1077" t="s">
        <v>1226</v>
      </c>
      <c r="F1077" t="s">
        <v>2673</v>
      </c>
      <c r="G1077" t="s">
        <v>4348</v>
      </c>
      <c r="H1077">
        <v>1</v>
      </c>
      <c r="I1077" t="s">
        <v>6048</v>
      </c>
      <c r="J1077">
        <v>10301</v>
      </c>
      <c r="K1077" t="s">
        <v>6074</v>
      </c>
      <c r="L1077" t="s">
        <v>6076</v>
      </c>
      <c r="N1077" t="s">
        <v>7281</v>
      </c>
      <c r="O1077" t="s">
        <v>7311</v>
      </c>
      <c r="Q1077" t="s">
        <v>7322</v>
      </c>
      <c r="R1077" t="s">
        <v>6076</v>
      </c>
      <c r="S1077" t="s">
        <v>7331</v>
      </c>
      <c r="T1077" t="s">
        <v>7336</v>
      </c>
      <c r="U1077" t="s">
        <v>333</v>
      </c>
      <c r="V1077">
        <v>1243.56</v>
      </c>
      <c r="W1077" t="s">
        <v>7364</v>
      </c>
      <c r="X1077" t="s">
        <v>7368</v>
      </c>
      <c r="AB1077" t="s">
        <v>11013</v>
      </c>
      <c r="AC1077">
        <v>2</v>
      </c>
      <c r="AD1077" t="s">
        <v>12419</v>
      </c>
      <c r="AE1077" t="s">
        <v>12434</v>
      </c>
      <c r="AF1077">
        <v>6</v>
      </c>
      <c r="AG1077">
        <v>1</v>
      </c>
      <c r="AH1077">
        <v>0</v>
      </c>
      <c r="AI1077">
        <v>72.45</v>
      </c>
      <c r="AL1077" t="s">
        <v>12460</v>
      </c>
      <c r="AM1077">
        <v>8796</v>
      </c>
      <c r="AS1077">
        <v>2.85</v>
      </c>
      <c r="AT1077" t="s">
        <v>343</v>
      </c>
      <c r="AU1077" t="s">
        <v>118</v>
      </c>
    </row>
    <row r="1078" spans="1:48">
      <c r="A1078" s="1">
        <f>HYPERLINK("https://cms.ls-nyc.org/matter/dynamic-profile/view/1878213","18-1878213")</f>
        <v>0</v>
      </c>
      <c r="B1078" t="s">
        <v>149</v>
      </c>
      <c r="C1078" t="s">
        <v>248</v>
      </c>
      <c r="D1078" t="s">
        <v>351</v>
      </c>
      <c r="E1078" t="s">
        <v>1227</v>
      </c>
      <c r="F1078" t="s">
        <v>2674</v>
      </c>
      <c r="G1078" t="s">
        <v>4349</v>
      </c>
      <c r="H1078" t="s">
        <v>5382</v>
      </c>
      <c r="I1078" t="s">
        <v>6047</v>
      </c>
      <c r="J1078">
        <v>10458</v>
      </c>
      <c r="K1078" t="s">
        <v>6074</v>
      </c>
      <c r="L1078" t="s">
        <v>6074</v>
      </c>
      <c r="M1078" t="s">
        <v>6585</v>
      </c>
      <c r="N1078" t="s">
        <v>7286</v>
      </c>
      <c r="O1078" t="s">
        <v>7309</v>
      </c>
      <c r="P1078" t="s">
        <v>7315</v>
      </c>
      <c r="Q1078" t="s">
        <v>7322</v>
      </c>
      <c r="R1078" t="s">
        <v>6076</v>
      </c>
      <c r="S1078" t="s">
        <v>7331</v>
      </c>
      <c r="U1078" t="s">
        <v>373</v>
      </c>
      <c r="V1078">
        <v>1989</v>
      </c>
      <c r="W1078" t="s">
        <v>7363</v>
      </c>
      <c r="X1078" t="s">
        <v>7370</v>
      </c>
      <c r="Y1078" t="s">
        <v>7390</v>
      </c>
      <c r="Z1078" t="s">
        <v>8241</v>
      </c>
      <c r="AA1078" t="s">
        <v>10105</v>
      </c>
      <c r="AB1078" t="s">
        <v>11014</v>
      </c>
      <c r="AC1078">
        <v>17</v>
      </c>
      <c r="AD1078" t="s">
        <v>12422</v>
      </c>
      <c r="AE1078" t="s">
        <v>12434</v>
      </c>
      <c r="AF1078">
        <v>7</v>
      </c>
      <c r="AG1078">
        <v>3</v>
      </c>
      <c r="AH1078">
        <v>1</v>
      </c>
      <c r="AI1078">
        <v>72.5</v>
      </c>
      <c r="AL1078" t="s">
        <v>12461</v>
      </c>
      <c r="AM1078">
        <v>18198.6</v>
      </c>
      <c r="AS1078">
        <v>1.5</v>
      </c>
      <c r="AT1078" t="s">
        <v>284</v>
      </c>
      <c r="AU1078" t="s">
        <v>13099</v>
      </c>
    </row>
    <row r="1079" spans="1:48">
      <c r="A1079" s="1">
        <f>HYPERLINK("https://cms.ls-nyc.org/matter/dynamic-profile/view/1881752","18-1881752")</f>
        <v>0</v>
      </c>
      <c r="B1079" t="s">
        <v>103</v>
      </c>
      <c r="C1079" t="s">
        <v>483</v>
      </c>
      <c r="E1079" t="s">
        <v>1228</v>
      </c>
      <c r="F1079" t="s">
        <v>2675</v>
      </c>
      <c r="G1079" t="s">
        <v>3810</v>
      </c>
      <c r="H1079" t="s">
        <v>5641</v>
      </c>
      <c r="I1079" t="s">
        <v>6047</v>
      </c>
      <c r="J1079">
        <v>10451</v>
      </c>
      <c r="K1079" t="s">
        <v>6074</v>
      </c>
      <c r="L1079" t="s">
        <v>6074</v>
      </c>
      <c r="M1079" t="s">
        <v>6201</v>
      </c>
      <c r="N1079" t="s">
        <v>7273</v>
      </c>
      <c r="O1079" t="s">
        <v>7308</v>
      </c>
      <c r="Q1079" t="s">
        <v>7322</v>
      </c>
      <c r="R1079" t="s">
        <v>6074</v>
      </c>
      <c r="S1079" t="s">
        <v>7324</v>
      </c>
      <c r="U1079" t="s">
        <v>472</v>
      </c>
      <c r="V1079">
        <v>279</v>
      </c>
      <c r="W1079" t="s">
        <v>7363</v>
      </c>
      <c r="X1079" t="s">
        <v>7376</v>
      </c>
      <c r="Z1079" t="s">
        <v>8242</v>
      </c>
      <c r="AB1079" t="s">
        <v>11015</v>
      </c>
      <c r="AC1079">
        <v>100</v>
      </c>
      <c r="AD1079" t="s">
        <v>12422</v>
      </c>
      <c r="AE1079" t="s">
        <v>12434</v>
      </c>
      <c r="AF1079">
        <v>32</v>
      </c>
      <c r="AG1079">
        <v>1</v>
      </c>
      <c r="AH1079">
        <v>0</v>
      </c>
      <c r="AI1079">
        <v>72.51000000000001</v>
      </c>
      <c r="AL1079" t="s">
        <v>12461</v>
      </c>
      <c r="AM1079">
        <v>8802.24</v>
      </c>
      <c r="AS1079">
        <v>0</v>
      </c>
      <c r="AU1079" t="s">
        <v>13095</v>
      </c>
    </row>
    <row r="1080" spans="1:48">
      <c r="A1080" s="1">
        <f>HYPERLINK("https://cms.ls-nyc.org/matter/dynamic-profile/view/1897678","19-1897678")</f>
        <v>0</v>
      </c>
      <c r="B1080" t="s">
        <v>118</v>
      </c>
      <c r="C1080" t="s">
        <v>375</v>
      </c>
      <c r="D1080" t="s">
        <v>375</v>
      </c>
      <c r="E1080" t="s">
        <v>1142</v>
      </c>
      <c r="F1080" t="s">
        <v>2676</v>
      </c>
      <c r="G1080" t="s">
        <v>4350</v>
      </c>
      <c r="H1080" t="s">
        <v>5642</v>
      </c>
      <c r="I1080" t="s">
        <v>6048</v>
      </c>
      <c r="J1080">
        <v>10314</v>
      </c>
      <c r="K1080" t="s">
        <v>6074</v>
      </c>
      <c r="L1080" t="s">
        <v>6074</v>
      </c>
      <c r="M1080" t="s">
        <v>6586</v>
      </c>
      <c r="N1080" t="s">
        <v>7276</v>
      </c>
      <c r="O1080" t="s">
        <v>7306</v>
      </c>
      <c r="P1080" t="s">
        <v>7314</v>
      </c>
      <c r="Q1080" t="s">
        <v>7323</v>
      </c>
      <c r="R1080" t="s">
        <v>6076</v>
      </c>
      <c r="S1080" t="s">
        <v>7324</v>
      </c>
      <c r="T1080" t="s">
        <v>7339</v>
      </c>
      <c r="U1080" t="s">
        <v>343</v>
      </c>
      <c r="V1080">
        <v>971.5</v>
      </c>
      <c r="W1080" t="s">
        <v>7364</v>
      </c>
      <c r="X1080" t="s">
        <v>7369</v>
      </c>
      <c r="Y1080" t="s">
        <v>7386</v>
      </c>
      <c r="Z1080" t="s">
        <v>8243</v>
      </c>
      <c r="AC1080">
        <v>0</v>
      </c>
      <c r="AD1080" t="s">
        <v>12422</v>
      </c>
      <c r="AF1080">
        <v>5</v>
      </c>
      <c r="AG1080">
        <v>1</v>
      </c>
      <c r="AH1080">
        <v>0</v>
      </c>
      <c r="AI1080">
        <v>72.54000000000001</v>
      </c>
      <c r="AJ1080" t="s">
        <v>12443</v>
      </c>
      <c r="AK1080" t="s">
        <v>12455</v>
      </c>
      <c r="AL1080" t="s">
        <v>12460</v>
      </c>
      <c r="AM1080">
        <v>9060</v>
      </c>
      <c r="AS1080">
        <v>3</v>
      </c>
      <c r="AT1080" t="s">
        <v>375</v>
      </c>
      <c r="AU1080" t="s">
        <v>118</v>
      </c>
    </row>
    <row r="1081" spans="1:48">
      <c r="A1081" s="1">
        <f>HYPERLINK("https://cms.ls-nyc.org/matter/dynamic-profile/view/1876588","18-1876588")</f>
        <v>0</v>
      </c>
      <c r="B1081" t="s">
        <v>59</v>
      </c>
      <c r="C1081" t="s">
        <v>243</v>
      </c>
      <c r="D1081" t="s">
        <v>346</v>
      </c>
      <c r="E1081" t="s">
        <v>1229</v>
      </c>
      <c r="F1081" t="s">
        <v>2390</v>
      </c>
      <c r="G1081" t="s">
        <v>4351</v>
      </c>
      <c r="H1081">
        <v>1005</v>
      </c>
      <c r="I1081" t="s">
        <v>6024</v>
      </c>
      <c r="J1081">
        <v>11692</v>
      </c>
      <c r="K1081" t="s">
        <v>6074</v>
      </c>
      <c r="L1081" t="s">
        <v>6074</v>
      </c>
      <c r="M1081" t="s">
        <v>6587</v>
      </c>
      <c r="N1081" t="s">
        <v>7276</v>
      </c>
      <c r="O1081" t="s">
        <v>7306</v>
      </c>
      <c r="P1081" t="s">
        <v>7314</v>
      </c>
      <c r="Q1081" t="s">
        <v>7322</v>
      </c>
      <c r="R1081" t="s">
        <v>6076</v>
      </c>
      <c r="S1081" t="s">
        <v>7324</v>
      </c>
      <c r="T1081" t="s">
        <v>7338</v>
      </c>
      <c r="U1081" t="s">
        <v>243</v>
      </c>
      <c r="V1081">
        <v>1400</v>
      </c>
      <c r="W1081" t="s">
        <v>7361</v>
      </c>
      <c r="X1081" t="s">
        <v>7366</v>
      </c>
      <c r="Y1081" t="s">
        <v>7386</v>
      </c>
      <c r="Z1081" t="s">
        <v>8244</v>
      </c>
      <c r="AA1081" t="s">
        <v>10106</v>
      </c>
      <c r="AB1081" t="s">
        <v>11016</v>
      </c>
      <c r="AC1081">
        <v>216</v>
      </c>
      <c r="AD1081" t="s">
        <v>12423</v>
      </c>
      <c r="AE1081" t="s">
        <v>6110</v>
      </c>
      <c r="AF1081">
        <v>4</v>
      </c>
      <c r="AG1081">
        <v>1</v>
      </c>
      <c r="AH1081">
        <v>0</v>
      </c>
      <c r="AI1081">
        <v>72.55</v>
      </c>
      <c r="AL1081" t="s">
        <v>12460</v>
      </c>
      <c r="AM1081">
        <v>8808</v>
      </c>
      <c r="AS1081">
        <v>0.1</v>
      </c>
      <c r="AT1081" t="s">
        <v>355</v>
      </c>
      <c r="AU1081" t="s">
        <v>48</v>
      </c>
    </row>
    <row r="1082" spans="1:48">
      <c r="A1082" s="1">
        <f>HYPERLINK("https://cms.ls-nyc.org/matter/dynamic-profile/view/1873594","18-1873594")</f>
        <v>0</v>
      </c>
      <c r="B1082" t="s">
        <v>188</v>
      </c>
      <c r="C1082" t="s">
        <v>447</v>
      </c>
      <c r="D1082" t="s">
        <v>465</v>
      </c>
      <c r="E1082" t="s">
        <v>949</v>
      </c>
      <c r="F1082" t="s">
        <v>2677</v>
      </c>
      <c r="G1082" t="s">
        <v>4352</v>
      </c>
      <c r="H1082" t="s">
        <v>5372</v>
      </c>
      <c r="I1082" t="s">
        <v>6048</v>
      </c>
      <c r="J1082">
        <v>10304</v>
      </c>
      <c r="K1082" t="s">
        <v>6074</v>
      </c>
      <c r="L1082" t="s">
        <v>6074</v>
      </c>
      <c r="M1082" t="s">
        <v>6204</v>
      </c>
      <c r="N1082" t="s">
        <v>7300</v>
      </c>
      <c r="O1082" t="s">
        <v>7311</v>
      </c>
      <c r="P1082" t="s">
        <v>7321</v>
      </c>
      <c r="Q1082" t="s">
        <v>7322</v>
      </c>
      <c r="R1082" t="s">
        <v>6076</v>
      </c>
      <c r="S1082" t="s">
        <v>7324</v>
      </c>
      <c r="T1082" t="s">
        <v>7336</v>
      </c>
      <c r="U1082" t="s">
        <v>447</v>
      </c>
      <c r="V1082">
        <v>890</v>
      </c>
      <c r="W1082" t="s">
        <v>7364</v>
      </c>
      <c r="X1082" t="s">
        <v>7368</v>
      </c>
      <c r="Y1082" t="s">
        <v>7392</v>
      </c>
      <c r="Z1082" t="s">
        <v>8245</v>
      </c>
      <c r="AB1082" t="s">
        <v>11017</v>
      </c>
      <c r="AC1082">
        <v>104</v>
      </c>
      <c r="AD1082" t="s">
        <v>12422</v>
      </c>
      <c r="AE1082" t="s">
        <v>12434</v>
      </c>
      <c r="AF1082">
        <v>30</v>
      </c>
      <c r="AG1082">
        <v>1</v>
      </c>
      <c r="AH1082">
        <v>0</v>
      </c>
      <c r="AI1082">
        <v>72.55</v>
      </c>
      <c r="AL1082" t="s">
        <v>12460</v>
      </c>
      <c r="AM1082">
        <v>8808</v>
      </c>
      <c r="AP1082" t="s">
        <v>7305</v>
      </c>
      <c r="AQ1082" t="s">
        <v>12909</v>
      </c>
      <c r="AR1082" t="s">
        <v>12994</v>
      </c>
      <c r="AS1082">
        <v>7.8</v>
      </c>
      <c r="AT1082" t="s">
        <v>465</v>
      </c>
      <c r="AU1082" t="s">
        <v>188</v>
      </c>
    </row>
    <row r="1083" spans="1:48">
      <c r="A1083" s="1">
        <f>HYPERLINK("https://cms.ls-nyc.org/matter/dynamic-profile/view/1883253","18-1883253")</f>
        <v>0</v>
      </c>
      <c r="B1083" t="s">
        <v>76</v>
      </c>
      <c r="C1083" t="s">
        <v>403</v>
      </c>
      <c r="E1083" t="s">
        <v>686</v>
      </c>
      <c r="F1083" t="s">
        <v>2678</v>
      </c>
      <c r="G1083" t="s">
        <v>4353</v>
      </c>
      <c r="H1083" t="s">
        <v>5382</v>
      </c>
      <c r="I1083" t="s">
        <v>6043</v>
      </c>
      <c r="J1083">
        <v>11233</v>
      </c>
      <c r="K1083" t="s">
        <v>6074</v>
      </c>
      <c r="L1083" t="s">
        <v>6074</v>
      </c>
      <c r="M1083" t="s">
        <v>6588</v>
      </c>
      <c r="N1083" t="s">
        <v>7276</v>
      </c>
      <c r="O1083" t="s">
        <v>7308</v>
      </c>
      <c r="Q1083" t="s">
        <v>7322</v>
      </c>
      <c r="R1083" t="s">
        <v>6076</v>
      </c>
      <c r="S1083" t="s">
        <v>7324</v>
      </c>
      <c r="T1083" t="s">
        <v>7336</v>
      </c>
      <c r="U1083" t="s">
        <v>403</v>
      </c>
      <c r="V1083">
        <v>957.15</v>
      </c>
      <c r="W1083" t="s">
        <v>7362</v>
      </c>
      <c r="X1083" t="s">
        <v>7305</v>
      </c>
      <c r="Z1083" t="s">
        <v>8246</v>
      </c>
      <c r="AA1083" t="s">
        <v>10107</v>
      </c>
      <c r="AB1083" t="s">
        <v>11018</v>
      </c>
      <c r="AC1083">
        <v>15</v>
      </c>
      <c r="AD1083" t="s">
        <v>6322</v>
      </c>
      <c r="AE1083" t="s">
        <v>6110</v>
      </c>
      <c r="AF1083">
        <v>25</v>
      </c>
      <c r="AG1083">
        <v>1</v>
      </c>
      <c r="AH1083">
        <v>0</v>
      </c>
      <c r="AI1083">
        <v>72.65000000000001</v>
      </c>
      <c r="AL1083" t="s">
        <v>12460</v>
      </c>
      <c r="AM1083">
        <v>8820</v>
      </c>
      <c r="AN1083" t="s">
        <v>12511</v>
      </c>
      <c r="AS1083">
        <v>15.45</v>
      </c>
      <c r="AT1083" t="s">
        <v>247</v>
      </c>
      <c r="AU1083" t="s">
        <v>13091</v>
      </c>
    </row>
    <row r="1084" spans="1:48">
      <c r="A1084" s="1">
        <f>HYPERLINK("https://cms.ls-nyc.org/matter/dynamic-profile/view/1877272","18-1877272")</f>
        <v>0</v>
      </c>
      <c r="B1084" t="s">
        <v>92</v>
      </c>
      <c r="C1084" t="s">
        <v>273</v>
      </c>
      <c r="D1084" t="s">
        <v>496</v>
      </c>
      <c r="E1084" t="s">
        <v>1230</v>
      </c>
      <c r="F1084" t="s">
        <v>2679</v>
      </c>
      <c r="G1084" t="s">
        <v>4065</v>
      </c>
      <c r="H1084" t="s">
        <v>5643</v>
      </c>
      <c r="I1084" t="s">
        <v>6043</v>
      </c>
      <c r="J1084">
        <v>11221</v>
      </c>
      <c r="K1084" t="s">
        <v>6074</v>
      </c>
      <c r="L1084" t="s">
        <v>6074</v>
      </c>
      <c r="N1084" t="s">
        <v>6104</v>
      </c>
      <c r="O1084" t="s">
        <v>7309</v>
      </c>
      <c r="P1084" t="s">
        <v>7315</v>
      </c>
      <c r="Q1084" t="s">
        <v>7322</v>
      </c>
      <c r="S1084" t="s">
        <v>7324</v>
      </c>
      <c r="U1084" t="s">
        <v>404</v>
      </c>
      <c r="V1084">
        <v>800</v>
      </c>
      <c r="W1084" t="s">
        <v>7362</v>
      </c>
      <c r="X1084" t="s">
        <v>7374</v>
      </c>
      <c r="Y1084" t="s">
        <v>7387</v>
      </c>
      <c r="Z1084" t="s">
        <v>8247</v>
      </c>
      <c r="AC1084">
        <v>54</v>
      </c>
      <c r="AD1084" t="s">
        <v>12422</v>
      </c>
      <c r="AE1084" t="s">
        <v>7305</v>
      </c>
      <c r="AF1084">
        <v>6</v>
      </c>
      <c r="AG1084">
        <v>1</v>
      </c>
      <c r="AH1084">
        <v>0</v>
      </c>
      <c r="AI1084">
        <v>72.65000000000001</v>
      </c>
      <c r="AL1084" t="s">
        <v>12460</v>
      </c>
      <c r="AM1084">
        <v>8820</v>
      </c>
      <c r="AN1084" t="s">
        <v>12591</v>
      </c>
      <c r="AS1084">
        <v>0.1</v>
      </c>
      <c r="AT1084" t="s">
        <v>496</v>
      </c>
      <c r="AU1084" t="s">
        <v>218</v>
      </c>
      <c r="AV1084" t="s">
        <v>13145</v>
      </c>
    </row>
    <row r="1085" spans="1:48">
      <c r="A1085" s="1">
        <f>HYPERLINK("https://cms.ls-nyc.org/matter/dynamic-profile/view/1880117","18-1880117")</f>
        <v>0</v>
      </c>
      <c r="B1085" t="s">
        <v>133</v>
      </c>
      <c r="C1085" t="s">
        <v>245</v>
      </c>
      <c r="E1085" t="s">
        <v>987</v>
      </c>
      <c r="F1085" t="s">
        <v>2680</v>
      </c>
      <c r="G1085" t="s">
        <v>4128</v>
      </c>
      <c r="H1085" t="s">
        <v>5435</v>
      </c>
      <c r="I1085" t="s">
        <v>6049</v>
      </c>
      <c r="J1085">
        <v>10040</v>
      </c>
      <c r="K1085" t="s">
        <v>6074</v>
      </c>
      <c r="L1085" t="s">
        <v>6074</v>
      </c>
      <c r="N1085" t="s">
        <v>7279</v>
      </c>
      <c r="O1085" t="s">
        <v>7308</v>
      </c>
      <c r="Q1085" t="s">
        <v>7322</v>
      </c>
      <c r="R1085" t="s">
        <v>6074</v>
      </c>
      <c r="S1085" t="s">
        <v>7324</v>
      </c>
      <c r="U1085" t="s">
        <v>245</v>
      </c>
      <c r="V1085">
        <v>991.98</v>
      </c>
      <c r="W1085" t="s">
        <v>7365</v>
      </c>
      <c r="X1085" t="s">
        <v>7368</v>
      </c>
      <c r="Z1085" t="s">
        <v>8248</v>
      </c>
      <c r="AB1085" t="s">
        <v>11019</v>
      </c>
      <c r="AC1085">
        <v>88</v>
      </c>
      <c r="AD1085" t="s">
        <v>12422</v>
      </c>
      <c r="AE1085" t="s">
        <v>6110</v>
      </c>
      <c r="AF1085">
        <v>40</v>
      </c>
      <c r="AG1085">
        <v>1</v>
      </c>
      <c r="AH1085">
        <v>0</v>
      </c>
      <c r="AI1085">
        <v>72.65000000000001</v>
      </c>
      <c r="AL1085" t="s">
        <v>12461</v>
      </c>
      <c r="AM1085">
        <v>8820</v>
      </c>
      <c r="AS1085">
        <v>0</v>
      </c>
      <c r="AU1085" t="s">
        <v>13106</v>
      </c>
    </row>
    <row r="1086" spans="1:48">
      <c r="A1086" s="1">
        <f>HYPERLINK("https://cms.ls-nyc.org/matter/dynamic-profile/view/1882702","18-1882702")</f>
        <v>0</v>
      </c>
      <c r="B1086" t="s">
        <v>98</v>
      </c>
      <c r="C1086" t="s">
        <v>296</v>
      </c>
      <c r="E1086" t="s">
        <v>676</v>
      </c>
      <c r="F1086" t="s">
        <v>2681</v>
      </c>
      <c r="G1086" t="s">
        <v>3786</v>
      </c>
      <c r="H1086" t="s">
        <v>5364</v>
      </c>
      <c r="I1086" t="s">
        <v>6047</v>
      </c>
      <c r="J1086">
        <v>10457</v>
      </c>
      <c r="K1086" t="s">
        <v>6074</v>
      </c>
      <c r="L1086" t="s">
        <v>6074</v>
      </c>
      <c r="M1086" t="s">
        <v>6187</v>
      </c>
      <c r="N1086" t="s">
        <v>7279</v>
      </c>
      <c r="O1086" t="s">
        <v>7311</v>
      </c>
      <c r="Q1086" t="s">
        <v>7322</v>
      </c>
      <c r="R1086" t="s">
        <v>6074</v>
      </c>
      <c r="S1086" t="s">
        <v>7324</v>
      </c>
      <c r="U1086" t="s">
        <v>472</v>
      </c>
      <c r="V1086">
        <v>1551</v>
      </c>
      <c r="W1086" t="s">
        <v>7363</v>
      </c>
      <c r="X1086" t="s">
        <v>7376</v>
      </c>
      <c r="Z1086" t="s">
        <v>8249</v>
      </c>
      <c r="AB1086" t="s">
        <v>11020</v>
      </c>
      <c r="AC1086">
        <v>47</v>
      </c>
      <c r="AD1086" t="s">
        <v>12422</v>
      </c>
      <c r="AE1086" t="s">
        <v>12434</v>
      </c>
      <c r="AF1086">
        <v>12</v>
      </c>
      <c r="AG1086">
        <v>2</v>
      </c>
      <c r="AH1086">
        <v>0</v>
      </c>
      <c r="AI1086">
        <v>72.69</v>
      </c>
      <c r="AL1086" t="s">
        <v>12460</v>
      </c>
      <c r="AM1086">
        <v>11964</v>
      </c>
      <c r="AS1086">
        <v>0.4</v>
      </c>
      <c r="AT1086" t="s">
        <v>252</v>
      </c>
      <c r="AU1086" t="s">
        <v>13092</v>
      </c>
    </row>
    <row r="1087" spans="1:48">
      <c r="A1087" s="1">
        <f>HYPERLINK("https://cms.ls-nyc.org/matter/dynamic-profile/view/1882698","18-1882698")</f>
        <v>0</v>
      </c>
      <c r="B1087" t="s">
        <v>98</v>
      </c>
      <c r="C1087" t="s">
        <v>296</v>
      </c>
      <c r="E1087" t="s">
        <v>676</v>
      </c>
      <c r="F1087" t="s">
        <v>2681</v>
      </c>
      <c r="G1087" t="s">
        <v>3786</v>
      </c>
      <c r="H1087" t="s">
        <v>5364</v>
      </c>
      <c r="I1087" t="s">
        <v>6047</v>
      </c>
      <c r="J1087">
        <v>10457</v>
      </c>
      <c r="K1087" t="s">
        <v>6074</v>
      </c>
      <c r="L1087" t="s">
        <v>6074</v>
      </c>
      <c r="M1087" t="s">
        <v>6191</v>
      </c>
      <c r="N1087" t="s">
        <v>7273</v>
      </c>
      <c r="O1087" t="s">
        <v>7308</v>
      </c>
      <c r="Q1087" t="s">
        <v>7322</v>
      </c>
      <c r="R1087" t="s">
        <v>6074</v>
      </c>
      <c r="S1087" t="s">
        <v>7324</v>
      </c>
      <c r="U1087" t="s">
        <v>472</v>
      </c>
      <c r="V1087">
        <v>1551</v>
      </c>
      <c r="W1087" t="s">
        <v>7363</v>
      </c>
      <c r="X1087" t="s">
        <v>7376</v>
      </c>
      <c r="Z1087" t="s">
        <v>8249</v>
      </c>
      <c r="AB1087" t="s">
        <v>11020</v>
      </c>
      <c r="AC1087">
        <v>47</v>
      </c>
      <c r="AD1087" t="s">
        <v>12422</v>
      </c>
      <c r="AE1087" t="s">
        <v>12434</v>
      </c>
      <c r="AF1087">
        <v>12</v>
      </c>
      <c r="AG1087">
        <v>2</v>
      </c>
      <c r="AH1087">
        <v>0</v>
      </c>
      <c r="AI1087">
        <v>72.69</v>
      </c>
      <c r="AL1087" t="s">
        <v>12460</v>
      </c>
      <c r="AM1087">
        <v>11964</v>
      </c>
      <c r="AS1087">
        <v>1</v>
      </c>
      <c r="AT1087" t="s">
        <v>424</v>
      </c>
      <c r="AU1087" t="s">
        <v>13092</v>
      </c>
    </row>
    <row r="1088" spans="1:48">
      <c r="A1088" s="1">
        <f>HYPERLINK("https://cms.ls-nyc.org/matter/dynamic-profile/view/1895335","19-1895335")</f>
        <v>0</v>
      </c>
      <c r="B1088" t="s">
        <v>174</v>
      </c>
      <c r="C1088" t="s">
        <v>247</v>
      </c>
      <c r="E1088" t="s">
        <v>1231</v>
      </c>
      <c r="F1088" t="s">
        <v>2311</v>
      </c>
      <c r="G1088" t="s">
        <v>4354</v>
      </c>
      <c r="H1088" t="s">
        <v>5373</v>
      </c>
      <c r="I1088" t="s">
        <v>6043</v>
      </c>
      <c r="J1088">
        <v>11221</v>
      </c>
      <c r="K1088" t="s">
        <v>6076</v>
      </c>
      <c r="L1088" t="s">
        <v>6076</v>
      </c>
      <c r="N1088" t="s">
        <v>7287</v>
      </c>
      <c r="O1088" t="s">
        <v>7308</v>
      </c>
      <c r="Q1088" t="s">
        <v>7322</v>
      </c>
      <c r="R1088" t="s">
        <v>6074</v>
      </c>
      <c r="S1088" t="s">
        <v>7324</v>
      </c>
      <c r="T1088" t="s">
        <v>7338</v>
      </c>
      <c r="U1088" t="s">
        <v>247</v>
      </c>
      <c r="V1088">
        <v>793</v>
      </c>
      <c r="W1088" t="s">
        <v>7362</v>
      </c>
      <c r="X1088" t="s">
        <v>7376</v>
      </c>
      <c r="Z1088" t="s">
        <v>8250</v>
      </c>
      <c r="AB1088" t="s">
        <v>11021</v>
      </c>
      <c r="AC1088">
        <v>12</v>
      </c>
      <c r="AD1088" t="s">
        <v>12422</v>
      </c>
      <c r="AE1088" t="s">
        <v>6110</v>
      </c>
      <c r="AF1088">
        <v>15</v>
      </c>
      <c r="AG1088">
        <v>1</v>
      </c>
      <c r="AH1088">
        <v>0</v>
      </c>
      <c r="AI1088">
        <v>72.86</v>
      </c>
      <c r="AL1088" t="s">
        <v>12460</v>
      </c>
      <c r="AM1088">
        <v>9100</v>
      </c>
      <c r="AS1088">
        <v>0</v>
      </c>
      <c r="AU1088" t="s">
        <v>218</v>
      </c>
    </row>
    <row r="1089" spans="1:48">
      <c r="A1089" s="1">
        <f>HYPERLINK("https://cms.ls-nyc.org/matter/dynamic-profile/view/1895376","19-1895376")</f>
        <v>0</v>
      </c>
      <c r="B1089" t="s">
        <v>78</v>
      </c>
      <c r="C1089" t="s">
        <v>247</v>
      </c>
      <c r="E1089" t="s">
        <v>1232</v>
      </c>
      <c r="F1089" t="s">
        <v>2682</v>
      </c>
      <c r="G1089" t="s">
        <v>3919</v>
      </c>
      <c r="H1089" t="s">
        <v>5355</v>
      </c>
      <c r="I1089" t="s">
        <v>6043</v>
      </c>
      <c r="J1089">
        <v>11212</v>
      </c>
      <c r="K1089" t="s">
        <v>6074</v>
      </c>
      <c r="L1089" t="s">
        <v>6074</v>
      </c>
      <c r="N1089" t="s">
        <v>7287</v>
      </c>
      <c r="O1089" t="s">
        <v>7312</v>
      </c>
      <c r="Q1089" t="s">
        <v>7322</v>
      </c>
      <c r="R1089" t="s">
        <v>6074</v>
      </c>
      <c r="S1089" t="s">
        <v>7324</v>
      </c>
      <c r="U1089" t="s">
        <v>247</v>
      </c>
      <c r="V1089">
        <v>389.17</v>
      </c>
      <c r="W1089" t="s">
        <v>7362</v>
      </c>
      <c r="X1089" t="s">
        <v>7375</v>
      </c>
      <c r="Z1089" t="s">
        <v>8251</v>
      </c>
      <c r="AB1089" t="s">
        <v>11022</v>
      </c>
      <c r="AC1089">
        <v>10</v>
      </c>
      <c r="AD1089" t="s">
        <v>12422</v>
      </c>
      <c r="AE1089" t="s">
        <v>6110</v>
      </c>
      <c r="AF1089">
        <v>6</v>
      </c>
      <c r="AG1089">
        <v>1</v>
      </c>
      <c r="AH1089">
        <v>0</v>
      </c>
      <c r="AI1089">
        <v>72.86</v>
      </c>
      <c r="AL1089" t="s">
        <v>12460</v>
      </c>
      <c r="AM1089">
        <v>9100</v>
      </c>
      <c r="AS1089">
        <v>0</v>
      </c>
      <c r="AU1089" t="s">
        <v>180</v>
      </c>
    </row>
    <row r="1090" spans="1:48">
      <c r="A1090" s="1">
        <f>HYPERLINK("https://cms.ls-nyc.org/matter/dynamic-profile/view/1884809","18-1884809")</f>
        <v>0</v>
      </c>
      <c r="B1090" t="s">
        <v>102</v>
      </c>
      <c r="C1090" t="s">
        <v>434</v>
      </c>
      <c r="E1090" t="s">
        <v>810</v>
      </c>
      <c r="F1090" t="s">
        <v>2286</v>
      </c>
      <c r="G1090" t="s">
        <v>3779</v>
      </c>
      <c r="H1090" t="s">
        <v>5480</v>
      </c>
      <c r="I1090" t="s">
        <v>6047</v>
      </c>
      <c r="J1090">
        <v>10460</v>
      </c>
      <c r="K1090" t="s">
        <v>6074</v>
      </c>
      <c r="L1090" t="s">
        <v>6074</v>
      </c>
      <c r="M1090" t="s">
        <v>6182</v>
      </c>
      <c r="N1090" t="s">
        <v>7273</v>
      </c>
      <c r="O1090" t="s">
        <v>7308</v>
      </c>
      <c r="Q1090" t="s">
        <v>7322</v>
      </c>
      <c r="R1090" t="s">
        <v>6074</v>
      </c>
      <c r="S1090" t="s">
        <v>7324</v>
      </c>
      <c r="U1090" t="s">
        <v>457</v>
      </c>
      <c r="V1090">
        <v>150</v>
      </c>
      <c r="W1090" t="s">
        <v>7363</v>
      </c>
      <c r="X1090" t="s">
        <v>7376</v>
      </c>
      <c r="Z1090" t="s">
        <v>7673</v>
      </c>
      <c r="AB1090" t="s">
        <v>10496</v>
      </c>
      <c r="AC1090">
        <v>168</v>
      </c>
      <c r="AD1090" t="s">
        <v>12426</v>
      </c>
      <c r="AE1090" t="s">
        <v>12440</v>
      </c>
      <c r="AF1090">
        <v>25</v>
      </c>
      <c r="AG1090">
        <v>2</v>
      </c>
      <c r="AH1090">
        <v>0</v>
      </c>
      <c r="AI1090">
        <v>72.90000000000001</v>
      </c>
      <c r="AL1090" t="s">
        <v>12460</v>
      </c>
      <c r="AM1090">
        <v>12000</v>
      </c>
      <c r="AS1090">
        <v>398.94</v>
      </c>
      <c r="AT1090" t="s">
        <v>382</v>
      </c>
      <c r="AU1090" t="s">
        <v>116</v>
      </c>
    </row>
    <row r="1091" spans="1:48">
      <c r="A1091" s="1">
        <f>HYPERLINK("https://cms.ls-nyc.org/matter/dynamic-profile/view/1891206","19-1891206")</f>
        <v>0</v>
      </c>
      <c r="B1091" t="s">
        <v>84</v>
      </c>
      <c r="C1091" t="s">
        <v>371</v>
      </c>
      <c r="E1091" t="s">
        <v>646</v>
      </c>
      <c r="F1091" t="s">
        <v>2683</v>
      </c>
      <c r="G1091" t="s">
        <v>4355</v>
      </c>
      <c r="H1091">
        <v>4</v>
      </c>
      <c r="I1091" t="s">
        <v>6043</v>
      </c>
      <c r="J1091">
        <v>11232</v>
      </c>
      <c r="K1091" t="s">
        <v>6074</v>
      </c>
      <c r="L1091" t="s">
        <v>6074</v>
      </c>
      <c r="M1091" t="s">
        <v>6589</v>
      </c>
      <c r="N1091" t="s">
        <v>7276</v>
      </c>
      <c r="O1091" t="s">
        <v>7308</v>
      </c>
      <c r="Q1091" t="s">
        <v>7322</v>
      </c>
      <c r="S1091" t="s">
        <v>7324</v>
      </c>
      <c r="U1091" t="s">
        <v>371</v>
      </c>
      <c r="V1091">
        <v>1147.63</v>
      </c>
      <c r="W1091" t="s">
        <v>7362</v>
      </c>
      <c r="X1091" t="s">
        <v>7376</v>
      </c>
      <c r="Z1091" t="s">
        <v>8252</v>
      </c>
      <c r="AB1091" t="s">
        <v>11023</v>
      </c>
      <c r="AC1091">
        <v>0</v>
      </c>
      <c r="AD1091" t="s">
        <v>12422</v>
      </c>
      <c r="AE1091" t="s">
        <v>12434</v>
      </c>
      <c r="AF1091">
        <v>23</v>
      </c>
      <c r="AG1091">
        <v>1</v>
      </c>
      <c r="AH1091">
        <v>0</v>
      </c>
      <c r="AI1091">
        <v>73.02</v>
      </c>
      <c r="AL1091" t="s">
        <v>12460</v>
      </c>
      <c r="AM1091">
        <v>9120</v>
      </c>
      <c r="AO1091" t="s">
        <v>12846</v>
      </c>
      <c r="AQ1091" t="s">
        <v>12909</v>
      </c>
      <c r="AS1091">
        <v>12</v>
      </c>
      <c r="AT1091" t="s">
        <v>347</v>
      </c>
      <c r="AU1091" t="s">
        <v>88</v>
      </c>
    </row>
    <row r="1092" spans="1:48">
      <c r="A1092" s="1">
        <f>HYPERLINK("https://cms.ls-nyc.org/matter/dynamic-profile/view/1898867","19-1898867")</f>
        <v>0</v>
      </c>
      <c r="B1092" t="s">
        <v>84</v>
      </c>
      <c r="C1092" t="s">
        <v>294</v>
      </c>
      <c r="E1092" t="s">
        <v>646</v>
      </c>
      <c r="F1092" t="s">
        <v>2683</v>
      </c>
      <c r="G1092" t="s">
        <v>4355</v>
      </c>
      <c r="H1092">
        <v>4</v>
      </c>
      <c r="I1092" t="s">
        <v>6043</v>
      </c>
      <c r="J1092">
        <v>11232</v>
      </c>
      <c r="K1092" t="s">
        <v>6074</v>
      </c>
      <c r="L1092" t="s">
        <v>6074</v>
      </c>
      <c r="O1092" t="s">
        <v>7308</v>
      </c>
      <c r="Q1092" t="s">
        <v>7322</v>
      </c>
      <c r="R1092" t="s">
        <v>6076</v>
      </c>
      <c r="S1092" t="s">
        <v>7324</v>
      </c>
      <c r="U1092" t="s">
        <v>294</v>
      </c>
      <c r="V1092">
        <v>0</v>
      </c>
      <c r="W1092" t="s">
        <v>7362</v>
      </c>
      <c r="Z1092" t="s">
        <v>8252</v>
      </c>
      <c r="AB1092" t="s">
        <v>11023</v>
      </c>
      <c r="AC1092">
        <v>0</v>
      </c>
      <c r="AF1092">
        <v>0</v>
      </c>
      <c r="AG1092">
        <v>1</v>
      </c>
      <c r="AH1092">
        <v>0</v>
      </c>
      <c r="AI1092">
        <v>73.02</v>
      </c>
      <c r="AL1092" t="s">
        <v>12460</v>
      </c>
      <c r="AM1092">
        <v>9120</v>
      </c>
      <c r="AS1092">
        <v>1.2</v>
      </c>
      <c r="AT1092" t="s">
        <v>446</v>
      </c>
      <c r="AU1092" t="s">
        <v>88</v>
      </c>
    </row>
    <row r="1093" spans="1:48">
      <c r="A1093" s="1">
        <f>HYPERLINK("https://cms.ls-nyc.org/matter/dynamic-profile/view/1881281","18-1881281")</f>
        <v>0</v>
      </c>
      <c r="B1093" t="s">
        <v>126</v>
      </c>
      <c r="C1093" t="s">
        <v>240</v>
      </c>
      <c r="E1093" t="s">
        <v>1233</v>
      </c>
      <c r="F1093" t="s">
        <v>2684</v>
      </c>
      <c r="G1093" t="s">
        <v>4323</v>
      </c>
      <c r="H1093">
        <v>2</v>
      </c>
      <c r="I1093" t="s">
        <v>6049</v>
      </c>
      <c r="J1093">
        <v>10039</v>
      </c>
      <c r="K1093" t="s">
        <v>6074</v>
      </c>
      <c r="L1093" t="s">
        <v>6074</v>
      </c>
      <c r="M1093" t="s">
        <v>6569</v>
      </c>
      <c r="N1093" t="s">
        <v>7273</v>
      </c>
      <c r="O1093" t="s">
        <v>7308</v>
      </c>
      <c r="Q1093" t="s">
        <v>7322</v>
      </c>
      <c r="R1093" t="s">
        <v>6074</v>
      </c>
      <c r="S1093" t="s">
        <v>7324</v>
      </c>
      <c r="T1093" t="s">
        <v>7336</v>
      </c>
      <c r="U1093" t="s">
        <v>464</v>
      </c>
      <c r="V1093">
        <v>1222.79</v>
      </c>
      <c r="W1093" t="s">
        <v>7365</v>
      </c>
      <c r="X1093" t="s">
        <v>7367</v>
      </c>
      <c r="Z1093" t="s">
        <v>8253</v>
      </c>
      <c r="AB1093" t="s">
        <v>11024</v>
      </c>
      <c r="AC1093">
        <v>24</v>
      </c>
      <c r="AD1093" t="s">
        <v>12422</v>
      </c>
      <c r="AE1093" t="s">
        <v>6110</v>
      </c>
      <c r="AF1093">
        <v>15</v>
      </c>
      <c r="AG1093">
        <v>1</v>
      </c>
      <c r="AH1093">
        <v>0</v>
      </c>
      <c r="AI1093">
        <v>73.05</v>
      </c>
      <c r="AL1093" t="s">
        <v>12460</v>
      </c>
      <c r="AM1093">
        <v>8868</v>
      </c>
      <c r="AS1093">
        <v>0</v>
      </c>
      <c r="AU1093" t="s">
        <v>13107</v>
      </c>
    </row>
    <row r="1094" spans="1:48">
      <c r="A1094" s="1">
        <f>HYPERLINK("https://cms.ls-nyc.org/matter/dynamic-profile/view/1892507","19-1892507")</f>
        <v>0</v>
      </c>
      <c r="B1094" t="s">
        <v>84</v>
      </c>
      <c r="C1094" t="s">
        <v>277</v>
      </c>
      <c r="E1094" t="s">
        <v>1234</v>
      </c>
      <c r="F1094" t="s">
        <v>2685</v>
      </c>
      <c r="G1094" t="s">
        <v>4356</v>
      </c>
      <c r="H1094" t="s">
        <v>5483</v>
      </c>
      <c r="I1094" t="s">
        <v>6043</v>
      </c>
      <c r="J1094">
        <v>11238</v>
      </c>
      <c r="K1094" t="s">
        <v>6074</v>
      </c>
      <c r="L1094" t="s">
        <v>6074</v>
      </c>
      <c r="M1094" t="s">
        <v>6590</v>
      </c>
      <c r="N1094" t="s">
        <v>7276</v>
      </c>
      <c r="O1094" t="s">
        <v>7308</v>
      </c>
      <c r="Q1094" t="s">
        <v>7322</v>
      </c>
      <c r="R1094" t="s">
        <v>6076</v>
      </c>
      <c r="S1094" t="s">
        <v>7324</v>
      </c>
      <c r="U1094" t="s">
        <v>277</v>
      </c>
      <c r="V1094">
        <v>230.29</v>
      </c>
      <c r="W1094" t="s">
        <v>7362</v>
      </c>
      <c r="Z1094" t="s">
        <v>8254</v>
      </c>
      <c r="AB1094" t="s">
        <v>11025</v>
      </c>
      <c r="AC1094">
        <v>0</v>
      </c>
      <c r="AD1094" t="s">
        <v>12425</v>
      </c>
      <c r="AF1094">
        <v>63</v>
      </c>
      <c r="AG1094">
        <v>1</v>
      </c>
      <c r="AH1094">
        <v>0</v>
      </c>
      <c r="AI1094">
        <v>73.11</v>
      </c>
      <c r="AL1094" t="s">
        <v>12460</v>
      </c>
      <c r="AM1094">
        <v>9132</v>
      </c>
      <c r="AS1094">
        <v>19.2</v>
      </c>
      <c r="AT1094" t="s">
        <v>381</v>
      </c>
      <c r="AU1094" t="s">
        <v>88</v>
      </c>
    </row>
    <row r="1095" spans="1:48">
      <c r="A1095" s="1">
        <f>HYPERLINK("https://cms.ls-nyc.org/matter/dynamic-profile/view/1853782","17-1853782")</f>
        <v>0</v>
      </c>
      <c r="B1095" t="s">
        <v>131</v>
      </c>
      <c r="C1095" t="s">
        <v>245</v>
      </c>
      <c r="D1095" t="s">
        <v>245</v>
      </c>
      <c r="E1095" t="s">
        <v>1235</v>
      </c>
      <c r="F1095" t="s">
        <v>2686</v>
      </c>
      <c r="G1095" t="s">
        <v>4251</v>
      </c>
      <c r="H1095" t="s">
        <v>5425</v>
      </c>
      <c r="I1095" t="s">
        <v>6049</v>
      </c>
      <c r="J1095">
        <v>10034</v>
      </c>
      <c r="K1095" t="s">
        <v>6074</v>
      </c>
      <c r="L1095" t="s">
        <v>6075</v>
      </c>
      <c r="N1095" t="s">
        <v>7273</v>
      </c>
      <c r="O1095" t="s">
        <v>7307</v>
      </c>
      <c r="P1095" t="s">
        <v>7315</v>
      </c>
      <c r="Q1095" t="s">
        <v>7322</v>
      </c>
      <c r="R1095" t="s">
        <v>6076</v>
      </c>
      <c r="S1095" t="s">
        <v>7324</v>
      </c>
      <c r="U1095" t="s">
        <v>245</v>
      </c>
      <c r="V1095">
        <v>0</v>
      </c>
      <c r="W1095" t="s">
        <v>7365</v>
      </c>
      <c r="X1095" t="s">
        <v>7367</v>
      </c>
      <c r="Y1095" t="s">
        <v>7386</v>
      </c>
      <c r="Z1095" t="s">
        <v>8255</v>
      </c>
      <c r="AB1095" t="s">
        <v>11026</v>
      </c>
      <c r="AC1095">
        <v>0</v>
      </c>
      <c r="AD1095" t="s">
        <v>12422</v>
      </c>
      <c r="AE1095" t="s">
        <v>6110</v>
      </c>
      <c r="AF1095">
        <v>0</v>
      </c>
      <c r="AG1095">
        <v>1</v>
      </c>
      <c r="AH1095">
        <v>0</v>
      </c>
      <c r="AI1095">
        <v>73.13</v>
      </c>
      <c r="AL1095" t="s">
        <v>12461</v>
      </c>
      <c r="AM1095">
        <v>8820</v>
      </c>
      <c r="AS1095">
        <v>1.1</v>
      </c>
      <c r="AT1095" t="s">
        <v>245</v>
      </c>
      <c r="AU1095" t="s">
        <v>131</v>
      </c>
    </row>
    <row r="1096" spans="1:48">
      <c r="A1096" s="1">
        <f>HYPERLINK("https://cms.ls-nyc.org/matter/dynamic-profile/view/1880546","18-1880546")</f>
        <v>0</v>
      </c>
      <c r="B1096" t="s">
        <v>128</v>
      </c>
      <c r="C1096" t="s">
        <v>360</v>
      </c>
      <c r="E1096" t="s">
        <v>1236</v>
      </c>
      <c r="F1096" t="s">
        <v>2059</v>
      </c>
      <c r="G1096" t="s">
        <v>4357</v>
      </c>
      <c r="H1096">
        <v>33</v>
      </c>
      <c r="I1096" t="s">
        <v>6049</v>
      </c>
      <c r="J1096">
        <v>10034</v>
      </c>
      <c r="K1096" t="s">
        <v>6074</v>
      </c>
      <c r="L1096" t="s">
        <v>6074</v>
      </c>
      <c r="N1096" t="s">
        <v>7275</v>
      </c>
      <c r="O1096" t="s">
        <v>7309</v>
      </c>
      <c r="Q1096" t="s">
        <v>7322</v>
      </c>
      <c r="R1096" t="s">
        <v>6076</v>
      </c>
      <c r="S1096" t="s">
        <v>7324</v>
      </c>
      <c r="U1096" t="s">
        <v>360</v>
      </c>
      <c r="V1096">
        <v>1287</v>
      </c>
      <c r="W1096" t="s">
        <v>7365</v>
      </c>
      <c r="X1096" t="s">
        <v>7367</v>
      </c>
      <c r="Z1096" t="s">
        <v>8256</v>
      </c>
      <c r="AA1096" t="s">
        <v>10108</v>
      </c>
      <c r="AB1096" t="s">
        <v>11027</v>
      </c>
      <c r="AC1096">
        <v>57</v>
      </c>
      <c r="AD1096" t="s">
        <v>12422</v>
      </c>
      <c r="AE1096" t="s">
        <v>6110</v>
      </c>
      <c r="AF1096">
        <v>4</v>
      </c>
      <c r="AG1096">
        <v>2</v>
      </c>
      <c r="AH1096">
        <v>2</v>
      </c>
      <c r="AI1096">
        <v>73.13</v>
      </c>
      <c r="AL1096" t="s">
        <v>12461</v>
      </c>
      <c r="AM1096">
        <v>18356</v>
      </c>
      <c r="AS1096">
        <v>4.5</v>
      </c>
      <c r="AT1096" t="s">
        <v>360</v>
      </c>
      <c r="AU1096" t="s">
        <v>13106</v>
      </c>
    </row>
    <row r="1097" spans="1:48">
      <c r="A1097" s="1">
        <f>HYPERLINK("https://cms.ls-nyc.org/matter/dynamic-profile/view/1893916","19-1893916")</f>
        <v>0</v>
      </c>
      <c r="B1097" t="s">
        <v>117</v>
      </c>
      <c r="C1097" t="s">
        <v>322</v>
      </c>
      <c r="E1097" t="s">
        <v>1237</v>
      </c>
      <c r="F1097" t="s">
        <v>2154</v>
      </c>
      <c r="G1097" t="s">
        <v>4081</v>
      </c>
      <c r="H1097" t="s">
        <v>5465</v>
      </c>
      <c r="I1097" t="s">
        <v>6048</v>
      </c>
      <c r="J1097">
        <v>10304</v>
      </c>
      <c r="K1097" t="s">
        <v>6074</v>
      </c>
      <c r="L1097" t="s">
        <v>6074</v>
      </c>
      <c r="M1097" t="s">
        <v>6591</v>
      </c>
      <c r="N1097" t="s">
        <v>7276</v>
      </c>
      <c r="O1097" t="s">
        <v>7308</v>
      </c>
      <c r="Q1097" t="s">
        <v>7322</v>
      </c>
      <c r="R1097" t="s">
        <v>6076</v>
      </c>
      <c r="S1097" t="s">
        <v>7331</v>
      </c>
      <c r="T1097" t="s">
        <v>7336</v>
      </c>
      <c r="U1097" t="s">
        <v>322</v>
      </c>
      <c r="V1097">
        <v>362</v>
      </c>
      <c r="W1097" t="s">
        <v>7364</v>
      </c>
      <c r="X1097" t="s">
        <v>7378</v>
      </c>
      <c r="Z1097" t="s">
        <v>8257</v>
      </c>
      <c r="AB1097" t="s">
        <v>11028</v>
      </c>
      <c r="AC1097">
        <v>150</v>
      </c>
      <c r="AD1097" t="s">
        <v>12420</v>
      </c>
      <c r="AE1097" t="s">
        <v>12434</v>
      </c>
      <c r="AF1097">
        <v>20</v>
      </c>
      <c r="AG1097">
        <v>1</v>
      </c>
      <c r="AH1097">
        <v>2</v>
      </c>
      <c r="AI1097">
        <v>73.14</v>
      </c>
      <c r="AL1097" t="s">
        <v>12460</v>
      </c>
      <c r="AM1097">
        <v>15600</v>
      </c>
      <c r="AS1097">
        <v>11.85</v>
      </c>
      <c r="AT1097" t="s">
        <v>460</v>
      </c>
      <c r="AU1097" t="s">
        <v>123</v>
      </c>
    </row>
    <row r="1098" spans="1:48">
      <c r="A1098" s="1">
        <f>HYPERLINK("https://cms.ls-nyc.org/matter/dynamic-profile/view/1893493","19-1893493")</f>
        <v>0</v>
      </c>
      <c r="B1098" t="s">
        <v>125</v>
      </c>
      <c r="C1098" t="s">
        <v>367</v>
      </c>
      <c r="D1098" t="s">
        <v>260</v>
      </c>
      <c r="E1098" t="s">
        <v>1238</v>
      </c>
      <c r="F1098" t="s">
        <v>2687</v>
      </c>
      <c r="G1098" t="s">
        <v>4358</v>
      </c>
      <c r="H1098">
        <v>33</v>
      </c>
      <c r="I1098" t="s">
        <v>6049</v>
      </c>
      <c r="J1098">
        <v>10033</v>
      </c>
      <c r="K1098" t="s">
        <v>6074</v>
      </c>
      <c r="L1098" t="s">
        <v>6074</v>
      </c>
      <c r="M1098" t="s">
        <v>6592</v>
      </c>
      <c r="N1098" t="s">
        <v>7274</v>
      </c>
      <c r="O1098" t="s">
        <v>7306</v>
      </c>
      <c r="P1098" t="s">
        <v>7314</v>
      </c>
      <c r="Q1098" t="s">
        <v>7322</v>
      </c>
      <c r="R1098" t="s">
        <v>6076</v>
      </c>
      <c r="S1098" t="s">
        <v>7324</v>
      </c>
      <c r="T1098" t="s">
        <v>7336</v>
      </c>
      <c r="U1098" t="s">
        <v>367</v>
      </c>
      <c r="V1098">
        <v>1500</v>
      </c>
      <c r="W1098" t="s">
        <v>7365</v>
      </c>
      <c r="X1098" t="s">
        <v>7367</v>
      </c>
      <c r="Y1098" t="s">
        <v>7386</v>
      </c>
      <c r="Z1098" t="s">
        <v>8258</v>
      </c>
      <c r="AB1098" t="s">
        <v>11029</v>
      </c>
      <c r="AC1098">
        <v>20</v>
      </c>
      <c r="AD1098" t="s">
        <v>12422</v>
      </c>
      <c r="AE1098" t="s">
        <v>12434</v>
      </c>
      <c r="AF1098">
        <v>14</v>
      </c>
      <c r="AG1098">
        <v>1</v>
      </c>
      <c r="AH1098">
        <v>0</v>
      </c>
      <c r="AI1098">
        <v>73.31</v>
      </c>
      <c r="AL1098" t="s">
        <v>12461</v>
      </c>
      <c r="AM1098">
        <v>9156</v>
      </c>
      <c r="AS1098">
        <v>5.6</v>
      </c>
      <c r="AT1098" t="s">
        <v>361</v>
      </c>
      <c r="AU1098" t="s">
        <v>13106</v>
      </c>
      <c r="AV1098" t="s">
        <v>13145</v>
      </c>
    </row>
    <row r="1099" spans="1:48">
      <c r="A1099" s="1">
        <f>HYPERLINK("https://cms.ls-nyc.org/matter/dynamic-profile/view/1882291","18-1882291")</f>
        <v>0</v>
      </c>
      <c r="B1099" t="s">
        <v>103</v>
      </c>
      <c r="C1099" t="s">
        <v>239</v>
      </c>
      <c r="E1099" t="s">
        <v>1239</v>
      </c>
      <c r="F1099" t="s">
        <v>2688</v>
      </c>
      <c r="G1099" t="s">
        <v>3810</v>
      </c>
      <c r="H1099" t="s">
        <v>5644</v>
      </c>
      <c r="I1099" t="s">
        <v>6047</v>
      </c>
      <c r="J1099">
        <v>10451</v>
      </c>
      <c r="K1099" t="s">
        <v>6074</v>
      </c>
      <c r="L1099" t="s">
        <v>6074</v>
      </c>
      <c r="M1099" t="s">
        <v>6201</v>
      </c>
      <c r="N1099" t="s">
        <v>7273</v>
      </c>
      <c r="O1099" t="s">
        <v>7308</v>
      </c>
      <c r="Q1099" t="s">
        <v>7322</v>
      </c>
      <c r="R1099" t="s">
        <v>6074</v>
      </c>
      <c r="S1099" t="s">
        <v>7324</v>
      </c>
      <c r="U1099" t="s">
        <v>472</v>
      </c>
      <c r="V1099">
        <v>1500</v>
      </c>
      <c r="W1099" t="s">
        <v>7363</v>
      </c>
      <c r="X1099" t="s">
        <v>7376</v>
      </c>
      <c r="Z1099" t="s">
        <v>8259</v>
      </c>
      <c r="AB1099" t="s">
        <v>11030</v>
      </c>
      <c r="AC1099">
        <v>100</v>
      </c>
      <c r="AD1099" t="s">
        <v>12422</v>
      </c>
      <c r="AE1099" t="s">
        <v>12434</v>
      </c>
      <c r="AF1099">
        <v>31</v>
      </c>
      <c r="AG1099">
        <v>1</v>
      </c>
      <c r="AH1099">
        <v>0</v>
      </c>
      <c r="AI1099">
        <v>73.64</v>
      </c>
      <c r="AL1099" t="s">
        <v>12461</v>
      </c>
      <c r="AM1099">
        <v>8940</v>
      </c>
      <c r="AS1099">
        <v>0</v>
      </c>
      <c r="AU1099" t="s">
        <v>13095</v>
      </c>
    </row>
    <row r="1100" spans="1:48">
      <c r="A1100" s="1">
        <f>HYPERLINK("https://cms.ls-nyc.org/matter/dynamic-profile/view/1891542","19-1891542")</f>
        <v>0</v>
      </c>
      <c r="B1100" t="s">
        <v>109</v>
      </c>
      <c r="C1100" t="s">
        <v>278</v>
      </c>
      <c r="D1100" t="s">
        <v>235</v>
      </c>
      <c r="E1100" t="s">
        <v>1240</v>
      </c>
      <c r="F1100" t="s">
        <v>2059</v>
      </c>
      <c r="G1100" t="s">
        <v>3786</v>
      </c>
      <c r="H1100" t="s">
        <v>5645</v>
      </c>
      <c r="I1100" t="s">
        <v>6047</v>
      </c>
      <c r="J1100">
        <v>10457</v>
      </c>
      <c r="K1100" t="s">
        <v>6074</v>
      </c>
      <c r="L1100" t="s">
        <v>6074</v>
      </c>
      <c r="M1100" t="s">
        <v>6593</v>
      </c>
      <c r="N1100" t="s">
        <v>7273</v>
      </c>
      <c r="O1100" t="s">
        <v>7306</v>
      </c>
      <c r="P1100" t="s">
        <v>7314</v>
      </c>
      <c r="Q1100" t="s">
        <v>7322</v>
      </c>
      <c r="R1100" t="s">
        <v>6076</v>
      </c>
      <c r="S1100" t="s">
        <v>7324</v>
      </c>
      <c r="U1100" t="s">
        <v>318</v>
      </c>
      <c r="V1100">
        <v>385</v>
      </c>
      <c r="W1100" t="s">
        <v>7363</v>
      </c>
      <c r="X1100" t="s">
        <v>7376</v>
      </c>
      <c r="Y1100" t="s">
        <v>7386</v>
      </c>
      <c r="Z1100" t="s">
        <v>8260</v>
      </c>
      <c r="AB1100" t="s">
        <v>11031</v>
      </c>
      <c r="AC1100">
        <v>47</v>
      </c>
      <c r="AD1100" t="s">
        <v>12422</v>
      </c>
      <c r="AE1100" t="s">
        <v>12434</v>
      </c>
      <c r="AF1100">
        <v>6</v>
      </c>
      <c r="AG1100">
        <v>1</v>
      </c>
      <c r="AH1100">
        <v>0</v>
      </c>
      <c r="AI1100">
        <v>73.69</v>
      </c>
      <c r="AL1100" t="s">
        <v>12461</v>
      </c>
      <c r="AM1100">
        <v>9204</v>
      </c>
      <c r="AS1100">
        <v>1</v>
      </c>
      <c r="AT1100" t="s">
        <v>318</v>
      </c>
      <c r="AU1100" t="s">
        <v>13092</v>
      </c>
    </row>
    <row r="1101" spans="1:48">
      <c r="A1101" s="1">
        <f>HYPERLINK("https://cms.ls-nyc.org/matter/dynamic-profile/view/1888339","19-1888339")</f>
        <v>0</v>
      </c>
      <c r="B1101" t="s">
        <v>126</v>
      </c>
      <c r="C1101" t="s">
        <v>292</v>
      </c>
      <c r="E1101" t="s">
        <v>956</v>
      </c>
      <c r="F1101" t="s">
        <v>2555</v>
      </c>
      <c r="G1101" t="s">
        <v>4071</v>
      </c>
      <c r="H1101" t="s">
        <v>5372</v>
      </c>
      <c r="I1101" t="s">
        <v>6049</v>
      </c>
      <c r="J1101">
        <v>10035</v>
      </c>
      <c r="K1101" t="s">
        <v>6074</v>
      </c>
      <c r="L1101" t="s">
        <v>6074</v>
      </c>
      <c r="N1101" t="s">
        <v>6104</v>
      </c>
      <c r="O1101" t="s">
        <v>7306</v>
      </c>
      <c r="Q1101" t="s">
        <v>7322</v>
      </c>
      <c r="R1101" t="s">
        <v>6074</v>
      </c>
      <c r="S1101" t="s">
        <v>7324</v>
      </c>
      <c r="T1101" t="s">
        <v>7336</v>
      </c>
      <c r="U1101" t="s">
        <v>292</v>
      </c>
      <c r="V1101">
        <v>1552</v>
      </c>
      <c r="W1101" t="s">
        <v>7365</v>
      </c>
      <c r="X1101" t="s">
        <v>7372</v>
      </c>
      <c r="Z1101" t="s">
        <v>8261</v>
      </c>
      <c r="AB1101" t="s">
        <v>11032</v>
      </c>
      <c r="AC1101">
        <v>9</v>
      </c>
      <c r="AD1101" t="s">
        <v>12422</v>
      </c>
      <c r="AE1101" t="s">
        <v>12434</v>
      </c>
      <c r="AF1101">
        <v>20</v>
      </c>
      <c r="AG1101">
        <v>2</v>
      </c>
      <c r="AH1101">
        <v>0</v>
      </c>
      <c r="AI1101">
        <v>73.69</v>
      </c>
      <c r="AL1101" t="s">
        <v>12460</v>
      </c>
      <c r="AM1101">
        <v>12129</v>
      </c>
      <c r="AS1101">
        <v>1</v>
      </c>
      <c r="AT1101" t="s">
        <v>292</v>
      </c>
      <c r="AU1101" t="s">
        <v>13107</v>
      </c>
    </row>
    <row r="1102" spans="1:48">
      <c r="A1102" s="1">
        <f>HYPERLINK("https://cms.ls-nyc.org/matter/dynamic-profile/view/1896453","19-1896453")</f>
        <v>0</v>
      </c>
      <c r="B1102" t="s">
        <v>69</v>
      </c>
      <c r="C1102" t="s">
        <v>302</v>
      </c>
      <c r="E1102" t="s">
        <v>1065</v>
      </c>
      <c r="F1102" t="s">
        <v>2689</v>
      </c>
      <c r="G1102" t="s">
        <v>4359</v>
      </c>
      <c r="H1102" t="s">
        <v>5646</v>
      </c>
      <c r="I1102" t="s">
        <v>6043</v>
      </c>
      <c r="J1102">
        <v>11206</v>
      </c>
      <c r="K1102" t="s">
        <v>6076</v>
      </c>
      <c r="L1102" t="s">
        <v>6076</v>
      </c>
      <c r="O1102" t="s">
        <v>7309</v>
      </c>
      <c r="Q1102" t="s">
        <v>7322</v>
      </c>
      <c r="S1102" t="s">
        <v>7331</v>
      </c>
      <c r="U1102" t="s">
        <v>302</v>
      </c>
      <c r="V1102">
        <v>0</v>
      </c>
      <c r="W1102" t="s">
        <v>7362</v>
      </c>
      <c r="Z1102" t="s">
        <v>8262</v>
      </c>
      <c r="AB1102" t="s">
        <v>11033</v>
      </c>
      <c r="AC1102">
        <v>0</v>
      </c>
      <c r="AE1102" t="s">
        <v>12434</v>
      </c>
      <c r="AF1102">
        <v>0</v>
      </c>
      <c r="AG1102">
        <v>2</v>
      </c>
      <c r="AH1102">
        <v>0</v>
      </c>
      <c r="AI1102">
        <v>73.8</v>
      </c>
      <c r="AL1102" t="s">
        <v>12460</v>
      </c>
      <c r="AM1102">
        <v>12480</v>
      </c>
      <c r="AS1102">
        <v>0.6</v>
      </c>
      <c r="AT1102" t="s">
        <v>263</v>
      </c>
      <c r="AU1102" t="s">
        <v>69</v>
      </c>
    </row>
    <row r="1103" spans="1:48">
      <c r="A1103" s="1">
        <f>HYPERLINK("https://cms.ls-nyc.org/matter/dynamic-profile/view/1897658","19-1897658")</f>
        <v>0</v>
      </c>
      <c r="B1103" t="s">
        <v>118</v>
      </c>
      <c r="C1103" t="s">
        <v>257</v>
      </c>
      <c r="E1103" t="s">
        <v>1241</v>
      </c>
      <c r="F1103" t="s">
        <v>2690</v>
      </c>
      <c r="G1103" t="s">
        <v>4023</v>
      </c>
      <c r="H1103" t="s">
        <v>5387</v>
      </c>
      <c r="I1103" t="s">
        <v>6048</v>
      </c>
      <c r="J1103">
        <v>10304</v>
      </c>
      <c r="K1103" t="s">
        <v>6074</v>
      </c>
      <c r="L1103" t="s">
        <v>6075</v>
      </c>
      <c r="N1103" t="s">
        <v>7280</v>
      </c>
      <c r="O1103" t="s">
        <v>7309</v>
      </c>
      <c r="Q1103" t="s">
        <v>7322</v>
      </c>
      <c r="R1103" t="s">
        <v>6076</v>
      </c>
      <c r="S1103" t="s">
        <v>7326</v>
      </c>
      <c r="U1103" t="s">
        <v>257</v>
      </c>
      <c r="V1103">
        <v>800</v>
      </c>
      <c r="W1103" t="s">
        <v>7364</v>
      </c>
      <c r="X1103" t="s">
        <v>7368</v>
      </c>
      <c r="Z1103" t="s">
        <v>8263</v>
      </c>
      <c r="AB1103" t="s">
        <v>11034</v>
      </c>
      <c r="AC1103">
        <v>6</v>
      </c>
      <c r="AD1103" t="s">
        <v>6322</v>
      </c>
      <c r="AE1103" t="s">
        <v>12433</v>
      </c>
      <c r="AF1103">
        <v>4</v>
      </c>
      <c r="AG1103">
        <v>2</v>
      </c>
      <c r="AH1103">
        <v>0</v>
      </c>
      <c r="AI1103">
        <v>73.94</v>
      </c>
      <c r="AL1103" t="s">
        <v>12460</v>
      </c>
      <c r="AM1103">
        <v>12504</v>
      </c>
      <c r="AS1103">
        <v>1.6</v>
      </c>
      <c r="AT1103" t="s">
        <v>505</v>
      </c>
      <c r="AU1103" t="s">
        <v>13101</v>
      </c>
      <c r="AV1103" t="s">
        <v>13145</v>
      </c>
    </row>
    <row r="1104" spans="1:48">
      <c r="A1104" s="1">
        <f>HYPERLINK("https://cms.ls-nyc.org/matter/dynamic-profile/view/1881344","18-1881344")</f>
        <v>0</v>
      </c>
      <c r="B1104" t="s">
        <v>92</v>
      </c>
      <c r="C1104" t="s">
        <v>414</v>
      </c>
      <c r="D1104" t="s">
        <v>496</v>
      </c>
      <c r="E1104" t="s">
        <v>586</v>
      </c>
      <c r="F1104" t="s">
        <v>2642</v>
      </c>
      <c r="G1104" t="s">
        <v>4302</v>
      </c>
      <c r="H1104" t="s">
        <v>5376</v>
      </c>
      <c r="I1104" t="s">
        <v>6043</v>
      </c>
      <c r="J1104">
        <v>11237</v>
      </c>
      <c r="K1104" t="s">
        <v>6074</v>
      </c>
      <c r="L1104" t="s">
        <v>6074</v>
      </c>
      <c r="N1104" t="s">
        <v>6104</v>
      </c>
      <c r="O1104" t="s">
        <v>7309</v>
      </c>
      <c r="P1104" t="s">
        <v>7319</v>
      </c>
      <c r="Q1104" t="s">
        <v>7322</v>
      </c>
      <c r="R1104" t="s">
        <v>6074</v>
      </c>
      <c r="S1104" t="s">
        <v>7324</v>
      </c>
      <c r="U1104" t="s">
        <v>414</v>
      </c>
      <c r="V1104">
        <v>1150</v>
      </c>
      <c r="W1104" t="s">
        <v>7362</v>
      </c>
      <c r="X1104" t="s">
        <v>7375</v>
      </c>
      <c r="Y1104" t="s">
        <v>7387</v>
      </c>
      <c r="Z1104" t="s">
        <v>8179</v>
      </c>
      <c r="AA1104" t="s">
        <v>10083</v>
      </c>
      <c r="AB1104" t="s">
        <v>9856</v>
      </c>
      <c r="AC1104">
        <v>6</v>
      </c>
      <c r="AD1104" t="s">
        <v>12422</v>
      </c>
      <c r="AF1104">
        <v>9</v>
      </c>
      <c r="AG1104">
        <v>3</v>
      </c>
      <c r="AH1104">
        <v>3</v>
      </c>
      <c r="AI1104">
        <v>73.98</v>
      </c>
      <c r="AL1104" t="s">
        <v>12461</v>
      </c>
      <c r="AM1104">
        <v>24960</v>
      </c>
      <c r="AS1104">
        <v>1.4</v>
      </c>
      <c r="AT1104" t="s">
        <v>414</v>
      </c>
      <c r="AU1104" t="s">
        <v>92</v>
      </c>
      <c r="AV1104" t="s">
        <v>13145</v>
      </c>
    </row>
    <row r="1105" spans="1:48">
      <c r="A1105" s="1">
        <f>HYPERLINK("https://cms.ls-nyc.org/matter/dynamic-profile/view/1888887","19-1888887")</f>
        <v>0</v>
      </c>
      <c r="B1105" t="s">
        <v>134</v>
      </c>
      <c r="C1105" t="s">
        <v>456</v>
      </c>
      <c r="E1105" t="s">
        <v>1242</v>
      </c>
      <c r="F1105" t="s">
        <v>2691</v>
      </c>
      <c r="G1105" t="s">
        <v>4360</v>
      </c>
      <c r="H1105">
        <v>602</v>
      </c>
      <c r="I1105" t="s">
        <v>6049</v>
      </c>
      <c r="J1105">
        <v>10029</v>
      </c>
      <c r="K1105" t="s">
        <v>6074</v>
      </c>
      <c r="L1105" t="s">
        <v>6074</v>
      </c>
      <c r="N1105" t="s">
        <v>6104</v>
      </c>
      <c r="O1105" t="s">
        <v>7309</v>
      </c>
      <c r="Q1105" t="s">
        <v>7322</v>
      </c>
      <c r="R1105" t="s">
        <v>6076</v>
      </c>
      <c r="S1105" t="s">
        <v>7324</v>
      </c>
      <c r="T1105" t="s">
        <v>7336</v>
      </c>
      <c r="U1105" t="s">
        <v>285</v>
      </c>
      <c r="V1105">
        <v>505</v>
      </c>
      <c r="W1105" t="s">
        <v>7365</v>
      </c>
      <c r="X1105" t="s">
        <v>7368</v>
      </c>
      <c r="Z1105" t="s">
        <v>8264</v>
      </c>
      <c r="AB1105" t="s">
        <v>11035</v>
      </c>
      <c r="AC1105">
        <v>40</v>
      </c>
      <c r="AD1105" t="s">
        <v>12425</v>
      </c>
      <c r="AE1105" t="s">
        <v>6110</v>
      </c>
      <c r="AF1105">
        <v>8</v>
      </c>
      <c r="AG1105">
        <v>1</v>
      </c>
      <c r="AH1105">
        <v>0</v>
      </c>
      <c r="AI1105">
        <v>73.98</v>
      </c>
      <c r="AL1105" t="s">
        <v>12461</v>
      </c>
      <c r="AM1105">
        <v>9240</v>
      </c>
      <c r="AS1105">
        <v>25.6</v>
      </c>
      <c r="AT1105" t="s">
        <v>526</v>
      </c>
      <c r="AU1105" t="s">
        <v>13096</v>
      </c>
    </row>
    <row r="1106" spans="1:48">
      <c r="A1106" s="1">
        <f>HYPERLINK("https://cms.ls-nyc.org/matter/dynamic-profile/view/1900070","19-1900070")</f>
        <v>0</v>
      </c>
      <c r="B1106" t="s">
        <v>64</v>
      </c>
      <c r="C1106" t="s">
        <v>265</v>
      </c>
      <c r="E1106" t="s">
        <v>1243</v>
      </c>
      <c r="F1106" t="s">
        <v>2196</v>
      </c>
      <c r="G1106" t="s">
        <v>3694</v>
      </c>
      <c r="H1106" t="s">
        <v>5455</v>
      </c>
      <c r="I1106" t="s">
        <v>6040</v>
      </c>
      <c r="J1106">
        <v>11354</v>
      </c>
      <c r="K1106" t="s">
        <v>6074</v>
      </c>
      <c r="L1106" t="s">
        <v>6075</v>
      </c>
      <c r="M1106" t="s">
        <v>6594</v>
      </c>
      <c r="N1106" t="s">
        <v>7274</v>
      </c>
      <c r="O1106" t="s">
        <v>7308</v>
      </c>
      <c r="Q1106" t="s">
        <v>7322</v>
      </c>
      <c r="R1106" t="s">
        <v>6076</v>
      </c>
      <c r="S1106" t="s">
        <v>7324</v>
      </c>
      <c r="T1106" t="s">
        <v>7336</v>
      </c>
      <c r="U1106" t="s">
        <v>265</v>
      </c>
      <c r="V1106">
        <v>500</v>
      </c>
      <c r="W1106" t="s">
        <v>7361</v>
      </c>
      <c r="X1106" t="s">
        <v>7366</v>
      </c>
      <c r="Z1106" t="s">
        <v>8265</v>
      </c>
      <c r="AB1106" t="s">
        <v>11036</v>
      </c>
      <c r="AC1106">
        <v>175</v>
      </c>
      <c r="AD1106" t="s">
        <v>12422</v>
      </c>
      <c r="AF1106">
        <v>0</v>
      </c>
      <c r="AG1106">
        <v>1</v>
      </c>
      <c r="AH1106">
        <v>0</v>
      </c>
      <c r="AI1106">
        <v>74.08</v>
      </c>
      <c r="AL1106" t="s">
        <v>12460</v>
      </c>
      <c r="AM1106">
        <v>9252</v>
      </c>
      <c r="AS1106">
        <v>4.45</v>
      </c>
      <c r="AT1106" t="s">
        <v>324</v>
      </c>
      <c r="AU1106" t="s">
        <v>64</v>
      </c>
      <c r="AV1106" t="s">
        <v>13145</v>
      </c>
    </row>
    <row r="1107" spans="1:48">
      <c r="A1107" s="1">
        <f>HYPERLINK("https://cms.ls-nyc.org/matter/dynamic-profile/view/1898747","19-1898747")</f>
        <v>0</v>
      </c>
      <c r="B1107" t="s">
        <v>68</v>
      </c>
      <c r="C1107" t="s">
        <v>309</v>
      </c>
      <c r="D1107" t="s">
        <v>254</v>
      </c>
      <c r="E1107" t="s">
        <v>1244</v>
      </c>
      <c r="F1107" t="s">
        <v>2692</v>
      </c>
      <c r="G1107" t="s">
        <v>4361</v>
      </c>
      <c r="H1107" t="s">
        <v>5364</v>
      </c>
      <c r="I1107" t="s">
        <v>6043</v>
      </c>
      <c r="J1107">
        <v>11239</v>
      </c>
      <c r="K1107" t="s">
        <v>6074</v>
      </c>
      <c r="L1107" t="s">
        <v>6074</v>
      </c>
      <c r="M1107" t="s">
        <v>6595</v>
      </c>
      <c r="O1107" t="s">
        <v>7310</v>
      </c>
      <c r="P1107" t="s">
        <v>7317</v>
      </c>
      <c r="Q1107" t="s">
        <v>7322</v>
      </c>
      <c r="S1107" t="s">
        <v>7324</v>
      </c>
      <c r="U1107" t="s">
        <v>264</v>
      </c>
      <c r="V1107">
        <v>100</v>
      </c>
      <c r="W1107" t="s">
        <v>7362</v>
      </c>
      <c r="X1107" t="s">
        <v>7368</v>
      </c>
      <c r="Y1107" t="s">
        <v>7388</v>
      </c>
      <c r="Z1107" t="s">
        <v>8266</v>
      </c>
      <c r="AB1107" t="s">
        <v>11037</v>
      </c>
      <c r="AC1107">
        <v>20</v>
      </c>
      <c r="AF1107">
        <v>3</v>
      </c>
      <c r="AG1107">
        <v>1</v>
      </c>
      <c r="AH1107">
        <v>0</v>
      </c>
      <c r="AI1107">
        <v>74.08</v>
      </c>
      <c r="AL1107" t="s">
        <v>12460</v>
      </c>
      <c r="AM1107">
        <v>9252</v>
      </c>
      <c r="AS1107">
        <v>9.300000000000001</v>
      </c>
      <c r="AT1107" t="s">
        <v>276</v>
      </c>
      <c r="AU1107" t="s">
        <v>13084</v>
      </c>
    </row>
    <row r="1108" spans="1:48">
      <c r="A1108" s="1">
        <f>HYPERLINK("https://cms.ls-nyc.org/matter/dynamic-profile/view/1900987","19-1900987")</f>
        <v>0</v>
      </c>
      <c r="B1108" t="s">
        <v>133</v>
      </c>
      <c r="C1108" t="s">
        <v>382</v>
      </c>
      <c r="E1108" t="s">
        <v>1245</v>
      </c>
      <c r="F1108" t="s">
        <v>2693</v>
      </c>
      <c r="G1108" t="s">
        <v>4362</v>
      </c>
      <c r="H1108" t="s">
        <v>5647</v>
      </c>
      <c r="I1108" t="s">
        <v>6049</v>
      </c>
      <c r="J1108">
        <v>10040</v>
      </c>
      <c r="K1108" t="s">
        <v>6074</v>
      </c>
      <c r="L1108" t="s">
        <v>6075</v>
      </c>
      <c r="M1108" t="s">
        <v>6596</v>
      </c>
      <c r="N1108" t="s">
        <v>7301</v>
      </c>
      <c r="O1108" t="s">
        <v>7310</v>
      </c>
      <c r="Q1108" t="s">
        <v>7322</v>
      </c>
      <c r="R1108" t="s">
        <v>6076</v>
      </c>
      <c r="S1108" t="s">
        <v>7324</v>
      </c>
      <c r="U1108" t="s">
        <v>382</v>
      </c>
      <c r="V1108">
        <v>771</v>
      </c>
      <c r="W1108" t="s">
        <v>7365</v>
      </c>
      <c r="X1108" t="s">
        <v>7367</v>
      </c>
      <c r="Z1108" t="s">
        <v>8267</v>
      </c>
      <c r="AB1108" t="s">
        <v>11038</v>
      </c>
      <c r="AC1108">
        <v>169</v>
      </c>
      <c r="AD1108" t="s">
        <v>12423</v>
      </c>
      <c r="AE1108" t="s">
        <v>6110</v>
      </c>
      <c r="AF1108">
        <v>15</v>
      </c>
      <c r="AG1108">
        <v>1</v>
      </c>
      <c r="AH1108">
        <v>0</v>
      </c>
      <c r="AI1108">
        <v>74.08</v>
      </c>
      <c r="AL1108" t="s">
        <v>12460</v>
      </c>
      <c r="AM1108">
        <v>9252</v>
      </c>
      <c r="AS1108">
        <v>1.5</v>
      </c>
      <c r="AT1108" t="s">
        <v>423</v>
      </c>
      <c r="AU1108" t="s">
        <v>13106</v>
      </c>
      <c r="AV1108" t="s">
        <v>13145</v>
      </c>
    </row>
    <row r="1109" spans="1:48">
      <c r="A1109" s="1">
        <f>HYPERLINK("https://cms.ls-nyc.org/matter/dynamic-profile/view/1896915","19-1896915")</f>
        <v>0</v>
      </c>
      <c r="B1109" t="s">
        <v>134</v>
      </c>
      <c r="C1109" t="s">
        <v>397</v>
      </c>
      <c r="E1109" t="s">
        <v>781</v>
      </c>
      <c r="F1109" t="s">
        <v>2652</v>
      </c>
      <c r="G1109" t="s">
        <v>4363</v>
      </c>
      <c r="H1109" t="s">
        <v>5467</v>
      </c>
      <c r="I1109" t="s">
        <v>6049</v>
      </c>
      <c r="J1109">
        <v>10035</v>
      </c>
      <c r="K1109" t="s">
        <v>6074</v>
      </c>
      <c r="L1109" t="s">
        <v>6074</v>
      </c>
      <c r="M1109" t="s">
        <v>6597</v>
      </c>
      <c r="N1109" t="s">
        <v>7276</v>
      </c>
      <c r="O1109" t="s">
        <v>7310</v>
      </c>
      <c r="Q1109" t="s">
        <v>7322</v>
      </c>
      <c r="R1109" t="s">
        <v>6076</v>
      </c>
      <c r="S1109" t="s">
        <v>7324</v>
      </c>
      <c r="U1109" t="s">
        <v>280</v>
      </c>
      <c r="V1109">
        <v>1978</v>
      </c>
      <c r="W1109" t="s">
        <v>7365</v>
      </c>
      <c r="X1109" t="s">
        <v>7367</v>
      </c>
      <c r="Z1109" t="s">
        <v>8268</v>
      </c>
      <c r="AB1109" t="s">
        <v>11039</v>
      </c>
      <c r="AC1109">
        <v>72</v>
      </c>
      <c r="AD1109" t="s">
        <v>12422</v>
      </c>
      <c r="AE1109" t="s">
        <v>12434</v>
      </c>
      <c r="AF1109">
        <v>36</v>
      </c>
      <c r="AG1109">
        <v>1</v>
      </c>
      <c r="AH1109">
        <v>0</v>
      </c>
      <c r="AI1109">
        <v>74.08</v>
      </c>
      <c r="AL1109" t="s">
        <v>12460</v>
      </c>
      <c r="AM1109">
        <v>9252</v>
      </c>
      <c r="AS1109">
        <v>0.6</v>
      </c>
      <c r="AT1109" t="s">
        <v>421</v>
      </c>
      <c r="AU1109" t="s">
        <v>13091</v>
      </c>
    </row>
    <row r="1110" spans="1:48">
      <c r="A1110" s="1">
        <f>HYPERLINK("https://cms.ls-nyc.org/matter/dynamic-profile/view/1892880","19-1892880")</f>
        <v>0</v>
      </c>
      <c r="B1110" t="s">
        <v>175</v>
      </c>
      <c r="C1110" t="s">
        <v>356</v>
      </c>
      <c r="E1110" t="s">
        <v>586</v>
      </c>
      <c r="F1110" t="s">
        <v>2318</v>
      </c>
      <c r="G1110" t="s">
        <v>4364</v>
      </c>
      <c r="H1110" t="s">
        <v>5364</v>
      </c>
      <c r="I1110" t="s">
        <v>6049</v>
      </c>
      <c r="J1110">
        <v>10034</v>
      </c>
      <c r="K1110" t="s">
        <v>6074</v>
      </c>
      <c r="L1110" t="s">
        <v>6074</v>
      </c>
      <c r="N1110" t="s">
        <v>7283</v>
      </c>
      <c r="O1110" t="s">
        <v>7307</v>
      </c>
      <c r="Q1110" t="s">
        <v>7322</v>
      </c>
      <c r="R1110" t="s">
        <v>6076</v>
      </c>
      <c r="S1110" t="s">
        <v>7324</v>
      </c>
      <c r="U1110" t="s">
        <v>356</v>
      </c>
      <c r="V1110">
        <v>880.9</v>
      </c>
      <c r="W1110" t="s">
        <v>7365</v>
      </c>
      <c r="X1110" t="s">
        <v>7367</v>
      </c>
      <c r="Z1110" t="s">
        <v>8269</v>
      </c>
      <c r="AB1110" t="s">
        <v>11040</v>
      </c>
      <c r="AC1110">
        <v>40</v>
      </c>
      <c r="AD1110" t="s">
        <v>12422</v>
      </c>
      <c r="AE1110" t="s">
        <v>12441</v>
      </c>
      <c r="AF1110">
        <v>19</v>
      </c>
      <c r="AG1110">
        <v>1</v>
      </c>
      <c r="AH1110">
        <v>0</v>
      </c>
      <c r="AI1110">
        <v>74.08</v>
      </c>
      <c r="AL1110" t="s">
        <v>12461</v>
      </c>
      <c r="AM1110">
        <v>9252</v>
      </c>
      <c r="AS1110">
        <v>5.5</v>
      </c>
      <c r="AT1110" t="s">
        <v>265</v>
      </c>
      <c r="AU1110" t="s">
        <v>13106</v>
      </c>
    </row>
    <row r="1111" spans="1:48">
      <c r="A1111" s="1">
        <f>HYPERLINK("https://cms.ls-nyc.org/matter/dynamic-profile/view/1874400","18-1874400")</f>
        <v>0</v>
      </c>
      <c r="B1111" t="s">
        <v>53</v>
      </c>
      <c r="C1111" t="s">
        <v>236</v>
      </c>
      <c r="D1111" t="s">
        <v>326</v>
      </c>
      <c r="E1111" t="s">
        <v>707</v>
      </c>
      <c r="F1111" t="s">
        <v>2694</v>
      </c>
      <c r="G1111" t="s">
        <v>4365</v>
      </c>
      <c r="I1111" t="s">
        <v>6025</v>
      </c>
      <c r="J1111">
        <v>11691</v>
      </c>
      <c r="K1111" t="s">
        <v>6074</v>
      </c>
      <c r="L1111" t="s">
        <v>6074</v>
      </c>
      <c r="M1111" t="s">
        <v>6598</v>
      </c>
      <c r="N1111" t="s">
        <v>7274</v>
      </c>
      <c r="O1111" t="s">
        <v>7306</v>
      </c>
      <c r="P1111" t="s">
        <v>7314</v>
      </c>
      <c r="Q1111" t="s">
        <v>7322</v>
      </c>
      <c r="R1111" t="s">
        <v>6076</v>
      </c>
      <c r="S1111" t="s">
        <v>7324</v>
      </c>
      <c r="T1111" t="s">
        <v>7336</v>
      </c>
      <c r="U1111" t="s">
        <v>236</v>
      </c>
      <c r="V1111">
        <v>800</v>
      </c>
      <c r="W1111" t="s">
        <v>7361</v>
      </c>
      <c r="X1111" t="s">
        <v>7366</v>
      </c>
      <c r="Y1111" t="s">
        <v>7386</v>
      </c>
      <c r="Z1111" t="s">
        <v>8270</v>
      </c>
      <c r="AA1111" t="s">
        <v>10109</v>
      </c>
      <c r="AB1111" t="s">
        <v>11041</v>
      </c>
      <c r="AC1111">
        <v>2</v>
      </c>
      <c r="AD1111" t="s">
        <v>12419</v>
      </c>
      <c r="AE1111" t="s">
        <v>12433</v>
      </c>
      <c r="AF1111">
        <v>4</v>
      </c>
      <c r="AG1111">
        <v>1</v>
      </c>
      <c r="AH1111">
        <v>0</v>
      </c>
      <c r="AI1111">
        <v>74.14</v>
      </c>
      <c r="AL1111" t="s">
        <v>12461</v>
      </c>
      <c r="AM1111">
        <v>9000</v>
      </c>
      <c r="AS1111">
        <v>1.7</v>
      </c>
      <c r="AT1111" t="s">
        <v>326</v>
      </c>
      <c r="AU1111" t="s">
        <v>48</v>
      </c>
    </row>
    <row r="1112" spans="1:48">
      <c r="A1112" s="1">
        <f>HYPERLINK("https://cms.ls-nyc.org/matter/dynamic-profile/view/1879335","18-1879335")</f>
        <v>0</v>
      </c>
      <c r="B1112" t="s">
        <v>54</v>
      </c>
      <c r="C1112" t="s">
        <v>249</v>
      </c>
      <c r="E1112" t="s">
        <v>1246</v>
      </c>
      <c r="F1112" t="s">
        <v>2165</v>
      </c>
      <c r="G1112" t="s">
        <v>4366</v>
      </c>
      <c r="H1112" t="s">
        <v>5648</v>
      </c>
      <c r="I1112" t="s">
        <v>6025</v>
      </c>
      <c r="J1112">
        <v>11691</v>
      </c>
      <c r="K1112" t="s">
        <v>6074</v>
      </c>
      <c r="L1112" t="s">
        <v>6074</v>
      </c>
      <c r="M1112" t="s">
        <v>6599</v>
      </c>
      <c r="N1112" t="s">
        <v>7274</v>
      </c>
      <c r="O1112" t="s">
        <v>7308</v>
      </c>
      <c r="Q1112" t="s">
        <v>7322</v>
      </c>
      <c r="R1112" t="s">
        <v>6076</v>
      </c>
      <c r="S1112" t="s">
        <v>7324</v>
      </c>
      <c r="T1112" t="s">
        <v>7336</v>
      </c>
      <c r="U1112" t="s">
        <v>249</v>
      </c>
      <c r="V1112">
        <v>1396</v>
      </c>
      <c r="W1112" t="s">
        <v>7361</v>
      </c>
      <c r="X1112" t="s">
        <v>7366</v>
      </c>
      <c r="Z1112" t="s">
        <v>8271</v>
      </c>
      <c r="AA1112" t="s">
        <v>10110</v>
      </c>
      <c r="AB1112" t="s">
        <v>11042</v>
      </c>
      <c r="AC1112">
        <v>917</v>
      </c>
      <c r="AD1112" t="s">
        <v>12421</v>
      </c>
      <c r="AE1112" t="s">
        <v>12434</v>
      </c>
      <c r="AF1112">
        <v>7</v>
      </c>
      <c r="AG1112">
        <v>1</v>
      </c>
      <c r="AH1112">
        <v>0</v>
      </c>
      <c r="AI1112">
        <v>74.14</v>
      </c>
      <c r="AL1112" t="s">
        <v>12460</v>
      </c>
      <c r="AM1112">
        <v>9000</v>
      </c>
      <c r="AO1112" t="s">
        <v>12845</v>
      </c>
      <c r="AP1112" t="s">
        <v>12875</v>
      </c>
      <c r="AQ1112" t="s">
        <v>12909</v>
      </c>
      <c r="AR1112" t="s">
        <v>12926</v>
      </c>
      <c r="AS1112">
        <v>25.55</v>
      </c>
      <c r="AT1112" t="s">
        <v>367</v>
      </c>
      <c r="AU1112" t="s">
        <v>48</v>
      </c>
    </row>
    <row r="1113" spans="1:48">
      <c r="A1113" s="1">
        <f>HYPERLINK("https://cms.ls-nyc.org/matter/dynamic-profile/view/1883057","18-1883057")</f>
        <v>0</v>
      </c>
      <c r="B1113" t="s">
        <v>52</v>
      </c>
      <c r="C1113" t="s">
        <v>416</v>
      </c>
      <c r="E1113" t="s">
        <v>667</v>
      </c>
      <c r="F1113" t="s">
        <v>1209</v>
      </c>
      <c r="G1113" t="s">
        <v>4367</v>
      </c>
      <c r="H1113" t="s">
        <v>5578</v>
      </c>
      <c r="I1113" t="s">
        <v>6027</v>
      </c>
      <c r="J1113">
        <v>11427</v>
      </c>
      <c r="K1113" t="s">
        <v>6074</v>
      </c>
      <c r="L1113" t="s">
        <v>6074</v>
      </c>
      <c r="M1113" t="s">
        <v>6600</v>
      </c>
      <c r="N1113" t="s">
        <v>7274</v>
      </c>
      <c r="O1113" t="s">
        <v>7308</v>
      </c>
      <c r="Q1113" t="s">
        <v>7322</v>
      </c>
      <c r="R1113" t="s">
        <v>6076</v>
      </c>
      <c r="S1113" t="s">
        <v>7324</v>
      </c>
      <c r="T1113" t="s">
        <v>7336</v>
      </c>
      <c r="U1113" t="s">
        <v>416</v>
      </c>
      <c r="V1113">
        <v>1073</v>
      </c>
      <c r="W1113" t="s">
        <v>7361</v>
      </c>
      <c r="X1113" t="s">
        <v>7366</v>
      </c>
      <c r="Z1113" t="s">
        <v>8272</v>
      </c>
      <c r="AB1113" t="s">
        <v>11043</v>
      </c>
      <c r="AC1113">
        <v>8</v>
      </c>
      <c r="AD1113" t="s">
        <v>12422</v>
      </c>
      <c r="AE1113" t="s">
        <v>6110</v>
      </c>
      <c r="AF1113">
        <v>23</v>
      </c>
      <c r="AG1113">
        <v>1</v>
      </c>
      <c r="AH1113">
        <v>0</v>
      </c>
      <c r="AI1113">
        <v>74.14</v>
      </c>
      <c r="AL1113" t="s">
        <v>12460</v>
      </c>
      <c r="AM1113">
        <v>9000</v>
      </c>
      <c r="AS1113">
        <v>39.6</v>
      </c>
      <c r="AT1113" t="s">
        <v>460</v>
      </c>
      <c r="AU1113" t="s">
        <v>48</v>
      </c>
    </row>
    <row r="1114" spans="1:48">
      <c r="A1114" s="1">
        <f>HYPERLINK("https://cms.ls-nyc.org/matter/dynamic-profile/view/1872601","18-1872601")</f>
        <v>0</v>
      </c>
      <c r="B1114" t="s">
        <v>94</v>
      </c>
      <c r="C1114" t="s">
        <v>368</v>
      </c>
      <c r="E1114" t="s">
        <v>1247</v>
      </c>
      <c r="F1114" t="s">
        <v>2695</v>
      </c>
      <c r="G1114" t="s">
        <v>4368</v>
      </c>
      <c r="H1114" t="s">
        <v>5624</v>
      </c>
      <c r="I1114" t="s">
        <v>6054</v>
      </c>
      <c r="J1114">
        <v>11420</v>
      </c>
      <c r="K1114" t="s">
        <v>6074</v>
      </c>
      <c r="L1114" t="s">
        <v>6074</v>
      </c>
      <c r="M1114" t="s">
        <v>6601</v>
      </c>
      <c r="N1114" t="s">
        <v>7274</v>
      </c>
      <c r="O1114" t="s">
        <v>7308</v>
      </c>
      <c r="Q1114" t="s">
        <v>7322</v>
      </c>
      <c r="R1114" t="s">
        <v>6076</v>
      </c>
      <c r="S1114" t="s">
        <v>7324</v>
      </c>
      <c r="T1114" t="s">
        <v>7336</v>
      </c>
      <c r="U1114" t="s">
        <v>242</v>
      </c>
      <c r="V1114">
        <v>800</v>
      </c>
      <c r="W1114" t="s">
        <v>7361</v>
      </c>
      <c r="X1114" t="s">
        <v>7366</v>
      </c>
      <c r="Z1114" t="s">
        <v>8273</v>
      </c>
      <c r="AA1114" t="s">
        <v>10111</v>
      </c>
      <c r="AB1114" t="s">
        <v>11044</v>
      </c>
      <c r="AC1114">
        <v>2</v>
      </c>
      <c r="AD1114" t="s">
        <v>12419</v>
      </c>
      <c r="AE1114" t="s">
        <v>6110</v>
      </c>
      <c r="AF1114">
        <v>2</v>
      </c>
      <c r="AG1114">
        <v>1</v>
      </c>
      <c r="AH1114">
        <v>0</v>
      </c>
      <c r="AI1114">
        <v>74.14</v>
      </c>
      <c r="AL1114" t="s">
        <v>12461</v>
      </c>
      <c r="AM1114">
        <v>9000</v>
      </c>
      <c r="AO1114" t="s">
        <v>12847</v>
      </c>
      <c r="AP1114" t="s">
        <v>7305</v>
      </c>
      <c r="AQ1114" t="s">
        <v>12910</v>
      </c>
      <c r="AR1114" t="s">
        <v>12995</v>
      </c>
      <c r="AS1114">
        <v>21.95</v>
      </c>
      <c r="AT1114" t="s">
        <v>268</v>
      </c>
      <c r="AU1114" t="s">
        <v>48</v>
      </c>
    </row>
    <row r="1115" spans="1:48">
      <c r="A1115" s="1">
        <f>HYPERLINK("https://cms.ls-nyc.org/matter/dynamic-profile/view/1873217","18-1873217")</f>
        <v>0</v>
      </c>
      <c r="B1115" t="s">
        <v>94</v>
      </c>
      <c r="C1115" t="s">
        <v>447</v>
      </c>
      <c r="E1115" t="s">
        <v>1113</v>
      </c>
      <c r="F1115" t="s">
        <v>2329</v>
      </c>
      <c r="G1115" t="s">
        <v>4369</v>
      </c>
      <c r="H1115" t="s">
        <v>5430</v>
      </c>
      <c r="I1115" t="s">
        <v>6055</v>
      </c>
      <c r="J1115">
        <v>11412</v>
      </c>
      <c r="K1115" t="s">
        <v>6074</v>
      </c>
      <c r="L1115" t="s">
        <v>6074</v>
      </c>
      <c r="M1115" t="s">
        <v>6081</v>
      </c>
      <c r="N1115" t="s">
        <v>7277</v>
      </c>
      <c r="O1115" t="s">
        <v>7309</v>
      </c>
      <c r="Q1115" t="s">
        <v>7323</v>
      </c>
      <c r="R1115" t="s">
        <v>6076</v>
      </c>
      <c r="S1115" t="s">
        <v>7324</v>
      </c>
      <c r="T1115" t="s">
        <v>7336</v>
      </c>
      <c r="U1115" t="s">
        <v>447</v>
      </c>
      <c r="V1115">
        <v>1200</v>
      </c>
      <c r="W1115" t="s">
        <v>7361</v>
      </c>
      <c r="X1115" t="s">
        <v>7369</v>
      </c>
      <c r="Z1115" t="s">
        <v>8274</v>
      </c>
      <c r="AB1115" t="s">
        <v>11045</v>
      </c>
      <c r="AC1115">
        <v>20</v>
      </c>
      <c r="AD1115" t="s">
        <v>12428</v>
      </c>
      <c r="AE1115" t="s">
        <v>6110</v>
      </c>
      <c r="AF1115">
        <v>1</v>
      </c>
      <c r="AG1115">
        <v>1</v>
      </c>
      <c r="AH1115">
        <v>0</v>
      </c>
      <c r="AI1115">
        <v>74.14</v>
      </c>
      <c r="AJ1115" t="s">
        <v>12443</v>
      </c>
      <c r="AK1115" t="s">
        <v>12455</v>
      </c>
      <c r="AL1115" t="s">
        <v>12460</v>
      </c>
      <c r="AM1115">
        <v>9000</v>
      </c>
      <c r="AO1115" t="s">
        <v>12847</v>
      </c>
      <c r="AP1115" t="s">
        <v>12858</v>
      </c>
      <c r="AQ1115" t="s">
        <v>12910</v>
      </c>
      <c r="AR1115" t="s">
        <v>12996</v>
      </c>
      <c r="AS1115">
        <v>22.64</v>
      </c>
      <c r="AT1115" t="s">
        <v>343</v>
      </c>
      <c r="AU1115" t="s">
        <v>48</v>
      </c>
    </row>
    <row r="1116" spans="1:48">
      <c r="A1116" s="1">
        <f>HYPERLINK("https://cms.ls-nyc.org/matter/dynamic-profile/view/1877435","18-1877435")</f>
        <v>0</v>
      </c>
      <c r="B1116" t="s">
        <v>189</v>
      </c>
      <c r="C1116" t="s">
        <v>409</v>
      </c>
      <c r="D1116" t="s">
        <v>383</v>
      </c>
      <c r="E1116" t="s">
        <v>828</v>
      </c>
      <c r="F1116" t="s">
        <v>1647</v>
      </c>
      <c r="G1116" t="s">
        <v>4370</v>
      </c>
      <c r="H1116" t="s">
        <v>5417</v>
      </c>
      <c r="I1116" t="s">
        <v>6040</v>
      </c>
      <c r="J1116">
        <v>11367</v>
      </c>
      <c r="K1116" t="s">
        <v>6074</v>
      </c>
      <c r="L1116" t="s">
        <v>6074</v>
      </c>
      <c r="M1116" t="s">
        <v>6602</v>
      </c>
      <c r="N1116" t="s">
        <v>7274</v>
      </c>
      <c r="O1116" t="s">
        <v>7306</v>
      </c>
      <c r="P1116" t="s">
        <v>7314</v>
      </c>
      <c r="Q1116" t="s">
        <v>7322</v>
      </c>
      <c r="R1116" t="s">
        <v>6076</v>
      </c>
      <c r="S1116" t="s">
        <v>7324</v>
      </c>
      <c r="T1116" t="s">
        <v>7336</v>
      </c>
      <c r="U1116" t="s">
        <v>409</v>
      </c>
      <c r="V1116">
        <v>950</v>
      </c>
      <c r="W1116" t="s">
        <v>7361</v>
      </c>
      <c r="X1116" t="s">
        <v>7368</v>
      </c>
      <c r="Y1116" t="s">
        <v>7386</v>
      </c>
      <c r="Z1116" t="s">
        <v>8275</v>
      </c>
      <c r="AA1116" t="s">
        <v>10112</v>
      </c>
      <c r="AB1116" t="s">
        <v>11046</v>
      </c>
      <c r="AC1116">
        <v>3</v>
      </c>
      <c r="AD1116" t="s">
        <v>12422</v>
      </c>
      <c r="AE1116" t="s">
        <v>12440</v>
      </c>
      <c r="AF1116">
        <v>30</v>
      </c>
      <c r="AG1116">
        <v>1</v>
      </c>
      <c r="AH1116">
        <v>0</v>
      </c>
      <c r="AI1116">
        <v>74.14</v>
      </c>
      <c r="AL1116" t="s">
        <v>12460</v>
      </c>
      <c r="AM1116">
        <v>9000</v>
      </c>
      <c r="AS1116">
        <v>1.1</v>
      </c>
      <c r="AT1116" t="s">
        <v>383</v>
      </c>
      <c r="AU1116" t="s">
        <v>189</v>
      </c>
    </row>
    <row r="1117" spans="1:48">
      <c r="A1117" s="1">
        <f>HYPERLINK("https://cms.ls-nyc.org/matter/dynamic-profile/view/1872762","18-1872762")</f>
        <v>0</v>
      </c>
      <c r="B1117" t="s">
        <v>73</v>
      </c>
      <c r="C1117" t="s">
        <v>368</v>
      </c>
      <c r="D1117" t="s">
        <v>344</v>
      </c>
      <c r="E1117" t="s">
        <v>1248</v>
      </c>
      <c r="F1117" t="s">
        <v>2283</v>
      </c>
      <c r="G1117" t="s">
        <v>4371</v>
      </c>
      <c r="H1117" t="s">
        <v>5438</v>
      </c>
      <c r="I1117" t="s">
        <v>6043</v>
      </c>
      <c r="J1117">
        <v>11233</v>
      </c>
      <c r="K1117" t="s">
        <v>6074</v>
      </c>
      <c r="L1117" t="s">
        <v>6074</v>
      </c>
      <c r="M1117" t="s">
        <v>6603</v>
      </c>
      <c r="N1117" t="s">
        <v>7274</v>
      </c>
      <c r="O1117" t="s">
        <v>7306</v>
      </c>
      <c r="P1117" t="s">
        <v>7314</v>
      </c>
      <c r="Q1117" t="s">
        <v>7322</v>
      </c>
      <c r="S1117" t="s">
        <v>7324</v>
      </c>
      <c r="U1117" t="s">
        <v>344</v>
      </c>
      <c r="V1117">
        <v>173</v>
      </c>
      <c r="W1117" t="s">
        <v>7362</v>
      </c>
      <c r="X1117" t="s">
        <v>7384</v>
      </c>
      <c r="Y1117" t="s">
        <v>7386</v>
      </c>
      <c r="Z1117" t="s">
        <v>8276</v>
      </c>
      <c r="AA1117" t="s">
        <v>10113</v>
      </c>
      <c r="AB1117" t="s">
        <v>11047</v>
      </c>
      <c r="AC1117">
        <v>6</v>
      </c>
      <c r="AD1117" t="s">
        <v>12421</v>
      </c>
      <c r="AE1117" t="s">
        <v>12434</v>
      </c>
      <c r="AF1117">
        <v>24</v>
      </c>
      <c r="AG1117">
        <v>1</v>
      </c>
      <c r="AH1117">
        <v>0</v>
      </c>
      <c r="AI1117">
        <v>74.14</v>
      </c>
      <c r="AL1117" t="s">
        <v>12460</v>
      </c>
      <c r="AM1117">
        <v>9000</v>
      </c>
      <c r="AN1117" t="s">
        <v>12592</v>
      </c>
      <c r="AS1117">
        <v>5.45</v>
      </c>
      <c r="AT1117" t="s">
        <v>437</v>
      </c>
      <c r="AU1117" t="s">
        <v>13080</v>
      </c>
    </row>
    <row r="1118" spans="1:48">
      <c r="A1118" s="1">
        <f>HYPERLINK("https://cms.ls-nyc.org/matter/dynamic-profile/view/1882569","18-1882569")</f>
        <v>0</v>
      </c>
      <c r="B1118" t="s">
        <v>75</v>
      </c>
      <c r="C1118" t="s">
        <v>283</v>
      </c>
      <c r="E1118" t="s">
        <v>1249</v>
      </c>
      <c r="F1118" t="s">
        <v>2696</v>
      </c>
      <c r="G1118" t="s">
        <v>3705</v>
      </c>
      <c r="H1118" t="s">
        <v>5386</v>
      </c>
      <c r="I1118" t="s">
        <v>6043</v>
      </c>
      <c r="J1118">
        <v>11233</v>
      </c>
      <c r="K1118" t="s">
        <v>6074</v>
      </c>
      <c r="L1118" t="s">
        <v>6074</v>
      </c>
      <c r="M1118" t="s">
        <v>6128</v>
      </c>
      <c r="N1118" t="s">
        <v>7274</v>
      </c>
      <c r="O1118" t="s">
        <v>7308</v>
      </c>
      <c r="Q1118" t="s">
        <v>7322</v>
      </c>
      <c r="R1118" t="s">
        <v>6076</v>
      </c>
      <c r="S1118" t="s">
        <v>7324</v>
      </c>
      <c r="T1118" t="s">
        <v>7340</v>
      </c>
      <c r="U1118" t="s">
        <v>258</v>
      </c>
      <c r="V1118">
        <v>220</v>
      </c>
      <c r="W1118" t="s">
        <v>7362</v>
      </c>
      <c r="X1118" t="s">
        <v>7366</v>
      </c>
      <c r="Z1118" t="s">
        <v>8277</v>
      </c>
      <c r="AB1118" t="s">
        <v>11048</v>
      </c>
      <c r="AC1118">
        <v>2</v>
      </c>
      <c r="AD1118" t="s">
        <v>12419</v>
      </c>
      <c r="AE1118" t="s">
        <v>12436</v>
      </c>
      <c r="AF1118">
        <v>1</v>
      </c>
      <c r="AG1118">
        <v>1</v>
      </c>
      <c r="AH1118">
        <v>0</v>
      </c>
      <c r="AI1118">
        <v>74.14</v>
      </c>
      <c r="AL1118" t="s">
        <v>12460</v>
      </c>
      <c r="AM1118">
        <v>9000</v>
      </c>
      <c r="AS1118">
        <v>1.5</v>
      </c>
      <c r="AT1118" t="s">
        <v>310</v>
      </c>
      <c r="AU1118" t="s">
        <v>218</v>
      </c>
    </row>
    <row r="1119" spans="1:48">
      <c r="A1119" s="1">
        <f>HYPERLINK("https://cms.ls-nyc.org/matter/dynamic-profile/view/1871854","18-1871854")</f>
        <v>0</v>
      </c>
      <c r="B1119" t="s">
        <v>70</v>
      </c>
      <c r="C1119" t="s">
        <v>475</v>
      </c>
      <c r="E1119" t="s">
        <v>1250</v>
      </c>
      <c r="F1119" t="s">
        <v>2257</v>
      </c>
      <c r="G1119" t="s">
        <v>4372</v>
      </c>
      <c r="H1119" t="s">
        <v>5649</v>
      </c>
      <c r="I1119" t="s">
        <v>6043</v>
      </c>
      <c r="J1119">
        <v>11226</v>
      </c>
      <c r="K1119" t="s">
        <v>6074</v>
      </c>
      <c r="L1119" t="s">
        <v>6074</v>
      </c>
      <c r="N1119" t="s">
        <v>6104</v>
      </c>
      <c r="O1119" t="s">
        <v>7309</v>
      </c>
      <c r="Q1119" t="s">
        <v>7322</v>
      </c>
      <c r="R1119" t="s">
        <v>6076</v>
      </c>
      <c r="S1119" t="s">
        <v>7324</v>
      </c>
      <c r="U1119" t="s">
        <v>442</v>
      </c>
      <c r="V1119">
        <v>1735</v>
      </c>
      <c r="W1119" t="s">
        <v>7362</v>
      </c>
      <c r="X1119" t="s">
        <v>7376</v>
      </c>
      <c r="Z1119" t="s">
        <v>8278</v>
      </c>
      <c r="AB1119" t="s">
        <v>11049</v>
      </c>
      <c r="AC1119">
        <v>24</v>
      </c>
      <c r="AD1119" t="s">
        <v>12422</v>
      </c>
      <c r="AE1119" t="s">
        <v>6110</v>
      </c>
      <c r="AF1119">
        <v>41</v>
      </c>
      <c r="AG1119">
        <v>1</v>
      </c>
      <c r="AH1119">
        <v>0</v>
      </c>
      <c r="AI1119">
        <v>74.14</v>
      </c>
      <c r="AL1119" t="s">
        <v>12460</v>
      </c>
      <c r="AM1119">
        <v>9000</v>
      </c>
      <c r="AS1119">
        <v>10.8</v>
      </c>
      <c r="AT1119" t="s">
        <v>358</v>
      </c>
      <c r="AU1119" t="s">
        <v>13087</v>
      </c>
    </row>
    <row r="1120" spans="1:48">
      <c r="A1120" s="1">
        <f>HYPERLINK("https://cms.ls-nyc.org/matter/dynamic-profile/view/1875349","18-1875349")</f>
        <v>0</v>
      </c>
      <c r="B1120" t="s">
        <v>68</v>
      </c>
      <c r="C1120" t="s">
        <v>406</v>
      </c>
      <c r="D1120" t="s">
        <v>432</v>
      </c>
      <c r="E1120" t="s">
        <v>656</v>
      </c>
      <c r="F1120" t="s">
        <v>2697</v>
      </c>
      <c r="G1120" t="s">
        <v>4373</v>
      </c>
      <c r="H1120">
        <v>1</v>
      </c>
      <c r="I1120" t="s">
        <v>6043</v>
      </c>
      <c r="J1120">
        <v>11208</v>
      </c>
      <c r="K1120" t="s">
        <v>6074</v>
      </c>
      <c r="L1120" t="s">
        <v>6074</v>
      </c>
      <c r="M1120" t="s">
        <v>6604</v>
      </c>
      <c r="N1120" t="s">
        <v>7274</v>
      </c>
      <c r="O1120" t="s">
        <v>7306</v>
      </c>
      <c r="P1120" t="s">
        <v>7314</v>
      </c>
      <c r="Q1120" t="s">
        <v>7322</v>
      </c>
      <c r="S1120" t="s">
        <v>7324</v>
      </c>
      <c r="U1120" t="s">
        <v>406</v>
      </c>
      <c r="V1120">
        <v>1350</v>
      </c>
      <c r="W1120" t="s">
        <v>7362</v>
      </c>
      <c r="X1120" t="s">
        <v>7366</v>
      </c>
      <c r="Y1120" t="s">
        <v>7386</v>
      </c>
      <c r="Z1120" t="s">
        <v>8279</v>
      </c>
      <c r="AB1120" t="s">
        <v>11050</v>
      </c>
      <c r="AC1120">
        <v>2</v>
      </c>
      <c r="AD1120" t="s">
        <v>12420</v>
      </c>
      <c r="AE1120" t="s">
        <v>12434</v>
      </c>
      <c r="AF1120">
        <v>7</v>
      </c>
      <c r="AG1120">
        <v>1</v>
      </c>
      <c r="AH1120">
        <v>0</v>
      </c>
      <c r="AI1120">
        <v>74.14</v>
      </c>
      <c r="AL1120" t="s">
        <v>12460</v>
      </c>
      <c r="AM1120">
        <v>9000</v>
      </c>
      <c r="AS1120">
        <v>3.6</v>
      </c>
      <c r="AT1120" t="s">
        <v>291</v>
      </c>
      <c r="AU1120" t="s">
        <v>13082</v>
      </c>
    </row>
    <row r="1121" spans="1:47">
      <c r="A1121" s="1">
        <f>HYPERLINK("https://cms.ls-nyc.org/matter/dynamic-profile/view/1869405","18-1869405")</f>
        <v>0</v>
      </c>
      <c r="B1121" t="s">
        <v>72</v>
      </c>
      <c r="C1121" t="s">
        <v>484</v>
      </c>
      <c r="D1121" t="s">
        <v>232</v>
      </c>
      <c r="E1121" t="s">
        <v>1251</v>
      </c>
      <c r="F1121" t="s">
        <v>2370</v>
      </c>
      <c r="G1121" t="s">
        <v>4374</v>
      </c>
      <c r="H1121">
        <v>1</v>
      </c>
      <c r="I1121" t="s">
        <v>6043</v>
      </c>
      <c r="J1121">
        <v>11208</v>
      </c>
      <c r="K1121" t="s">
        <v>6074</v>
      </c>
      <c r="L1121" t="s">
        <v>6074</v>
      </c>
      <c r="M1121" t="s">
        <v>6605</v>
      </c>
      <c r="N1121" t="s">
        <v>7277</v>
      </c>
      <c r="O1121" t="s">
        <v>7308</v>
      </c>
      <c r="P1121" t="s">
        <v>7319</v>
      </c>
      <c r="Q1121" t="s">
        <v>7322</v>
      </c>
      <c r="R1121" t="s">
        <v>6076</v>
      </c>
      <c r="S1121" t="s">
        <v>7324</v>
      </c>
      <c r="U1121" t="s">
        <v>232</v>
      </c>
      <c r="V1121">
        <v>405</v>
      </c>
      <c r="W1121" t="s">
        <v>7362</v>
      </c>
      <c r="X1121" t="s">
        <v>7376</v>
      </c>
      <c r="Y1121" t="s">
        <v>7386</v>
      </c>
      <c r="Z1121" t="s">
        <v>8280</v>
      </c>
      <c r="AB1121" t="s">
        <v>11051</v>
      </c>
      <c r="AC1121">
        <v>4</v>
      </c>
      <c r="AD1121" t="s">
        <v>12419</v>
      </c>
      <c r="AE1121" t="s">
        <v>6110</v>
      </c>
      <c r="AF1121">
        <v>-1</v>
      </c>
      <c r="AG1121">
        <v>1</v>
      </c>
      <c r="AH1121">
        <v>0</v>
      </c>
      <c r="AI1121">
        <v>74.14</v>
      </c>
      <c r="AL1121" t="s">
        <v>12460</v>
      </c>
      <c r="AM1121">
        <v>9000</v>
      </c>
      <c r="AS1121">
        <v>15.1</v>
      </c>
      <c r="AT1121" t="s">
        <v>311</v>
      </c>
      <c r="AU1121" t="s">
        <v>13087</v>
      </c>
    </row>
    <row r="1122" spans="1:47">
      <c r="A1122" s="1">
        <f>HYPERLINK("https://cms.ls-nyc.org/matter/dynamic-profile/view/1875764","18-1875764")</f>
        <v>0</v>
      </c>
      <c r="B1122" t="s">
        <v>71</v>
      </c>
      <c r="C1122" t="s">
        <v>239</v>
      </c>
      <c r="D1122" t="s">
        <v>448</v>
      </c>
      <c r="E1122" t="s">
        <v>1252</v>
      </c>
      <c r="F1122" t="s">
        <v>2698</v>
      </c>
      <c r="G1122" t="s">
        <v>3913</v>
      </c>
      <c r="H1122" t="s">
        <v>5650</v>
      </c>
      <c r="I1122" t="s">
        <v>6043</v>
      </c>
      <c r="J1122">
        <v>11208</v>
      </c>
      <c r="K1122" t="s">
        <v>6074</v>
      </c>
      <c r="L1122" t="s">
        <v>6074</v>
      </c>
      <c r="M1122" t="s">
        <v>6606</v>
      </c>
      <c r="N1122" t="s">
        <v>7276</v>
      </c>
      <c r="O1122" t="s">
        <v>7308</v>
      </c>
      <c r="P1122" t="s">
        <v>7316</v>
      </c>
      <c r="Q1122" t="s">
        <v>7322</v>
      </c>
      <c r="R1122" t="s">
        <v>6076</v>
      </c>
      <c r="S1122" t="s">
        <v>7324</v>
      </c>
      <c r="U1122" t="s">
        <v>239</v>
      </c>
      <c r="V1122">
        <v>1165</v>
      </c>
      <c r="W1122" t="s">
        <v>7362</v>
      </c>
      <c r="X1122" t="s">
        <v>7368</v>
      </c>
      <c r="Y1122" t="s">
        <v>7388</v>
      </c>
      <c r="Z1122" t="s">
        <v>8281</v>
      </c>
      <c r="AA1122">
        <v>557185</v>
      </c>
      <c r="AB1122" t="s">
        <v>11052</v>
      </c>
      <c r="AC1122">
        <v>45</v>
      </c>
      <c r="AD1122" t="s">
        <v>12420</v>
      </c>
      <c r="AF1122">
        <v>12</v>
      </c>
      <c r="AG1122">
        <v>1</v>
      </c>
      <c r="AH1122">
        <v>0</v>
      </c>
      <c r="AI1122">
        <v>74.14</v>
      </c>
      <c r="AL1122" t="s">
        <v>12460</v>
      </c>
      <c r="AM1122">
        <v>9000</v>
      </c>
      <c r="AN1122" t="s">
        <v>12491</v>
      </c>
      <c r="AS1122">
        <v>24.5</v>
      </c>
      <c r="AT1122" t="s">
        <v>379</v>
      </c>
      <c r="AU1122" t="s">
        <v>218</v>
      </c>
    </row>
    <row r="1123" spans="1:47">
      <c r="A1123" s="1">
        <f>HYPERLINK("https://cms.ls-nyc.org/matter/dynamic-profile/view/1878898","18-1878898")</f>
        <v>0</v>
      </c>
      <c r="B1123" t="s">
        <v>71</v>
      </c>
      <c r="C1123" t="s">
        <v>438</v>
      </c>
      <c r="D1123" t="s">
        <v>300</v>
      </c>
      <c r="E1123" t="s">
        <v>1253</v>
      </c>
      <c r="F1123" t="s">
        <v>2699</v>
      </c>
      <c r="G1123" t="s">
        <v>4375</v>
      </c>
      <c r="H1123" t="s">
        <v>5422</v>
      </c>
      <c r="I1123" t="s">
        <v>6043</v>
      </c>
      <c r="J1123">
        <v>11207</v>
      </c>
      <c r="K1123" t="s">
        <v>6074</v>
      </c>
      <c r="L1123" t="s">
        <v>6074</v>
      </c>
      <c r="M1123" t="s">
        <v>6607</v>
      </c>
      <c r="N1123" t="s">
        <v>7274</v>
      </c>
      <c r="O1123" t="s">
        <v>7308</v>
      </c>
      <c r="P1123" t="s">
        <v>7320</v>
      </c>
      <c r="Q1123" t="s">
        <v>7322</v>
      </c>
      <c r="R1123" t="s">
        <v>6076</v>
      </c>
      <c r="S1123" t="s">
        <v>7324</v>
      </c>
      <c r="U1123" t="s">
        <v>438</v>
      </c>
      <c r="V1123">
        <v>1150</v>
      </c>
      <c r="W1123" t="s">
        <v>7362</v>
      </c>
      <c r="X1123" t="s">
        <v>7373</v>
      </c>
      <c r="Y1123" t="s">
        <v>7386</v>
      </c>
      <c r="Z1123" t="s">
        <v>8282</v>
      </c>
      <c r="AA1123" t="s">
        <v>10114</v>
      </c>
      <c r="AB1123" t="s">
        <v>11053</v>
      </c>
      <c r="AC1123">
        <v>5</v>
      </c>
      <c r="AD1123" t="s">
        <v>6322</v>
      </c>
      <c r="AE1123" t="s">
        <v>6110</v>
      </c>
      <c r="AF1123">
        <v>3</v>
      </c>
      <c r="AG1123">
        <v>1</v>
      </c>
      <c r="AH1123">
        <v>0</v>
      </c>
      <c r="AI1123">
        <v>74.14</v>
      </c>
      <c r="AL1123" t="s">
        <v>12460</v>
      </c>
      <c r="AM1123">
        <v>9000</v>
      </c>
      <c r="AN1123" t="s">
        <v>12491</v>
      </c>
      <c r="AS1123">
        <v>8.300000000000001</v>
      </c>
      <c r="AT1123" t="s">
        <v>300</v>
      </c>
      <c r="AU1123" t="s">
        <v>218</v>
      </c>
    </row>
    <row r="1124" spans="1:47">
      <c r="A1124" s="1">
        <f>HYPERLINK("https://cms.ls-nyc.org/matter/dynamic-profile/view/1885509","18-1885509")</f>
        <v>0</v>
      </c>
      <c r="B1124" t="s">
        <v>101</v>
      </c>
      <c r="C1124" t="s">
        <v>429</v>
      </c>
      <c r="E1124" t="s">
        <v>937</v>
      </c>
      <c r="F1124" t="s">
        <v>2700</v>
      </c>
      <c r="G1124" t="s">
        <v>4376</v>
      </c>
      <c r="H1124" t="s">
        <v>5651</v>
      </c>
      <c r="I1124" t="s">
        <v>6047</v>
      </c>
      <c r="J1124">
        <v>10472</v>
      </c>
      <c r="K1124" t="s">
        <v>6074</v>
      </c>
      <c r="L1124" t="s">
        <v>6074</v>
      </c>
      <c r="M1124" t="s">
        <v>6608</v>
      </c>
      <c r="N1124" t="s">
        <v>7274</v>
      </c>
      <c r="O1124" t="s">
        <v>7308</v>
      </c>
      <c r="Q1124" t="s">
        <v>7322</v>
      </c>
      <c r="R1124" t="s">
        <v>6076</v>
      </c>
      <c r="S1124" t="s">
        <v>7324</v>
      </c>
      <c r="T1124" t="s">
        <v>7337</v>
      </c>
      <c r="U1124" t="s">
        <v>429</v>
      </c>
      <c r="V1124">
        <v>854.9</v>
      </c>
      <c r="W1124" t="s">
        <v>7363</v>
      </c>
      <c r="X1124" t="s">
        <v>7373</v>
      </c>
      <c r="Z1124" t="s">
        <v>8283</v>
      </c>
      <c r="AA1124" t="s">
        <v>10115</v>
      </c>
      <c r="AB1124" t="s">
        <v>11054</v>
      </c>
      <c r="AC1124">
        <v>46</v>
      </c>
      <c r="AD1124" t="s">
        <v>12429</v>
      </c>
      <c r="AE1124" t="s">
        <v>12434</v>
      </c>
      <c r="AF1124">
        <v>2</v>
      </c>
      <c r="AG1124">
        <v>1</v>
      </c>
      <c r="AH1124">
        <v>0</v>
      </c>
      <c r="AI1124">
        <v>74.14</v>
      </c>
      <c r="AL1124" t="s">
        <v>12460</v>
      </c>
      <c r="AM1124">
        <v>9000</v>
      </c>
      <c r="AS1124">
        <v>37.85</v>
      </c>
      <c r="AT1124" t="s">
        <v>272</v>
      </c>
      <c r="AU1124" t="s">
        <v>13097</v>
      </c>
    </row>
    <row r="1125" spans="1:47">
      <c r="A1125" s="1">
        <f>HYPERLINK("https://cms.ls-nyc.org/matter/dynamic-profile/view/1871836","18-1871836")</f>
        <v>0</v>
      </c>
      <c r="B1125" t="s">
        <v>190</v>
      </c>
      <c r="C1125" t="s">
        <v>475</v>
      </c>
      <c r="D1125" t="s">
        <v>306</v>
      </c>
      <c r="E1125" t="s">
        <v>1071</v>
      </c>
      <c r="F1125" t="s">
        <v>846</v>
      </c>
      <c r="G1125" t="s">
        <v>4377</v>
      </c>
      <c r="H1125" t="s">
        <v>5652</v>
      </c>
      <c r="I1125" t="s">
        <v>6047</v>
      </c>
      <c r="J1125">
        <v>10467</v>
      </c>
      <c r="K1125" t="s">
        <v>6074</v>
      </c>
      <c r="L1125" t="s">
        <v>6074</v>
      </c>
      <c r="N1125" t="s">
        <v>7278</v>
      </c>
      <c r="O1125" t="s">
        <v>7307</v>
      </c>
      <c r="P1125" t="s">
        <v>7316</v>
      </c>
      <c r="Q1125" t="s">
        <v>7322</v>
      </c>
      <c r="S1125" t="s">
        <v>7324</v>
      </c>
      <c r="U1125" t="s">
        <v>502</v>
      </c>
      <c r="V1125">
        <v>0</v>
      </c>
      <c r="W1125" t="s">
        <v>7363</v>
      </c>
      <c r="Y1125" t="s">
        <v>7388</v>
      </c>
      <c r="Z1125" t="s">
        <v>8284</v>
      </c>
      <c r="AB1125" t="s">
        <v>11055</v>
      </c>
      <c r="AC1125">
        <v>54</v>
      </c>
      <c r="AD1125" t="s">
        <v>12422</v>
      </c>
      <c r="AE1125" t="s">
        <v>6110</v>
      </c>
      <c r="AF1125">
        <v>0</v>
      </c>
      <c r="AG1125">
        <v>1</v>
      </c>
      <c r="AH1125">
        <v>0</v>
      </c>
      <c r="AI1125">
        <v>74.14</v>
      </c>
      <c r="AL1125" t="s">
        <v>12461</v>
      </c>
      <c r="AM1125">
        <v>9000</v>
      </c>
      <c r="AN1125" t="s">
        <v>12593</v>
      </c>
      <c r="AS1125">
        <v>6.5</v>
      </c>
      <c r="AT1125" t="s">
        <v>357</v>
      </c>
      <c r="AU1125" t="s">
        <v>13094</v>
      </c>
    </row>
    <row r="1126" spans="1:47">
      <c r="A1126" s="1">
        <f>HYPERLINK("https://cms.ls-nyc.org/matter/dynamic-profile/view/1887795","19-1887795")</f>
        <v>0</v>
      </c>
      <c r="B1126" t="s">
        <v>116</v>
      </c>
      <c r="C1126" t="s">
        <v>310</v>
      </c>
      <c r="D1126" t="s">
        <v>361</v>
      </c>
      <c r="E1126" t="s">
        <v>854</v>
      </c>
      <c r="F1126" t="s">
        <v>2701</v>
      </c>
      <c r="G1126" t="s">
        <v>4378</v>
      </c>
      <c r="H1126" t="s">
        <v>5653</v>
      </c>
      <c r="I1126" t="s">
        <v>6047</v>
      </c>
      <c r="J1126">
        <v>10467</v>
      </c>
      <c r="K1126" t="s">
        <v>6074</v>
      </c>
      <c r="L1126" t="s">
        <v>6074</v>
      </c>
      <c r="N1126" t="s">
        <v>7278</v>
      </c>
      <c r="O1126" t="s">
        <v>7307</v>
      </c>
      <c r="P1126" t="s">
        <v>7315</v>
      </c>
      <c r="Q1126" t="s">
        <v>7322</v>
      </c>
      <c r="R1126" t="s">
        <v>6076</v>
      </c>
      <c r="S1126" t="s">
        <v>7324</v>
      </c>
      <c r="U1126" t="s">
        <v>310</v>
      </c>
      <c r="V1126">
        <v>542.6900000000001</v>
      </c>
      <c r="W1126" t="s">
        <v>7363</v>
      </c>
      <c r="X1126" t="s">
        <v>7370</v>
      </c>
      <c r="Y1126" t="s">
        <v>7387</v>
      </c>
      <c r="Z1126" t="s">
        <v>8285</v>
      </c>
      <c r="AB1126" t="s">
        <v>11056</v>
      </c>
      <c r="AC1126">
        <v>59</v>
      </c>
      <c r="AD1126" t="s">
        <v>12422</v>
      </c>
      <c r="AE1126" t="s">
        <v>12441</v>
      </c>
      <c r="AF1126">
        <v>44</v>
      </c>
      <c r="AG1126">
        <v>1</v>
      </c>
      <c r="AH1126">
        <v>0</v>
      </c>
      <c r="AI1126">
        <v>74.14</v>
      </c>
      <c r="AL1126" t="s">
        <v>12460</v>
      </c>
      <c r="AM1126">
        <v>9000</v>
      </c>
      <c r="AS1126">
        <v>3.75</v>
      </c>
      <c r="AT1126" t="s">
        <v>420</v>
      </c>
      <c r="AU1126" t="s">
        <v>116</v>
      </c>
    </row>
    <row r="1127" spans="1:47">
      <c r="A1127" s="1">
        <f>HYPERLINK("https://cms.ls-nyc.org/matter/dynamic-profile/view/1874022","18-1874022")</f>
        <v>0</v>
      </c>
      <c r="B1127" t="s">
        <v>111</v>
      </c>
      <c r="C1127" t="s">
        <v>480</v>
      </c>
      <c r="D1127" t="s">
        <v>472</v>
      </c>
      <c r="E1127" t="s">
        <v>1075</v>
      </c>
      <c r="F1127" t="s">
        <v>2702</v>
      </c>
      <c r="G1127" t="s">
        <v>4379</v>
      </c>
      <c r="I1127" t="s">
        <v>6047</v>
      </c>
      <c r="J1127">
        <v>10460</v>
      </c>
      <c r="K1127" t="s">
        <v>6074</v>
      </c>
      <c r="L1127" t="s">
        <v>6074</v>
      </c>
      <c r="N1127" t="s">
        <v>7273</v>
      </c>
      <c r="O1127" t="s">
        <v>7307</v>
      </c>
      <c r="P1127" t="s">
        <v>7315</v>
      </c>
      <c r="Q1127" t="s">
        <v>7322</v>
      </c>
      <c r="R1127" t="s">
        <v>6076</v>
      </c>
      <c r="S1127" t="s">
        <v>7324</v>
      </c>
      <c r="U1127" t="s">
        <v>480</v>
      </c>
      <c r="V1127">
        <v>1070</v>
      </c>
      <c r="W1127" t="s">
        <v>7363</v>
      </c>
      <c r="Y1127" t="s">
        <v>7387</v>
      </c>
      <c r="Z1127" t="s">
        <v>8286</v>
      </c>
      <c r="AB1127" t="s">
        <v>11057</v>
      </c>
      <c r="AC1127">
        <v>0</v>
      </c>
      <c r="AD1127" t="s">
        <v>12422</v>
      </c>
      <c r="AE1127" t="s">
        <v>12440</v>
      </c>
      <c r="AF1127">
        <v>3</v>
      </c>
      <c r="AG1127">
        <v>1</v>
      </c>
      <c r="AH1127">
        <v>0</v>
      </c>
      <c r="AI1127">
        <v>74.14</v>
      </c>
      <c r="AL1127" t="s">
        <v>12460</v>
      </c>
      <c r="AM1127">
        <v>9000</v>
      </c>
      <c r="AS1127">
        <v>1</v>
      </c>
      <c r="AT1127" t="s">
        <v>437</v>
      </c>
      <c r="AU1127" t="s">
        <v>111</v>
      </c>
    </row>
    <row r="1128" spans="1:47">
      <c r="A1128" s="1">
        <f>HYPERLINK("https://cms.ls-nyc.org/matter/dynamic-profile/view/1886022","18-1886022")</f>
        <v>0</v>
      </c>
      <c r="B1128" t="s">
        <v>102</v>
      </c>
      <c r="C1128" t="s">
        <v>320</v>
      </c>
      <c r="E1128" t="s">
        <v>1254</v>
      </c>
      <c r="F1128" t="s">
        <v>2382</v>
      </c>
      <c r="G1128" t="s">
        <v>3779</v>
      </c>
      <c r="H1128" t="s">
        <v>5654</v>
      </c>
      <c r="I1128" t="s">
        <v>6047</v>
      </c>
      <c r="J1128">
        <v>10460</v>
      </c>
      <c r="K1128" t="s">
        <v>6074</v>
      </c>
      <c r="L1128" t="s">
        <v>6074</v>
      </c>
      <c r="M1128" t="s">
        <v>6182</v>
      </c>
      <c r="N1128" t="s">
        <v>7273</v>
      </c>
      <c r="O1128" t="s">
        <v>7308</v>
      </c>
      <c r="Q1128" t="s">
        <v>7322</v>
      </c>
      <c r="R1128" t="s">
        <v>6074</v>
      </c>
      <c r="S1128" t="s">
        <v>7324</v>
      </c>
      <c r="U1128" t="s">
        <v>457</v>
      </c>
      <c r="V1128">
        <v>990</v>
      </c>
      <c r="W1128" t="s">
        <v>7363</v>
      </c>
      <c r="X1128" t="s">
        <v>7376</v>
      </c>
      <c r="Z1128" t="s">
        <v>8287</v>
      </c>
      <c r="AB1128" t="s">
        <v>11058</v>
      </c>
      <c r="AC1128">
        <v>169</v>
      </c>
      <c r="AD1128" t="s">
        <v>12422</v>
      </c>
      <c r="AE1128" t="s">
        <v>12434</v>
      </c>
      <c r="AF1128">
        <v>11</v>
      </c>
      <c r="AG1128">
        <v>1</v>
      </c>
      <c r="AH1128">
        <v>0</v>
      </c>
      <c r="AI1128">
        <v>74.14</v>
      </c>
      <c r="AL1128" t="s">
        <v>12460</v>
      </c>
      <c r="AM1128">
        <v>9000</v>
      </c>
      <c r="AS1128">
        <v>0</v>
      </c>
      <c r="AU1128" t="s">
        <v>13113</v>
      </c>
    </row>
    <row r="1129" spans="1:47">
      <c r="A1129" s="1">
        <f>HYPERLINK("https://cms.ls-nyc.org/matter/dynamic-profile/view/1886507","18-1886507")</f>
        <v>0</v>
      </c>
      <c r="B1129" t="s">
        <v>102</v>
      </c>
      <c r="C1129" t="s">
        <v>300</v>
      </c>
      <c r="E1129" t="s">
        <v>969</v>
      </c>
      <c r="F1129" t="s">
        <v>2204</v>
      </c>
      <c r="G1129" t="s">
        <v>3779</v>
      </c>
      <c r="H1129" t="s">
        <v>5354</v>
      </c>
      <c r="I1129" t="s">
        <v>6047</v>
      </c>
      <c r="J1129">
        <v>10460</v>
      </c>
      <c r="K1129" t="s">
        <v>6074</v>
      </c>
      <c r="L1129" t="s">
        <v>6074</v>
      </c>
      <c r="M1129" t="s">
        <v>6182</v>
      </c>
      <c r="N1129" t="s">
        <v>7273</v>
      </c>
      <c r="O1129" t="s">
        <v>7308</v>
      </c>
      <c r="Q1129" t="s">
        <v>7322</v>
      </c>
      <c r="R1129" t="s">
        <v>6074</v>
      </c>
      <c r="S1129" t="s">
        <v>7324</v>
      </c>
      <c r="U1129" t="s">
        <v>457</v>
      </c>
      <c r="V1129">
        <v>241</v>
      </c>
      <c r="W1129" t="s">
        <v>7363</v>
      </c>
      <c r="X1129" t="s">
        <v>7376</v>
      </c>
      <c r="Z1129" t="s">
        <v>8288</v>
      </c>
      <c r="AB1129" t="s">
        <v>11059</v>
      </c>
      <c r="AC1129">
        <v>168</v>
      </c>
      <c r="AD1129" t="s">
        <v>12422</v>
      </c>
      <c r="AE1129" t="s">
        <v>7305</v>
      </c>
      <c r="AF1129">
        <v>2</v>
      </c>
      <c r="AG1129">
        <v>1</v>
      </c>
      <c r="AH1129">
        <v>0</v>
      </c>
      <c r="AI1129">
        <v>74.14</v>
      </c>
      <c r="AL1129" t="s">
        <v>12460</v>
      </c>
      <c r="AM1129">
        <v>9000</v>
      </c>
      <c r="AS1129">
        <v>0</v>
      </c>
      <c r="AU1129" t="s">
        <v>13092</v>
      </c>
    </row>
    <row r="1130" spans="1:47">
      <c r="A1130" s="1">
        <f>HYPERLINK("https://cms.ls-nyc.org/matter/dynamic-profile/view/1886510","18-1886510")</f>
        <v>0</v>
      </c>
      <c r="B1130" t="s">
        <v>102</v>
      </c>
      <c r="C1130" t="s">
        <v>300</v>
      </c>
      <c r="E1130" t="s">
        <v>651</v>
      </c>
      <c r="F1130" t="s">
        <v>2703</v>
      </c>
      <c r="G1130" t="s">
        <v>3779</v>
      </c>
      <c r="H1130" t="s">
        <v>5390</v>
      </c>
      <c r="I1130" t="s">
        <v>6047</v>
      </c>
      <c r="J1130">
        <v>10460</v>
      </c>
      <c r="K1130" t="s">
        <v>6074</v>
      </c>
      <c r="L1130" t="s">
        <v>6074</v>
      </c>
      <c r="M1130" t="s">
        <v>6182</v>
      </c>
      <c r="N1130" t="s">
        <v>7273</v>
      </c>
      <c r="O1130" t="s">
        <v>7308</v>
      </c>
      <c r="Q1130" t="s">
        <v>7322</v>
      </c>
      <c r="R1130" t="s">
        <v>6074</v>
      </c>
      <c r="S1130" t="s">
        <v>7324</v>
      </c>
      <c r="U1130" t="s">
        <v>457</v>
      </c>
      <c r="V1130">
        <v>326</v>
      </c>
      <c r="W1130" t="s">
        <v>7363</v>
      </c>
      <c r="X1130" t="s">
        <v>7376</v>
      </c>
      <c r="Z1130" t="s">
        <v>8289</v>
      </c>
      <c r="AB1130" t="s">
        <v>11060</v>
      </c>
      <c r="AC1130">
        <v>168</v>
      </c>
      <c r="AD1130" t="s">
        <v>12419</v>
      </c>
      <c r="AE1130" t="s">
        <v>12440</v>
      </c>
      <c r="AF1130">
        <v>5</v>
      </c>
      <c r="AG1130">
        <v>1</v>
      </c>
      <c r="AH1130">
        <v>0</v>
      </c>
      <c r="AI1130">
        <v>74.14</v>
      </c>
      <c r="AL1130" t="s">
        <v>12461</v>
      </c>
      <c r="AM1130">
        <v>9000</v>
      </c>
      <c r="AS1130">
        <v>0</v>
      </c>
      <c r="AU1130" t="s">
        <v>13092</v>
      </c>
    </row>
    <row r="1131" spans="1:47">
      <c r="A1131" s="1">
        <f>HYPERLINK("https://cms.ls-nyc.org/matter/dynamic-profile/view/1887686","18-1887686")</f>
        <v>0</v>
      </c>
      <c r="B1131" t="s">
        <v>102</v>
      </c>
      <c r="C1131" t="s">
        <v>428</v>
      </c>
      <c r="E1131" t="s">
        <v>1234</v>
      </c>
      <c r="F1131" t="s">
        <v>2528</v>
      </c>
      <c r="G1131" t="s">
        <v>3779</v>
      </c>
      <c r="H1131" t="s">
        <v>5430</v>
      </c>
      <c r="I1131" t="s">
        <v>6047</v>
      </c>
      <c r="J1131">
        <v>10460</v>
      </c>
      <c r="K1131" t="s">
        <v>6074</v>
      </c>
      <c r="L1131" t="s">
        <v>6074</v>
      </c>
      <c r="M1131" t="s">
        <v>6182</v>
      </c>
      <c r="N1131" t="s">
        <v>7273</v>
      </c>
      <c r="O1131" t="s">
        <v>7308</v>
      </c>
      <c r="Q1131" t="s">
        <v>7322</v>
      </c>
      <c r="R1131" t="s">
        <v>6074</v>
      </c>
      <c r="S1131" t="s">
        <v>7324</v>
      </c>
      <c r="U1131" t="s">
        <v>457</v>
      </c>
      <c r="V1131">
        <v>260.5</v>
      </c>
      <c r="W1131" t="s">
        <v>7363</v>
      </c>
      <c r="X1131" t="s">
        <v>7376</v>
      </c>
      <c r="Z1131" t="s">
        <v>8290</v>
      </c>
      <c r="AB1131" t="s">
        <v>11061</v>
      </c>
      <c r="AC1131">
        <v>168</v>
      </c>
      <c r="AD1131" t="s">
        <v>12422</v>
      </c>
      <c r="AE1131" t="s">
        <v>12434</v>
      </c>
      <c r="AF1131">
        <v>10</v>
      </c>
      <c r="AG1131">
        <v>1</v>
      </c>
      <c r="AH1131">
        <v>0</v>
      </c>
      <c r="AI1131">
        <v>74.14</v>
      </c>
      <c r="AL1131" t="s">
        <v>12460</v>
      </c>
      <c r="AM1131">
        <v>9000</v>
      </c>
      <c r="AS1131">
        <v>0</v>
      </c>
      <c r="AU1131" t="s">
        <v>13095</v>
      </c>
    </row>
    <row r="1132" spans="1:47">
      <c r="A1132" s="1">
        <f>HYPERLINK("https://cms.ls-nyc.org/matter/dynamic-profile/view/1875090","18-1875090")</f>
        <v>0</v>
      </c>
      <c r="B1132" t="s">
        <v>96</v>
      </c>
      <c r="C1132" t="s">
        <v>262</v>
      </c>
      <c r="D1132" t="s">
        <v>262</v>
      </c>
      <c r="E1132" t="s">
        <v>937</v>
      </c>
      <c r="F1132" t="s">
        <v>2534</v>
      </c>
      <c r="G1132" t="s">
        <v>4380</v>
      </c>
      <c r="H1132" t="s">
        <v>5354</v>
      </c>
      <c r="I1132" t="s">
        <v>6047</v>
      </c>
      <c r="J1132">
        <v>10459</v>
      </c>
      <c r="K1132" t="s">
        <v>6074</v>
      </c>
      <c r="L1132" t="s">
        <v>6074</v>
      </c>
      <c r="N1132" t="s">
        <v>6104</v>
      </c>
      <c r="O1132" t="s">
        <v>7306</v>
      </c>
      <c r="P1132" t="s">
        <v>7314</v>
      </c>
      <c r="Q1132" t="s">
        <v>7322</v>
      </c>
      <c r="R1132" t="s">
        <v>6076</v>
      </c>
      <c r="S1132" t="s">
        <v>7324</v>
      </c>
      <c r="T1132" t="s">
        <v>7336</v>
      </c>
      <c r="U1132" t="s">
        <v>237</v>
      </c>
      <c r="V1132">
        <v>1300</v>
      </c>
      <c r="W1132" t="s">
        <v>7363</v>
      </c>
      <c r="X1132" t="s">
        <v>7376</v>
      </c>
      <c r="Y1132" t="s">
        <v>7386</v>
      </c>
      <c r="Z1132" t="s">
        <v>8291</v>
      </c>
      <c r="AB1132" t="s">
        <v>11062</v>
      </c>
      <c r="AC1132">
        <v>27</v>
      </c>
      <c r="AD1132" t="s">
        <v>12420</v>
      </c>
      <c r="AF1132">
        <v>19</v>
      </c>
      <c r="AG1132">
        <v>1</v>
      </c>
      <c r="AH1132">
        <v>0</v>
      </c>
      <c r="AI1132">
        <v>74.14</v>
      </c>
      <c r="AL1132" t="s">
        <v>12460</v>
      </c>
      <c r="AM1132">
        <v>9000</v>
      </c>
      <c r="AS1132">
        <v>0.1</v>
      </c>
      <c r="AT1132" t="s">
        <v>262</v>
      </c>
      <c r="AU1132" t="s">
        <v>96</v>
      </c>
    </row>
    <row r="1133" spans="1:47">
      <c r="A1133" s="1">
        <f>HYPERLINK("https://cms.ls-nyc.org/matter/dynamic-profile/view/1881498","18-1881498")</f>
        <v>0</v>
      </c>
      <c r="B1133" t="s">
        <v>101</v>
      </c>
      <c r="C1133" t="s">
        <v>369</v>
      </c>
      <c r="E1133" t="s">
        <v>1255</v>
      </c>
      <c r="F1133" t="s">
        <v>2293</v>
      </c>
      <c r="G1133" t="s">
        <v>4381</v>
      </c>
      <c r="H1133" t="s">
        <v>5655</v>
      </c>
      <c r="I1133" t="s">
        <v>6047</v>
      </c>
      <c r="J1133">
        <v>10459</v>
      </c>
      <c r="K1133" t="s">
        <v>6074</v>
      </c>
      <c r="L1133" t="s">
        <v>6074</v>
      </c>
      <c r="M1133" t="s">
        <v>6609</v>
      </c>
      <c r="N1133" t="s">
        <v>7276</v>
      </c>
      <c r="O1133" t="s">
        <v>7308</v>
      </c>
      <c r="Q1133" t="s">
        <v>7322</v>
      </c>
      <c r="R1133" t="s">
        <v>6076</v>
      </c>
      <c r="S1133" t="s">
        <v>7324</v>
      </c>
      <c r="T1133" t="s">
        <v>7341</v>
      </c>
      <c r="U1133" t="s">
        <v>292</v>
      </c>
      <c r="V1133">
        <v>850</v>
      </c>
      <c r="W1133" t="s">
        <v>7363</v>
      </c>
      <c r="X1133" t="s">
        <v>7366</v>
      </c>
      <c r="Z1133" t="s">
        <v>8292</v>
      </c>
      <c r="AB1133" t="s">
        <v>11063</v>
      </c>
      <c r="AC1133">
        <v>56</v>
      </c>
      <c r="AD1133" t="s">
        <v>12422</v>
      </c>
      <c r="AE1133" t="s">
        <v>6110</v>
      </c>
      <c r="AF1133">
        <v>14</v>
      </c>
      <c r="AG1133">
        <v>1</v>
      </c>
      <c r="AH1133">
        <v>0</v>
      </c>
      <c r="AI1133">
        <v>74.14</v>
      </c>
      <c r="AL1133" t="s">
        <v>12461</v>
      </c>
      <c r="AM1133">
        <v>9000</v>
      </c>
      <c r="AS1133">
        <v>44.95</v>
      </c>
      <c r="AT1133" t="s">
        <v>554</v>
      </c>
      <c r="AU1133" t="s">
        <v>108</v>
      </c>
    </row>
    <row r="1134" spans="1:47">
      <c r="A1134" s="1">
        <f>HYPERLINK("https://cms.ls-nyc.org/matter/dynamic-profile/view/1875754","18-1875754")</f>
        <v>0</v>
      </c>
      <c r="B1134" t="s">
        <v>111</v>
      </c>
      <c r="C1134" t="s">
        <v>353</v>
      </c>
      <c r="D1134" t="s">
        <v>357</v>
      </c>
      <c r="E1134" t="s">
        <v>1079</v>
      </c>
      <c r="F1134" t="s">
        <v>2535</v>
      </c>
      <c r="G1134" t="s">
        <v>4188</v>
      </c>
      <c r="H1134" t="s">
        <v>5372</v>
      </c>
      <c r="I1134" t="s">
        <v>6047</v>
      </c>
      <c r="J1134">
        <v>10457</v>
      </c>
      <c r="K1134" t="s">
        <v>6074</v>
      </c>
      <c r="L1134" t="s">
        <v>6074</v>
      </c>
      <c r="M1134" t="s">
        <v>6610</v>
      </c>
      <c r="N1134" t="s">
        <v>7274</v>
      </c>
      <c r="O1134" t="s">
        <v>7308</v>
      </c>
      <c r="P1134" t="s">
        <v>7316</v>
      </c>
      <c r="Q1134" t="s">
        <v>7322</v>
      </c>
      <c r="R1134" t="s">
        <v>6076</v>
      </c>
      <c r="S1134" t="s">
        <v>7324</v>
      </c>
      <c r="T1134" t="s">
        <v>7336</v>
      </c>
      <c r="U1134" t="s">
        <v>502</v>
      </c>
      <c r="V1134">
        <v>931</v>
      </c>
      <c r="W1134" t="s">
        <v>7363</v>
      </c>
      <c r="X1134" t="s">
        <v>7382</v>
      </c>
      <c r="Y1134" t="s">
        <v>7388</v>
      </c>
      <c r="Z1134" t="s">
        <v>8027</v>
      </c>
      <c r="AB1134" t="s">
        <v>10825</v>
      </c>
      <c r="AC1134">
        <v>27</v>
      </c>
      <c r="AD1134" t="s">
        <v>12420</v>
      </c>
      <c r="AE1134" t="s">
        <v>12434</v>
      </c>
      <c r="AF1134">
        <v>2</v>
      </c>
      <c r="AG1134">
        <v>1</v>
      </c>
      <c r="AH1134">
        <v>0</v>
      </c>
      <c r="AI1134">
        <v>74.14</v>
      </c>
      <c r="AL1134" t="s">
        <v>12460</v>
      </c>
      <c r="AM1134">
        <v>9000</v>
      </c>
      <c r="AP1134" t="s">
        <v>12874</v>
      </c>
      <c r="AQ1134" t="s">
        <v>12909</v>
      </c>
      <c r="AR1134" t="s">
        <v>12961</v>
      </c>
      <c r="AS1134">
        <v>4.3</v>
      </c>
      <c r="AT1134" t="s">
        <v>333</v>
      </c>
      <c r="AU1134" t="s">
        <v>111</v>
      </c>
    </row>
    <row r="1135" spans="1:47">
      <c r="A1135" s="1">
        <f>HYPERLINK("https://cms.ls-nyc.org/matter/dynamic-profile/view/1886675","18-1886675")</f>
        <v>0</v>
      </c>
      <c r="B1135" t="s">
        <v>191</v>
      </c>
      <c r="C1135" t="s">
        <v>465</v>
      </c>
      <c r="E1135" t="s">
        <v>1256</v>
      </c>
      <c r="F1135" t="s">
        <v>2285</v>
      </c>
      <c r="G1135" t="s">
        <v>4382</v>
      </c>
      <c r="H1135" t="s">
        <v>5382</v>
      </c>
      <c r="I1135" t="s">
        <v>6047</v>
      </c>
      <c r="J1135">
        <v>10457</v>
      </c>
      <c r="K1135" t="s">
        <v>6074</v>
      </c>
      <c r="L1135" t="s">
        <v>6074</v>
      </c>
      <c r="N1135" t="s">
        <v>7283</v>
      </c>
      <c r="O1135" t="s">
        <v>7307</v>
      </c>
      <c r="Q1135" t="s">
        <v>7322</v>
      </c>
      <c r="S1135" t="s">
        <v>7326</v>
      </c>
      <c r="U1135" t="s">
        <v>359</v>
      </c>
      <c r="V1135">
        <v>908.14</v>
      </c>
      <c r="W1135" t="s">
        <v>7363</v>
      </c>
      <c r="X1135" t="s">
        <v>7373</v>
      </c>
      <c r="Z1135" t="s">
        <v>8293</v>
      </c>
      <c r="AB1135" t="s">
        <v>11064</v>
      </c>
      <c r="AC1135">
        <v>0</v>
      </c>
      <c r="AD1135" t="s">
        <v>12422</v>
      </c>
      <c r="AE1135" t="s">
        <v>6110</v>
      </c>
      <c r="AF1135">
        <v>17</v>
      </c>
      <c r="AG1135">
        <v>1</v>
      </c>
      <c r="AH1135">
        <v>0</v>
      </c>
      <c r="AI1135">
        <v>74.14</v>
      </c>
      <c r="AL1135" t="s">
        <v>12461</v>
      </c>
      <c r="AM1135">
        <v>9000</v>
      </c>
      <c r="AS1135">
        <v>0.5</v>
      </c>
      <c r="AT1135" t="s">
        <v>465</v>
      </c>
      <c r="AU1135" t="s">
        <v>13116</v>
      </c>
    </row>
    <row r="1136" spans="1:47">
      <c r="A1136" s="1">
        <f>HYPERLINK("https://cms.ls-nyc.org/matter/dynamic-profile/view/1888496","19-1888496")</f>
        <v>0</v>
      </c>
      <c r="B1136" t="s">
        <v>101</v>
      </c>
      <c r="C1136" t="s">
        <v>410</v>
      </c>
      <c r="E1136" t="s">
        <v>786</v>
      </c>
      <c r="F1136" t="s">
        <v>2133</v>
      </c>
      <c r="G1136" t="s">
        <v>4383</v>
      </c>
      <c r="H1136" t="s">
        <v>5476</v>
      </c>
      <c r="I1136" t="s">
        <v>6047</v>
      </c>
      <c r="J1136">
        <v>10456</v>
      </c>
      <c r="K1136" t="s">
        <v>6074</v>
      </c>
      <c r="L1136" t="s">
        <v>6074</v>
      </c>
      <c r="N1136" t="s">
        <v>7276</v>
      </c>
      <c r="O1136" t="s">
        <v>7306</v>
      </c>
      <c r="Q1136" t="s">
        <v>7322</v>
      </c>
      <c r="R1136" t="s">
        <v>6076</v>
      </c>
      <c r="S1136" t="s">
        <v>7324</v>
      </c>
      <c r="T1136" t="s">
        <v>7336</v>
      </c>
      <c r="U1136" t="s">
        <v>364</v>
      </c>
      <c r="V1136">
        <v>239</v>
      </c>
      <c r="W1136" t="s">
        <v>7363</v>
      </c>
      <c r="X1136" t="s">
        <v>7376</v>
      </c>
      <c r="Z1136" t="s">
        <v>8294</v>
      </c>
      <c r="AB1136" t="s">
        <v>11065</v>
      </c>
      <c r="AC1136">
        <v>46</v>
      </c>
      <c r="AD1136" t="s">
        <v>12422</v>
      </c>
      <c r="AE1136" t="s">
        <v>12434</v>
      </c>
      <c r="AF1136">
        <v>15</v>
      </c>
      <c r="AG1136">
        <v>1</v>
      </c>
      <c r="AH1136">
        <v>0</v>
      </c>
      <c r="AI1136">
        <v>74.14</v>
      </c>
      <c r="AL1136" t="s">
        <v>12460</v>
      </c>
      <c r="AM1136">
        <v>9000</v>
      </c>
      <c r="AS1136">
        <v>1</v>
      </c>
      <c r="AT1136" t="s">
        <v>364</v>
      </c>
      <c r="AU1136" t="s">
        <v>13095</v>
      </c>
    </row>
    <row r="1137" spans="1:48">
      <c r="A1137" s="1">
        <f>HYPERLINK("https://cms.ls-nyc.org/matter/dynamic-profile/view/1875902","18-1875902")</f>
        <v>0</v>
      </c>
      <c r="B1137" t="s">
        <v>97</v>
      </c>
      <c r="C1137" t="s">
        <v>281</v>
      </c>
      <c r="D1137" t="s">
        <v>443</v>
      </c>
      <c r="E1137" t="s">
        <v>1257</v>
      </c>
      <c r="F1137" t="s">
        <v>2704</v>
      </c>
      <c r="G1137" t="s">
        <v>4384</v>
      </c>
      <c r="H1137" t="s">
        <v>5495</v>
      </c>
      <c r="I1137" t="s">
        <v>6047</v>
      </c>
      <c r="J1137">
        <v>10453</v>
      </c>
      <c r="K1137" t="s">
        <v>6074</v>
      </c>
      <c r="L1137" t="s">
        <v>6074</v>
      </c>
      <c r="N1137" t="s">
        <v>6104</v>
      </c>
      <c r="O1137" t="s">
        <v>7306</v>
      </c>
      <c r="P1137" t="s">
        <v>7314</v>
      </c>
      <c r="Q1137" t="s">
        <v>7322</v>
      </c>
      <c r="R1137" t="s">
        <v>6076</v>
      </c>
      <c r="S1137" t="s">
        <v>7324</v>
      </c>
      <c r="U1137" t="s">
        <v>281</v>
      </c>
      <c r="V1137">
        <v>1380.6</v>
      </c>
      <c r="W1137" t="s">
        <v>7363</v>
      </c>
      <c r="X1137" t="s">
        <v>7367</v>
      </c>
      <c r="Y1137" t="s">
        <v>7386</v>
      </c>
      <c r="Z1137" t="s">
        <v>8295</v>
      </c>
      <c r="AB1137" t="s">
        <v>11066</v>
      </c>
      <c r="AC1137">
        <v>278</v>
      </c>
      <c r="AD1137" t="s">
        <v>12422</v>
      </c>
      <c r="AE1137" t="s">
        <v>12434</v>
      </c>
      <c r="AF1137">
        <v>26</v>
      </c>
      <c r="AG1137">
        <v>1</v>
      </c>
      <c r="AH1137">
        <v>0</v>
      </c>
      <c r="AI1137">
        <v>74.14</v>
      </c>
      <c r="AL1137" t="s">
        <v>12461</v>
      </c>
      <c r="AM1137">
        <v>9000</v>
      </c>
      <c r="AS1137">
        <v>1.5</v>
      </c>
      <c r="AT1137" t="s">
        <v>443</v>
      </c>
      <c r="AU1137" t="s">
        <v>97</v>
      </c>
    </row>
    <row r="1138" spans="1:48">
      <c r="A1138" s="1">
        <f>HYPERLINK("https://cms.ls-nyc.org/matter/dynamic-profile/view/1872180","18-1872180")</f>
        <v>0</v>
      </c>
      <c r="B1138" t="s">
        <v>115</v>
      </c>
      <c r="C1138" t="s">
        <v>304</v>
      </c>
      <c r="E1138" t="s">
        <v>1240</v>
      </c>
      <c r="F1138" t="s">
        <v>2705</v>
      </c>
      <c r="G1138" t="s">
        <v>3944</v>
      </c>
      <c r="H1138" t="s">
        <v>5656</v>
      </c>
      <c r="I1138" t="s">
        <v>6047</v>
      </c>
      <c r="J1138">
        <v>10452</v>
      </c>
      <c r="K1138" t="s">
        <v>6074</v>
      </c>
      <c r="L1138" t="s">
        <v>6074</v>
      </c>
      <c r="M1138" t="s">
        <v>6292</v>
      </c>
      <c r="N1138" t="s">
        <v>7285</v>
      </c>
      <c r="O1138" t="s">
        <v>7311</v>
      </c>
      <c r="Q1138" t="s">
        <v>7322</v>
      </c>
      <c r="R1138" t="s">
        <v>6074</v>
      </c>
      <c r="S1138" t="s">
        <v>7324</v>
      </c>
      <c r="U1138" t="s">
        <v>502</v>
      </c>
      <c r="V1138">
        <v>789</v>
      </c>
      <c r="W1138" t="s">
        <v>7363</v>
      </c>
      <c r="X1138" t="s">
        <v>7376</v>
      </c>
      <c r="Z1138" t="s">
        <v>8296</v>
      </c>
      <c r="AA1138" t="s">
        <v>10116</v>
      </c>
      <c r="AB1138" t="s">
        <v>11067</v>
      </c>
      <c r="AC1138">
        <v>70</v>
      </c>
      <c r="AD1138" t="s">
        <v>12422</v>
      </c>
      <c r="AF1138">
        <v>40</v>
      </c>
      <c r="AG1138">
        <v>1</v>
      </c>
      <c r="AH1138">
        <v>0</v>
      </c>
      <c r="AI1138">
        <v>74.14</v>
      </c>
      <c r="AL1138" t="s">
        <v>12460</v>
      </c>
      <c r="AM1138">
        <v>9000</v>
      </c>
      <c r="AN1138" t="s">
        <v>12594</v>
      </c>
      <c r="AS1138">
        <v>0</v>
      </c>
      <c r="AU1138" t="s">
        <v>13092</v>
      </c>
    </row>
    <row r="1139" spans="1:48">
      <c r="A1139" s="1">
        <f>HYPERLINK("https://cms.ls-nyc.org/matter/dynamic-profile/view/1882293","18-1882293")</f>
        <v>0</v>
      </c>
      <c r="B1139" t="s">
        <v>103</v>
      </c>
      <c r="C1139" t="s">
        <v>239</v>
      </c>
      <c r="E1139" t="s">
        <v>871</v>
      </c>
      <c r="F1139" t="s">
        <v>2059</v>
      </c>
      <c r="G1139" t="s">
        <v>3810</v>
      </c>
      <c r="H1139" t="s">
        <v>5657</v>
      </c>
      <c r="I1139" t="s">
        <v>6047</v>
      </c>
      <c r="J1139">
        <v>10451</v>
      </c>
      <c r="K1139" t="s">
        <v>6074</v>
      </c>
      <c r="L1139" t="s">
        <v>6074</v>
      </c>
      <c r="M1139" t="s">
        <v>6201</v>
      </c>
      <c r="N1139" t="s">
        <v>7273</v>
      </c>
      <c r="O1139" t="s">
        <v>7308</v>
      </c>
      <c r="Q1139" t="s">
        <v>7322</v>
      </c>
      <c r="R1139" t="s">
        <v>6074</v>
      </c>
      <c r="S1139" t="s">
        <v>7324</v>
      </c>
      <c r="U1139" t="s">
        <v>472</v>
      </c>
      <c r="V1139">
        <v>1490</v>
      </c>
      <c r="W1139" t="s">
        <v>7363</v>
      </c>
      <c r="X1139" t="s">
        <v>7376</v>
      </c>
      <c r="Z1139" t="s">
        <v>8297</v>
      </c>
      <c r="AB1139" t="s">
        <v>11068</v>
      </c>
      <c r="AC1139">
        <v>100</v>
      </c>
      <c r="AD1139" t="s">
        <v>12422</v>
      </c>
      <c r="AE1139" t="s">
        <v>12434</v>
      </c>
      <c r="AF1139">
        <v>32</v>
      </c>
      <c r="AG1139">
        <v>1</v>
      </c>
      <c r="AH1139">
        <v>0</v>
      </c>
      <c r="AI1139">
        <v>74.14</v>
      </c>
      <c r="AL1139" t="s">
        <v>12461</v>
      </c>
      <c r="AM1139">
        <v>9000</v>
      </c>
      <c r="AS1139">
        <v>0</v>
      </c>
      <c r="AU1139" t="s">
        <v>13095</v>
      </c>
    </row>
    <row r="1140" spans="1:48">
      <c r="A1140" s="1">
        <f>HYPERLINK("https://cms.ls-nyc.org/matter/dynamic-profile/view/1874465","18-1874465")</f>
        <v>0</v>
      </c>
      <c r="B1140" t="s">
        <v>139</v>
      </c>
      <c r="C1140" t="s">
        <v>236</v>
      </c>
      <c r="D1140" t="s">
        <v>290</v>
      </c>
      <c r="E1140" t="s">
        <v>586</v>
      </c>
      <c r="F1140" t="s">
        <v>2519</v>
      </c>
      <c r="G1140" t="s">
        <v>4385</v>
      </c>
      <c r="H1140" t="s">
        <v>5658</v>
      </c>
      <c r="I1140" t="s">
        <v>6049</v>
      </c>
      <c r="J1140">
        <v>10040</v>
      </c>
      <c r="K1140" t="s">
        <v>6074</v>
      </c>
      <c r="L1140" t="s">
        <v>6074</v>
      </c>
      <c r="M1140" t="s">
        <v>6611</v>
      </c>
      <c r="N1140" t="s">
        <v>7276</v>
      </c>
      <c r="O1140" t="s">
        <v>7307</v>
      </c>
      <c r="P1140" t="s">
        <v>7314</v>
      </c>
      <c r="Q1140" t="s">
        <v>7322</v>
      </c>
      <c r="R1140" t="s">
        <v>6076</v>
      </c>
      <c r="S1140" t="s">
        <v>7324</v>
      </c>
      <c r="U1140" t="s">
        <v>236</v>
      </c>
      <c r="V1140">
        <v>1270.06</v>
      </c>
      <c r="W1140" t="s">
        <v>7365</v>
      </c>
      <c r="X1140" t="s">
        <v>7367</v>
      </c>
      <c r="Y1140" t="s">
        <v>7386</v>
      </c>
      <c r="Z1140" t="s">
        <v>8298</v>
      </c>
      <c r="AB1140" t="s">
        <v>11069</v>
      </c>
      <c r="AC1140">
        <v>48</v>
      </c>
      <c r="AD1140" t="s">
        <v>12422</v>
      </c>
      <c r="AE1140" t="s">
        <v>12434</v>
      </c>
      <c r="AF1140">
        <v>30</v>
      </c>
      <c r="AG1140">
        <v>1</v>
      </c>
      <c r="AH1140">
        <v>0</v>
      </c>
      <c r="AI1140">
        <v>74.14</v>
      </c>
      <c r="AL1140" t="s">
        <v>12460</v>
      </c>
      <c r="AM1140">
        <v>9000</v>
      </c>
      <c r="AS1140">
        <v>4.4</v>
      </c>
      <c r="AT1140" t="s">
        <v>432</v>
      </c>
      <c r="AU1140" t="s">
        <v>13106</v>
      </c>
    </row>
    <row r="1141" spans="1:48">
      <c r="A1141" s="1">
        <f>HYPERLINK("https://cms.ls-nyc.org/matter/dynamic-profile/view/1887893","19-1887893")</f>
        <v>0</v>
      </c>
      <c r="B1141" t="s">
        <v>125</v>
      </c>
      <c r="C1141" t="s">
        <v>390</v>
      </c>
      <c r="D1141" t="s">
        <v>339</v>
      </c>
      <c r="E1141" t="s">
        <v>1258</v>
      </c>
      <c r="F1141" t="s">
        <v>2297</v>
      </c>
      <c r="G1141" t="s">
        <v>4386</v>
      </c>
      <c r="H1141" t="s">
        <v>5354</v>
      </c>
      <c r="I1141" t="s">
        <v>6049</v>
      </c>
      <c r="J1141">
        <v>10034</v>
      </c>
      <c r="K1141" t="s">
        <v>6074</v>
      </c>
      <c r="L1141" t="s">
        <v>6074</v>
      </c>
      <c r="N1141" t="s">
        <v>6104</v>
      </c>
      <c r="O1141" t="s">
        <v>7306</v>
      </c>
      <c r="P1141" t="s">
        <v>7314</v>
      </c>
      <c r="Q1141" t="s">
        <v>7322</v>
      </c>
      <c r="R1141" t="s">
        <v>6076</v>
      </c>
      <c r="S1141" t="s">
        <v>7324</v>
      </c>
      <c r="U1141" t="s">
        <v>390</v>
      </c>
      <c r="V1141">
        <v>1161.29</v>
      </c>
      <c r="W1141" t="s">
        <v>7365</v>
      </c>
      <c r="X1141" t="s">
        <v>7367</v>
      </c>
      <c r="Y1141" t="s">
        <v>7386</v>
      </c>
      <c r="AC1141">
        <v>0</v>
      </c>
      <c r="AD1141" t="s">
        <v>12422</v>
      </c>
      <c r="AE1141" t="s">
        <v>6110</v>
      </c>
      <c r="AF1141">
        <v>23</v>
      </c>
      <c r="AG1141">
        <v>1</v>
      </c>
      <c r="AH1141">
        <v>0</v>
      </c>
      <c r="AI1141">
        <v>74.14</v>
      </c>
      <c r="AL1141" t="s">
        <v>12461</v>
      </c>
      <c r="AM1141">
        <v>9000</v>
      </c>
      <c r="AS1141">
        <v>0.1</v>
      </c>
      <c r="AT1141" t="s">
        <v>390</v>
      </c>
      <c r="AU1141" t="s">
        <v>13106</v>
      </c>
    </row>
    <row r="1142" spans="1:48">
      <c r="A1142" s="1">
        <f>HYPERLINK("https://cms.ls-nyc.org/matter/dynamic-profile/view/1874696","18-1874696")</f>
        <v>0</v>
      </c>
      <c r="B1142" t="s">
        <v>161</v>
      </c>
      <c r="C1142" t="s">
        <v>378</v>
      </c>
      <c r="D1142" t="s">
        <v>429</v>
      </c>
      <c r="E1142" t="s">
        <v>933</v>
      </c>
      <c r="F1142" t="s">
        <v>2279</v>
      </c>
      <c r="G1142" t="s">
        <v>4387</v>
      </c>
      <c r="H1142" t="s">
        <v>5417</v>
      </c>
      <c r="I1142" t="s">
        <v>6049</v>
      </c>
      <c r="J1142">
        <v>10029</v>
      </c>
      <c r="K1142" t="s">
        <v>6074</v>
      </c>
      <c r="L1142" t="s">
        <v>6074</v>
      </c>
      <c r="M1142" t="s">
        <v>6612</v>
      </c>
      <c r="N1142" t="s">
        <v>7276</v>
      </c>
      <c r="O1142" t="s">
        <v>7308</v>
      </c>
      <c r="P1142" t="s">
        <v>7316</v>
      </c>
      <c r="Q1142" t="s">
        <v>7322</v>
      </c>
      <c r="R1142" t="s">
        <v>6076</v>
      </c>
      <c r="S1142" t="s">
        <v>7324</v>
      </c>
      <c r="T1142" t="s">
        <v>7336</v>
      </c>
      <c r="U1142" t="s">
        <v>378</v>
      </c>
      <c r="V1142">
        <v>968</v>
      </c>
      <c r="W1142" t="s">
        <v>7365</v>
      </c>
      <c r="X1142" t="s">
        <v>7385</v>
      </c>
      <c r="Y1142" t="s">
        <v>7388</v>
      </c>
      <c r="Z1142" t="s">
        <v>8299</v>
      </c>
      <c r="AB1142" t="s">
        <v>11070</v>
      </c>
      <c r="AC1142">
        <v>20</v>
      </c>
      <c r="AD1142" t="s">
        <v>12422</v>
      </c>
      <c r="AE1142" t="s">
        <v>6110</v>
      </c>
      <c r="AF1142">
        <v>18</v>
      </c>
      <c r="AG1142">
        <v>1</v>
      </c>
      <c r="AH1142">
        <v>0</v>
      </c>
      <c r="AI1142">
        <v>74.14</v>
      </c>
      <c r="AL1142" t="s">
        <v>12460</v>
      </c>
      <c r="AM1142">
        <v>9000</v>
      </c>
      <c r="AS1142">
        <v>4.5</v>
      </c>
      <c r="AT1142" t="s">
        <v>399</v>
      </c>
      <c r="AU1142" t="s">
        <v>13107</v>
      </c>
    </row>
    <row r="1143" spans="1:48">
      <c r="A1143" s="1">
        <f>HYPERLINK("https://cms.ls-nyc.org/matter/dynamic-profile/view/1871289","18-1871289")</f>
        <v>0</v>
      </c>
      <c r="B1143" t="s">
        <v>117</v>
      </c>
      <c r="C1143" t="s">
        <v>342</v>
      </c>
      <c r="D1143" t="s">
        <v>247</v>
      </c>
      <c r="E1143" t="s">
        <v>1259</v>
      </c>
      <c r="F1143" t="s">
        <v>2706</v>
      </c>
      <c r="G1143" t="s">
        <v>4388</v>
      </c>
      <c r="H1143">
        <v>1</v>
      </c>
      <c r="I1143" t="s">
        <v>6048</v>
      </c>
      <c r="J1143">
        <v>10304</v>
      </c>
      <c r="K1143" t="s">
        <v>6074</v>
      </c>
      <c r="L1143" t="s">
        <v>6074</v>
      </c>
      <c r="M1143" t="s">
        <v>6613</v>
      </c>
      <c r="N1143" t="s">
        <v>7274</v>
      </c>
      <c r="O1143" t="s">
        <v>7308</v>
      </c>
      <c r="P1143" t="s">
        <v>7316</v>
      </c>
      <c r="Q1143" t="s">
        <v>7322</v>
      </c>
      <c r="R1143" t="s">
        <v>6076</v>
      </c>
      <c r="S1143" t="s">
        <v>7324</v>
      </c>
      <c r="T1143" t="s">
        <v>7336</v>
      </c>
      <c r="U1143" t="s">
        <v>342</v>
      </c>
      <c r="V1143">
        <v>1213</v>
      </c>
      <c r="W1143" t="s">
        <v>7364</v>
      </c>
      <c r="X1143" t="s">
        <v>7305</v>
      </c>
      <c r="Y1143" t="s">
        <v>7391</v>
      </c>
      <c r="Z1143" t="s">
        <v>8300</v>
      </c>
      <c r="AB1143" t="s">
        <v>11071</v>
      </c>
      <c r="AC1143">
        <v>2</v>
      </c>
      <c r="AD1143" t="s">
        <v>12419</v>
      </c>
      <c r="AE1143" t="s">
        <v>12437</v>
      </c>
      <c r="AF1143">
        <v>1</v>
      </c>
      <c r="AG1143">
        <v>1</v>
      </c>
      <c r="AH1143">
        <v>0</v>
      </c>
      <c r="AI1143">
        <v>74.23</v>
      </c>
      <c r="AL1143" t="s">
        <v>12460</v>
      </c>
      <c r="AM1143">
        <v>9012</v>
      </c>
      <c r="AO1143" t="s">
        <v>12850</v>
      </c>
      <c r="AP1143" t="s">
        <v>12867</v>
      </c>
      <c r="AQ1143" t="s">
        <v>12910</v>
      </c>
      <c r="AR1143" t="s">
        <v>12926</v>
      </c>
      <c r="AS1143">
        <v>22.5</v>
      </c>
      <c r="AT1143" t="s">
        <v>247</v>
      </c>
      <c r="AU1143" t="s">
        <v>210</v>
      </c>
    </row>
    <row r="1144" spans="1:48">
      <c r="A1144" s="1">
        <f>HYPERLINK("https://cms.ls-nyc.org/matter/dynamic-profile/view/1893305","19-1893305")</f>
        <v>0</v>
      </c>
      <c r="B1144" t="s">
        <v>97</v>
      </c>
      <c r="C1144" t="s">
        <v>313</v>
      </c>
      <c r="E1144" t="s">
        <v>655</v>
      </c>
      <c r="F1144" t="s">
        <v>1121</v>
      </c>
      <c r="G1144" t="s">
        <v>4389</v>
      </c>
      <c r="H1144" t="s">
        <v>5659</v>
      </c>
      <c r="I1144" t="s">
        <v>6047</v>
      </c>
      <c r="J1144">
        <v>10457</v>
      </c>
      <c r="K1144" t="s">
        <v>6074</v>
      </c>
      <c r="L1144" t="s">
        <v>6074</v>
      </c>
      <c r="N1144" t="s">
        <v>6104</v>
      </c>
      <c r="O1144" t="s">
        <v>7306</v>
      </c>
      <c r="Q1144" t="s">
        <v>7322</v>
      </c>
      <c r="R1144" t="s">
        <v>6076</v>
      </c>
      <c r="S1144" t="s">
        <v>7324</v>
      </c>
      <c r="U1144" t="s">
        <v>338</v>
      </c>
      <c r="V1144">
        <v>237</v>
      </c>
      <c r="W1144" t="s">
        <v>7363</v>
      </c>
      <c r="X1144" t="s">
        <v>7376</v>
      </c>
      <c r="Z1144" t="s">
        <v>8196</v>
      </c>
      <c r="AB1144" t="s">
        <v>11072</v>
      </c>
      <c r="AC1144">
        <v>25</v>
      </c>
      <c r="AD1144" t="s">
        <v>12422</v>
      </c>
      <c r="AE1144" t="s">
        <v>12433</v>
      </c>
      <c r="AF1144">
        <v>2</v>
      </c>
      <c r="AG1144">
        <v>1</v>
      </c>
      <c r="AH1144">
        <v>0</v>
      </c>
      <c r="AI1144">
        <v>74.27</v>
      </c>
      <c r="AL1144" t="s">
        <v>12461</v>
      </c>
      <c r="AM1144">
        <v>9276</v>
      </c>
      <c r="AS1144">
        <v>1.7</v>
      </c>
      <c r="AT1144" t="s">
        <v>235</v>
      </c>
      <c r="AU1144" t="s">
        <v>13091</v>
      </c>
    </row>
    <row r="1145" spans="1:48">
      <c r="A1145" s="1">
        <f>HYPERLINK("https://cms.ls-nyc.org/matter/dynamic-profile/view/1896502","19-1896502")</f>
        <v>0</v>
      </c>
      <c r="B1145" t="s">
        <v>78</v>
      </c>
      <c r="C1145" t="s">
        <v>417</v>
      </c>
      <c r="E1145" t="s">
        <v>1260</v>
      </c>
      <c r="F1145" t="s">
        <v>2707</v>
      </c>
      <c r="G1145" t="s">
        <v>4390</v>
      </c>
      <c r="H1145">
        <v>7</v>
      </c>
      <c r="I1145" t="s">
        <v>6062</v>
      </c>
      <c r="J1145">
        <v>11233</v>
      </c>
      <c r="K1145" t="s">
        <v>6074</v>
      </c>
      <c r="L1145" t="s">
        <v>6074</v>
      </c>
      <c r="N1145" t="s">
        <v>7273</v>
      </c>
      <c r="O1145" t="s">
        <v>7307</v>
      </c>
      <c r="Q1145" t="s">
        <v>7322</v>
      </c>
      <c r="S1145" t="s">
        <v>7324</v>
      </c>
      <c r="U1145" t="s">
        <v>280</v>
      </c>
      <c r="V1145">
        <v>859</v>
      </c>
      <c r="W1145" t="s">
        <v>7362</v>
      </c>
      <c r="Z1145" t="s">
        <v>8301</v>
      </c>
      <c r="AB1145" t="s">
        <v>11073</v>
      </c>
      <c r="AC1145">
        <v>12</v>
      </c>
      <c r="AD1145" t="s">
        <v>12422</v>
      </c>
      <c r="AE1145" t="s">
        <v>12434</v>
      </c>
      <c r="AF1145">
        <v>0</v>
      </c>
      <c r="AG1145">
        <v>1</v>
      </c>
      <c r="AH1145">
        <v>0</v>
      </c>
      <c r="AI1145">
        <v>74.36</v>
      </c>
      <c r="AL1145" t="s">
        <v>12460</v>
      </c>
      <c r="AM1145">
        <v>9288</v>
      </c>
      <c r="AS1145">
        <v>21.3</v>
      </c>
      <c r="AT1145" t="s">
        <v>324</v>
      </c>
      <c r="AU1145" t="s">
        <v>78</v>
      </c>
    </row>
    <row r="1146" spans="1:48">
      <c r="A1146" s="1">
        <f>HYPERLINK("https://cms.ls-nyc.org/matter/dynamic-profile/view/1875480","18-1875480")</f>
        <v>0</v>
      </c>
      <c r="B1146" t="s">
        <v>137</v>
      </c>
      <c r="C1146" t="s">
        <v>480</v>
      </c>
      <c r="D1146" t="s">
        <v>300</v>
      </c>
      <c r="E1146" t="s">
        <v>1261</v>
      </c>
      <c r="F1146" t="s">
        <v>2708</v>
      </c>
      <c r="G1146" t="s">
        <v>4391</v>
      </c>
      <c r="H1146" t="s">
        <v>5438</v>
      </c>
      <c r="I1146" t="s">
        <v>6049</v>
      </c>
      <c r="J1146">
        <v>10029</v>
      </c>
      <c r="K1146" t="s">
        <v>6074</v>
      </c>
      <c r="L1146" t="s">
        <v>6074</v>
      </c>
      <c r="N1146" t="s">
        <v>7278</v>
      </c>
      <c r="O1146" t="s">
        <v>7306</v>
      </c>
      <c r="P1146" t="s">
        <v>7314</v>
      </c>
      <c r="Q1146" t="s">
        <v>7322</v>
      </c>
      <c r="R1146" t="s">
        <v>6076</v>
      </c>
      <c r="S1146" t="s">
        <v>7324</v>
      </c>
      <c r="T1146" t="s">
        <v>7336</v>
      </c>
      <c r="U1146" t="s">
        <v>373</v>
      </c>
      <c r="V1146">
        <v>400</v>
      </c>
      <c r="W1146" t="s">
        <v>7365</v>
      </c>
      <c r="X1146" t="s">
        <v>7305</v>
      </c>
      <c r="Y1146" t="s">
        <v>7386</v>
      </c>
      <c r="Z1146" t="s">
        <v>8302</v>
      </c>
      <c r="AB1146" t="s">
        <v>11074</v>
      </c>
      <c r="AC1146">
        <v>300</v>
      </c>
      <c r="AD1146" t="s">
        <v>12423</v>
      </c>
      <c r="AE1146" t="s">
        <v>7305</v>
      </c>
      <c r="AF1146">
        <v>14</v>
      </c>
      <c r="AG1146">
        <v>1</v>
      </c>
      <c r="AH1146">
        <v>2</v>
      </c>
      <c r="AI1146">
        <v>74.51000000000001</v>
      </c>
      <c r="AL1146" t="s">
        <v>12461</v>
      </c>
      <c r="AM1146">
        <v>15484</v>
      </c>
      <c r="AS1146">
        <v>1.66</v>
      </c>
      <c r="AT1146" t="s">
        <v>373</v>
      </c>
      <c r="AU1146" t="s">
        <v>13089</v>
      </c>
    </row>
    <row r="1147" spans="1:48">
      <c r="A1147" s="1">
        <f>HYPERLINK("https://cms.ls-nyc.org/matter/dynamic-profile/view/1880904","18-1880904")</f>
        <v>0</v>
      </c>
      <c r="B1147" t="s">
        <v>187</v>
      </c>
      <c r="C1147" t="s">
        <v>333</v>
      </c>
      <c r="D1147" t="s">
        <v>365</v>
      </c>
      <c r="E1147" t="s">
        <v>1262</v>
      </c>
      <c r="F1147" t="s">
        <v>2709</v>
      </c>
      <c r="G1147" t="s">
        <v>4392</v>
      </c>
      <c r="H1147" t="s">
        <v>5660</v>
      </c>
      <c r="I1147" t="s">
        <v>6047</v>
      </c>
      <c r="J1147">
        <v>10467</v>
      </c>
      <c r="K1147" t="s">
        <v>6074</v>
      </c>
      <c r="L1147" t="s">
        <v>6074</v>
      </c>
      <c r="M1147" t="s">
        <v>6101</v>
      </c>
      <c r="N1147" t="s">
        <v>7283</v>
      </c>
      <c r="O1147" t="s">
        <v>7309</v>
      </c>
      <c r="P1147" t="s">
        <v>7321</v>
      </c>
      <c r="Q1147" t="s">
        <v>7322</v>
      </c>
      <c r="R1147" t="s">
        <v>6076</v>
      </c>
      <c r="S1147" t="s">
        <v>7326</v>
      </c>
      <c r="U1147" t="s">
        <v>442</v>
      </c>
      <c r="V1147">
        <v>997.65</v>
      </c>
      <c r="W1147" t="s">
        <v>7363</v>
      </c>
      <c r="X1147" t="s">
        <v>7370</v>
      </c>
      <c r="Y1147" t="s">
        <v>7388</v>
      </c>
      <c r="Z1147" t="s">
        <v>8292</v>
      </c>
      <c r="AB1147" t="s">
        <v>11075</v>
      </c>
      <c r="AC1147">
        <v>51</v>
      </c>
      <c r="AD1147" t="s">
        <v>12422</v>
      </c>
      <c r="AE1147" t="s">
        <v>12441</v>
      </c>
      <c r="AF1147">
        <v>30</v>
      </c>
      <c r="AG1147">
        <v>1</v>
      </c>
      <c r="AH1147">
        <v>0</v>
      </c>
      <c r="AI1147">
        <v>74.54000000000001</v>
      </c>
      <c r="AL1147" t="s">
        <v>12476</v>
      </c>
      <c r="AM1147">
        <v>9049.200000000001</v>
      </c>
      <c r="AN1147" t="s">
        <v>12595</v>
      </c>
      <c r="AS1147">
        <v>4</v>
      </c>
      <c r="AT1147" t="s">
        <v>365</v>
      </c>
      <c r="AU1147" t="s">
        <v>187</v>
      </c>
    </row>
    <row r="1148" spans="1:48">
      <c r="A1148" s="1">
        <f>HYPERLINK("https://cms.ls-nyc.org/matter/dynamic-profile/view/1882292","18-1882292")</f>
        <v>0</v>
      </c>
      <c r="B1148" t="s">
        <v>103</v>
      </c>
      <c r="C1148" t="s">
        <v>239</v>
      </c>
      <c r="E1148" t="s">
        <v>1121</v>
      </c>
      <c r="F1148" t="s">
        <v>2710</v>
      </c>
      <c r="G1148" t="s">
        <v>3810</v>
      </c>
      <c r="H1148" t="s">
        <v>5661</v>
      </c>
      <c r="I1148" t="s">
        <v>6047</v>
      </c>
      <c r="J1148">
        <v>10451</v>
      </c>
      <c r="K1148" t="s">
        <v>6074</v>
      </c>
      <c r="L1148" t="s">
        <v>6074</v>
      </c>
      <c r="M1148" t="s">
        <v>6201</v>
      </c>
      <c r="N1148" t="s">
        <v>7273</v>
      </c>
      <c r="O1148" t="s">
        <v>7308</v>
      </c>
      <c r="Q1148" t="s">
        <v>7322</v>
      </c>
      <c r="R1148" t="s">
        <v>6074</v>
      </c>
      <c r="S1148" t="s">
        <v>7324</v>
      </c>
      <c r="U1148" t="s">
        <v>472</v>
      </c>
      <c r="V1148">
        <v>1020</v>
      </c>
      <c r="W1148" t="s">
        <v>7363</v>
      </c>
      <c r="X1148" t="s">
        <v>7376</v>
      </c>
      <c r="Z1148" t="s">
        <v>8303</v>
      </c>
      <c r="AB1148" t="s">
        <v>11076</v>
      </c>
      <c r="AC1148">
        <v>100</v>
      </c>
      <c r="AD1148" t="s">
        <v>12422</v>
      </c>
      <c r="AE1148" t="s">
        <v>12441</v>
      </c>
      <c r="AF1148">
        <v>0</v>
      </c>
      <c r="AG1148">
        <v>1</v>
      </c>
      <c r="AH1148">
        <v>0</v>
      </c>
      <c r="AI1148">
        <v>74.63</v>
      </c>
      <c r="AL1148" t="s">
        <v>12461</v>
      </c>
      <c r="AM1148">
        <v>9060</v>
      </c>
      <c r="AS1148">
        <v>0</v>
      </c>
      <c r="AU1148" t="s">
        <v>13095</v>
      </c>
    </row>
    <row r="1149" spans="1:48">
      <c r="A1149" s="1">
        <f>HYPERLINK("https://cms.ls-nyc.org/matter/dynamic-profile/view/1897052","19-1897052")</f>
        <v>0</v>
      </c>
      <c r="B1149" t="s">
        <v>125</v>
      </c>
      <c r="C1149" t="s">
        <v>268</v>
      </c>
      <c r="D1149" t="s">
        <v>316</v>
      </c>
      <c r="E1149" t="s">
        <v>586</v>
      </c>
      <c r="F1149" t="s">
        <v>2519</v>
      </c>
      <c r="G1149" t="s">
        <v>4385</v>
      </c>
      <c r="H1149" t="s">
        <v>5658</v>
      </c>
      <c r="I1149" t="s">
        <v>6049</v>
      </c>
      <c r="J1149">
        <v>10040</v>
      </c>
      <c r="K1149" t="s">
        <v>6074</v>
      </c>
      <c r="L1149" t="s">
        <v>6074</v>
      </c>
      <c r="M1149" t="s">
        <v>6614</v>
      </c>
      <c r="N1149" t="s">
        <v>7276</v>
      </c>
      <c r="O1149" t="s">
        <v>7306</v>
      </c>
      <c r="P1149" t="s">
        <v>7314</v>
      </c>
      <c r="Q1149" t="s">
        <v>7322</v>
      </c>
      <c r="R1149" t="s">
        <v>6076</v>
      </c>
      <c r="S1149" t="s">
        <v>7324</v>
      </c>
      <c r="U1149" t="s">
        <v>268</v>
      </c>
      <c r="V1149">
        <v>1287</v>
      </c>
      <c r="W1149" t="s">
        <v>7365</v>
      </c>
      <c r="X1149" t="s">
        <v>7368</v>
      </c>
      <c r="Y1149" t="s">
        <v>7386</v>
      </c>
      <c r="Z1149" t="s">
        <v>8298</v>
      </c>
      <c r="AC1149">
        <v>47</v>
      </c>
      <c r="AD1149" t="s">
        <v>12422</v>
      </c>
      <c r="AE1149" t="s">
        <v>6110</v>
      </c>
      <c r="AF1149">
        <v>31</v>
      </c>
      <c r="AG1149">
        <v>1</v>
      </c>
      <c r="AH1149">
        <v>0</v>
      </c>
      <c r="AI1149">
        <v>74.65000000000001</v>
      </c>
      <c r="AL1149" t="s">
        <v>12461</v>
      </c>
      <c r="AM1149">
        <v>9324</v>
      </c>
      <c r="AS1149">
        <v>1.4</v>
      </c>
      <c r="AT1149" t="s">
        <v>363</v>
      </c>
      <c r="AU1149" t="s">
        <v>13106</v>
      </c>
      <c r="AV1149" t="s">
        <v>13145</v>
      </c>
    </row>
    <row r="1150" spans="1:48">
      <c r="A1150" s="1">
        <f>HYPERLINK("https://cms.ls-nyc.org/matter/dynamic-profile/view/1895460","19-1895460")</f>
        <v>0</v>
      </c>
      <c r="B1150" t="s">
        <v>116</v>
      </c>
      <c r="C1150" t="s">
        <v>322</v>
      </c>
      <c r="D1150" t="s">
        <v>343</v>
      </c>
      <c r="E1150" t="s">
        <v>1263</v>
      </c>
      <c r="F1150" t="s">
        <v>2711</v>
      </c>
      <c r="G1150" t="s">
        <v>4393</v>
      </c>
      <c r="H1150" t="s">
        <v>5364</v>
      </c>
      <c r="I1150" t="s">
        <v>6047</v>
      </c>
      <c r="J1150">
        <v>10456</v>
      </c>
      <c r="K1150" t="s">
        <v>6074</v>
      </c>
      <c r="L1150" t="s">
        <v>6074</v>
      </c>
      <c r="N1150" t="s">
        <v>6104</v>
      </c>
      <c r="O1150" t="s">
        <v>7306</v>
      </c>
      <c r="P1150" t="s">
        <v>7314</v>
      </c>
      <c r="Q1150" t="s">
        <v>7322</v>
      </c>
      <c r="R1150" t="s">
        <v>6076</v>
      </c>
      <c r="S1150" t="s">
        <v>7324</v>
      </c>
      <c r="U1150" t="s">
        <v>322</v>
      </c>
      <c r="V1150">
        <v>593</v>
      </c>
      <c r="W1150" t="s">
        <v>7363</v>
      </c>
      <c r="X1150" t="s">
        <v>7376</v>
      </c>
      <c r="Y1150" t="s">
        <v>7386</v>
      </c>
      <c r="Z1150" t="s">
        <v>8304</v>
      </c>
      <c r="AB1150" t="s">
        <v>11077</v>
      </c>
      <c r="AC1150">
        <v>0</v>
      </c>
      <c r="AD1150" t="s">
        <v>12422</v>
      </c>
      <c r="AE1150" t="s">
        <v>12441</v>
      </c>
      <c r="AF1150">
        <v>31</v>
      </c>
      <c r="AG1150">
        <v>1</v>
      </c>
      <c r="AH1150">
        <v>0</v>
      </c>
      <c r="AI1150">
        <v>74.75</v>
      </c>
      <c r="AL1150" t="s">
        <v>12460</v>
      </c>
      <c r="AM1150">
        <v>9336</v>
      </c>
      <c r="AS1150">
        <v>0.5</v>
      </c>
      <c r="AT1150" t="s">
        <v>457</v>
      </c>
      <c r="AU1150" t="s">
        <v>116</v>
      </c>
    </row>
    <row r="1151" spans="1:48">
      <c r="A1151" s="1">
        <f>HYPERLINK("https://cms.ls-nyc.org/matter/dynamic-profile/view/1876930","18-1876930")</f>
        <v>0</v>
      </c>
      <c r="B1151" t="s">
        <v>114</v>
      </c>
      <c r="C1151" t="s">
        <v>378</v>
      </c>
      <c r="D1151" t="s">
        <v>269</v>
      </c>
      <c r="E1151" t="s">
        <v>1264</v>
      </c>
      <c r="F1151" t="s">
        <v>2712</v>
      </c>
      <c r="G1151" t="s">
        <v>4394</v>
      </c>
      <c r="H1151" t="s">
        <v>5398</v>
      </c>
      <c r="I1151" t="s">
        <v>6047</v>
      </c>
      <c r="J1151">
        <v>10452</v>
      </c>
      <c r="K1151" t="s">
        <v>6074</v>
      </c>
      <c r="L1151" t="s">
        <v>6074</v>
      </c>
      <c r="M1151" t="s">
        <v>6081</v>
      </c>
      <c r="N1151" t="s">
        <v>7278</v>
      </c>
      <c r="O1151" t="s">
        <v>7306</v>
      </c>
      <c r="P1151" t="s">
        <v>7314</v>
      </c>
      <c r="Q1151" t="s">
        <v>7322</v>
      </c>
      <c r="R1151" t="s">
        <v>6076</v>
      </c>
      <c r="S1151" t="s">
        <v>7324</v>
      </c>
      <c r="U1151" t="s">
        <v>269</v>
      </c>
      <c r="V1151">
        <v>1075</v>
      </c>
      <c r="W1151" t="s">
        <v>7363</v>
      </c>
      <c r="X1151" t="s">
        <v>7376</v>
      </c>
      <c r="Y1151" t="s">
        <v>7386</v>
      </c>
      <c r="Z1151" t="s">
        <v>8305</v>
      </c>
      <c r="AB1151" t="s">
        <v>11078</v>
      </c>
      <c r="AC1151">
        <v>30</v>
      </c>
      <c r="AF1151">
        <v>0</v>
      </c>
      <c r="AG1151">
        <v>3</v>
      </c>
      <c r="AH1151">
        <v>2</v>
      </c>
      <c r="AI1151">
        <v>74.78</v>
      </c>
      <c r="AL1151" t="s">
        <v>12461</v>
      </c>
      <c r="AM1151">
        <v>22000</v>
      </c>
      <c r="AS1151">
        <v>0.1</v>
      </c>
      <c r="AT1151" t="s">
        <v>269</v>
      </c>
      <c r="AU1151" t="s">
        <v>13095</v>
      </c>
    </row>
    <row r="1152" spans="1:48">
      <c r="A1152" s="1">
        <f>HYPERLINK("https://cms.ls-nyc.org/matter/dynamic-profile/view/1892304","19-1892304")</f>
        <v>0</v>
      </c>
      <c r="B1152" t="s">
        <v>113</v>
      </c>
      <c r="C1152" t="s">
        <v>359</v>
      </c>
      <c r="E1152" t="s">
        <v>767</v>
      </c>
      <c r="F1152" t="s">
        <v>2713</v>
      </c>
      <c r="G1152" t="s">
        <v>4395</v>
      </c>
      <c r="H1152" t="s">
        <v>5355</v>
      </c>
      <c r="I1152" t="s">
        <v>6047</v>
      </c>
      <c r="J1152">
        <v>10451</v>
      </c>
      <c r="K1152" t="s">
        <v>6074</v>
      </c>
      <c r="L1152" t="s">
        <v>6074</v>
      </c>
      <c r="N1152" t="s">
        <v>7273</v>
      </c>
      <c r="O1152" t="s">
        <v>7306</v>
      </c>
      <c r="Q1152" t="s">
        <v>7322</v>
      </c>
      <c r="S1152" t="s">
        <v>7324</v>
      </c>
      <c r="U1152" t="s">
        <v>359</v>
      </c>
      <c r="V1152">
        <v>0</v>
      </c>
      <c r="W1152" t="s">
        <v>7363</v>
      </c>
      <c r="Z1152" t="s">
        <v>8306</v>
      </c>
      <c r="AB1152" t="s">
        <v>11079</v>
      </c>
      <c r="AC1152">
        <v>0</v>
      </c>
      <c r="AF1152">
        <v>0</v>
      </c>
      <c r="AG1152">
        <v>2</v>
      </c>
      <c r="AH1152">
        <v>1</v>
      </c>
      <c r="AI1152">
        <v>74.81999999999999</v>
      </c>
      <c r="AL1152" t="s">
        <v>12461</v>
      </c>
      <c r="AM1152">
        <v>15960</v>
      </c>
      <c r="AS1152">
        <v>0</v>
      </c>
      <c r="AU1152" t="s">
        <v>113</v>
      </c>
    </row>
    <row r="1153" spans="1:47">
      <c r="A1153" s="1">
        <f>HYPERLINK("https://cms.ls-nyc.org/matter/dynamic-profile/view/1878656","18-1878656")</f>
        <v>0</v>
      </c>
      <c r="B1153" t="s">
        <v>80</v>
      </c>
      <c r="C1153" t="s">
        <v>299</v>
      </c>
      <c r="E1153" t="s">
        <v>1231</v>
      </c>
      <c r="F1153" t="s">
        <v>2311</v>
      </c>
      <c r="G1153" t="s">
        <v>4354</v>
      </c>
      <c r="H1153" t="s">
        <v>5373</v>
      </c>
      <c r="I1153" t="s">
        <v>6043</v>
      </c>
      <c r="J1153">
        <v>11221</v>
      </c>
      <c r="K1153" t="s">
        <v>6074</v>
      </c>
      <c r="L1153" t="s">
        <v>6074</v>
      </c>
      <c r="N1153" t="s">
        <v>7279</v>
      </c>
      <c r="O1153" t="s">
        <v>7311</v>
      </c>
      <c r="Q1153" t="s">
        <v>7322</v>
      </c>
      <c r="R1153" t="s">
        <v>6074</v>
      </c>
      <c r="S1153" t="s">
        <v>7324</v>
      </c>
      <c r="U1153" t="s">
        <v>312</v>
      </c>
      <c r="V1153">
        <v>793</v>
      </c>
      <c r="W1153" t="s">
        <v>7362</v>
      </c>
      <c r="X1153" t="s">
        <v>7376</v>
      </c>
      <c r="Z1153" t="s">
        <v>8250</v>
      </c>
      <c r="AB1153" t="s">
        <v>11021</v>
      </c>
      <c r="AC1153">
        <v>12</v>
      </c>
      <c r="AD1153" t="s">
        <v>12422</v>
      </c>
      <c r="AE1153" t="s">
        <v>6110</v>
      </c>
      <c r="AF1153">
        <v>15</v>
      </c>
      <c r="AG1153">
        <v>1</v>
      </c>
      <c r="AH1153">
        <v>0</v>
      </c>
      <c r="AI1153">
        <v>74.95999999999999</v>
      </c>
      <c r="AL1153" t="s">
        <v>12460</v>
      </c>
      <c r="AM1153">
        <v>9100</v>
      </c>
      <c r="AN1153" t="s">
        <v>12596</v>
      </c>
      <c r="AS1153">
        <v>0</v>
      </c>
      <c r="AU1153" t="s">
        <v>218</v>
      </c>
    </row>
    <row r="1154" spans="1:47">
      <c r="A1154" s="1">
        <f>HYPERLINK("https://cms.ls-nyc.org/matter/dynamic-profile/view/1878659","18-1878659")</f>
        <v>0</v>
      </c>
      <c r="B1154" t="s">
        <v>80</v>
      </c>
      <c r="C1154" t="s">
        <v>299</v>
      </c>
      <c r="E1154" t="s">
        <v>1231</v>
      </c>
      <c r="F1154" t="s">
        <v>2311</v>
      </c>
      <c r="G1154" t="s">
        <v>4354</v>
      </c>
      <c r="H1154" t="s">
        <v>5373</v>
      </c>
      <c r="I1154" t="s">
        <v>6043</v>
      </c>
      <c r="J1154">
        <v>11221</v>
      </c>
      <c r="K1154" t="s">
        <v>6074</v>
      </c>
      <c r="L1154" t="s">
        <v>6074</v>
      </c>
      <c r="N1154" t="s">
        <v>7273</v>
      </c>
      <c r="O1154" t="s">
        <v>7308</v>
      </c>
      <c r="Q1154" t="s">
        <v>7322</v>
      </c>
      <c r="R1154" t="s">
        <v>6074</v>
      </c>
      <c r="S1154" t="s">
        <v>7324</v>
      </c>
      <c r="U1154" t="s">
        <v>281</v>
      </c>
      <c r="V1154">
        <v>793</v>
      </c>
      <c r="W1154" t="s">
        <v>7362</v>
      </c>
      <c r="X1154" t="s">
        <v>7376</v>
      </c>
      <c r="Z1154" t="s">
        <v>8250</v>
      </c>
      <c r="AB1154" t="s">
        <v>11021</v>
      </c>
      <c r="AC1154">
        <v>12</v>
      </c>
      <c r="AD1154" t="s">
        <v>12422</v>
      </c>
      <c r="AE1154" t="s">
        <v>6110</v>
      </c>
      <c r="AF1154">
        <v>15</v>
      </c>
      <c r="AG1154">
        <v>1</v>
      </c>
      <c r="AH1154">
        <v>0</v>
      </c>
      <c r="AI1154">
        <v>74.95999999999999</v>
      </c>
      <c r="AL1154" t="s">
        <v>12460</v>
      </c>
      <c r="AM1154">
        <v>9100</v>
      </c>
      <c r="AN1154" t="s">
        <v>12596</v>
      </c>
      <c r="AS1154">
        <v>0</v>
      </c>
      <c r="AU1154" t="s">
        <v>218</v>
      </c>
    </row>
    <row r="1155" spans="1:47">
      <c r="A1155" s="1">
        <f>HYPERLINK("https://cms.ls-nyc.org/matter/dynamic-profile/view/1878653","18-1878653")</f>
        <v>0</v>
      </c>
      <c r="B1155" t="s">
        <v>80</v>
      </c>
      <c r="C1155" t="s">
        <v>299</v>
      </c>
      <c r="D1155" t="s">
        <v>396</v>
      </c>
      <c r="E1155" t="s">
        <v>1231</v>
      </c>
      <c r="F1155" t="s">
        <v>2311</v>
      </c>
      <c r="G1155" t="s">
        <v>4354</v>
      </c>
      <c r="H1155" t="s">
        <v>5373</v>
      </c>
      <c r="I1155" t="s">
        <v>6043</v>
      </c>
      <c r="J1155">
        <v>11221</v>
      </c>
      <c r="K1155" t="s">
        <v>6074</v>
      </c>
      <c r="L1155" t="s">
        <v>6074</v>
      </c>
      <c r="N1155" t="s">
        <v>7275</v>
      </c>
      <c r="O1155" t="s">
        <v>7307</v>
      </c>
      <c r="P1155" t="s">
        <v>7315</v>
      </c>
      <c r="Q1155" t="s">
        <v>7322</v>
      </c>
      <c r="R1155" t="s">
        <v>6074</v>
      </c>
      <c r="S1155" t="s">
        <v>7324</v>
      </c>
      <c r="U1155" t="s">
        <v>312</v>
      </c>
      <c r="V1155">
        <v>793</v>
      </c>
      <c r="W1155" t="s">
        <v>7362</v>
      </c>
      <c r="X1155" t="s">
        <v>7376</v>
      </c>
      <c r="Y1155" t="s">
        <v>7394</v>
      </c>
      <c r="Z1155" t="s">
        <v>8250</v>
      </c>
      <c r="AA1155" t="s">
        <v>6110</v>
      </c>
      <c r="AB1155" t="s">
        <v>11021</v>
      </c>
      <c r="AC1155">
        <v>12</v>
      </c>
      <c r="AD1155" t="s">
        <v>12422</v>
      </c>
      <c r="AE1155" t="s">
        <v>6110</v>
      </c>
      <c r="AF1155">
        <v>15</v>
      </c>
      <c r="AG1155">
        <v>1</v>
      </c>
      <c r="AH1155">
        <v>0</v>
      </c>
      <c r="AI1155">
        <v>74.95999999999999</v>
      </c>
      <c r="AL1155" t="s">
        <v>12460</v>
      </c>
      <c r="AM1155">
        <v>9100</v>
      </c>
      <c r="AN1155" t="s">
        <v>12525</v>
      </c>
      <c r="AS1155">
        <v>0.08</v>
      </c>
      <c r="AT1155" t="s">
        <v>466</v>
      </c>
      <c r="AU1155" t="s">
        <v>218</v>
      </c>
    </row>
    <row r="1156" spans="1:47">
      <c r="A1156" s="1">
        <f>HYPERLINK("https://cms.ls-nyc.org/matter/dynamic-profile/view/1876642","18-1876642")</f>
        <v>0</v>
      </c>
      <c r="B1156" t="s">
        <v>78</v>
      </c>
      <c r="C1156" t="s">
        <v>243</v>
      </c>
      <c r="E1156" t="s">
        <v>1232</v>
      </c>
      <c r="F1156" t="s">
        <v>2682</v>
      </c>
      <c r="G1156" t="s">
        <v>3919</v>
      </c>
      <c r="H1156" t="s">
        <v>5355</v>
      </c>
      <c r="I1156" t="s">
        <v>6043</v>
      </c>
      <c r="J1156">
        <v>11212</v>
      </c>
      <c r="K1156" t="s">
        <v>6074</v>
      </c>
      <c r="L1156" t="s">
        <v>6074</v>
      </c>
      <c r="N1156" t="s">
        <v>7287</v>
      </c>
      <c r="O1156" t="s">
        <v>7307</v>
      </c>
      <c r="Q1156" t="s">
        <v>7322</v>
      </c>
      <c r="R1156" t="s">
        <v>6074</v>
      </c>
      <c r="S1156" t="s">
        <v>7324</v>
      </c>
      <c r="T1156" t="s">
        <v>7336</v>
      </c>
      <c r="U1156" t="s">
        <v>243</v>
      </c>
      <c r="V1156">
        <v>389.17</v>
      </c>
      <c r="W1156" t="s">
        <v>7362</v>
      </c>
      <c r="X1156" t="s">
        <v>7375</v>
      </c>
      <c r="Z1156" t="s">
        <v>8251</v>
      </c>
      <c r="AB1156" t="s">
        <v>11022</v>
      </c>
      <c r="AC1156">
        <v>10</v>
      </c>
      <c r="AD1156" t="s">
        <v>12422</v>
      </c>
      <c r="AE1156" t="s">
        <v>6110</v>
      </c>
      <c r="AF1156">
        <v>6</v>
      </c>
      <c r="AG1156">
        <v>1</v>
      </c>
      <c r="AH1156">
        <v>0</v>
      </c>
      <c r="AI1156">
        <v>74.95999999999999</v>
      </c>
      <c r="AL1156" t="s">
        <v>12460</v>
      </c>
      <c r="AM1156">
        <v>9100</v>
      </c>
      <c r="AS1156">
        <v>2.6</v>
      </c>
      <c r="AT1156" t="s">
        <v>324</v>
      </c>
      <c r="AU1156" t="s">
        <v>78</v>
      </c>
    </row>
    <row r="1157" spans="1:47">
      <c r="A1157" s="1">
        <f>HYPERLINK("https://cms.ls-nyc.org/matter/dynamic-profile/view/1874499","18-1874499")</f>
        <v>0</v>
      </c>
      <c r="B1157" t="s">
        <v>161</v>
      </c>
      <c r="C1157" t="s">
        <v>236</v>
      </c>
      <c r="D1157" t="s">
        <v>250</v>
      </c>
      <c r="E1157" t="s">
        <v>1265</v>
      </c>
      <c r="F1157" t="s">
        <v>2714</v>
      </c>
      <c r="G1157" t="s">
        <v>3884</v>
      </c>
      <c r="H1157" t="s">
        <v>5662</v>
      </c>
      <c r="I1157" t="s">
        <v>6049</v>
      </c>
      <c r="J1157">
        <v>10029</v>
      </c>
      <c r="K1157" t="s">
        <v>6074</v>
      </c>
      <c r="L1157" t="s">
        <v>6074</v>
      </c>
      <c r="M1157" t="s">
        <v>6615</v>
      </c>
      <c r="N1157" t="s">
        <v>7277</v>
      </c>
      <c r="O1157" t="s">
        <v>7306</v>
      </c>
      <c r="P1157" t="s">
        <v>7314</v>
      </c>
      <c r="Q1157" t="s">
        <v>7322</v>
      </c>
      <c r="R1157" t="s">
        <v>6076</v>
      </c>
      <c r="S1157" t="s">
        <v>7324</v>
      </c>
      <c r="T1157" t="s">
        <v>7337</v>
      </c>
      <c r="U1157" t="s">
        <v>391</v>
      </c>
      <c r="V1157">
        <v>1320</v>
      </c>
      <c r="W1157" t="s">
        <v>7365</v>
      </c>
      <c r="X1157" t="s">
        <v>7305</v>
      </c>
      <c r="Y1157" t="s">
        <v>7386</v>
      </c>
      <c r="Z1157" t="s">
        <v>8307</v>
      </c>
      <c r="AB1157" t="s">
        <v>11080</v>
      </c>
      <c r="AC1157">
        <v>144</v>
      </c>
      <c r="AD1157" t="s">
        <v>12423</v>
      </c>
      <c r="AE1157" t="s">
        <v>12434</v>
      </c>
      <c r="AF1157">
        <v>13</v>
      </c>
      <c r="AG1157">
        <v>1</v>
      </c>
      <c r="AH1157">
        <v>0</v>
      </c>
      <c r="AI1157">
        <v>74.95999999999999</v>
      </c>
      <c r="AL1157" t="s">
        <v>12460</v>
      </c>
      <c r="AM1157">
        <v>9100</v>
      </c>
      <c r="AS1157">
        <v>1.6</v>
      </c>
      <c r="AT1157" t="s">
        <v>250</v>
      </c>
      <c r="AU1157" t="s">
        <v>13104</v>
      </c>
    </row>
    <row r="1158" spans="1:47">
      <c r="A1158" s="1">
        <f>HYPERLINK("https://cms.ls-nyc.org/matter/dynamic-profile/view/1892373","19-1892373")</f>
        <v>0</v>
      </c>
      <c r="B1158" t="s">
        <v>96</v>
      </c>
      <c r="C1158" t="s">
        <v>337</v>
      </c>
      <c r="E1158" t="s">
        <v>1266</v>
      </c>
      <c r="F1158" t="s">
        <v>2715</v>
      </c>
      <c r="G1158" t="s">
        <v>4396</v>
      </c>
      <c r="H1158" t="s">
        <v>5663</v>
      </c>
      <c r="I1158" t="s">
        <v>6047</v>
      </c>
      <c r="J1158">
        <v>10453</v>
      </c>
      <c r="K1158" t="s">
        <v>6074</v>
      </c>
      <c r="L1158" t="s">
        <v>6074</v>
      </c>
      <c r="N1158" t="s">
        <v>7279</v>
      </c>
      <c r="O1158" t="s">
        <v>7311</v>
      </c>
      <c r="Q1158" t="s">
        <v>7322</v>
      </c>
      <c r="R1158" t="s">
        <v>6074</v>
      </c>
      <c r="S1158" t="s">
        <v>7324</v>
      </c>
      <c r="U1158" t="s">
        <v>457</v>
      </c>
      <c r="V1158">
        <v>1474</v>
      </c>
      <c r="W1158" t="s">
        <v>7363</v>
      </c>
      <c r="X1158" t="s">
        <v>7375</v>
      </c>
      <c r="Z1158" t="s">
        <v>8308</v>
      </c>
      <c r="AC1158">
        <v>170</v>
      </c>
      <c r="AD1158" t="s">
        <v>12422</v>
      </c>
      <c r="AE1158" t="s">
        <v>6110</v>
      </c>
      <c r="AF1158">
        <v>14</v>
      </c>
      <c r="AG1158">
        <v>2</v>
      </c>
      <c r="AH1158">
        <v>0</v>
      </c>
      <c r="AI1158">
        <v>74.98999999999999</v>
      </c>
      <c r="AL1158" t="s">
        <v>12460</v>
      </c>
      <c r="AM1158">
        <v>12680</v>
      </c>
      <c r="AS1158">
        <v>0</v>
      </c>
      <c r="AU1158" t="s">
        <v>13093</v>
      </c>
    </row>
    <row r="1159" spans="1:47">
      <c r="A1159" s="1">
        <f>HYPERLINK("https://cms.ls-nyc.org/matter/dynamic-profile/view/1891937","19-1891937")</f>
        <v>0</v>
      </c>
      <c r="B1159" t="s">
        <v>96</v>
      </c>
      <c r="C1159" t="s">
        <v>329</v>
      </c>
      <c r="E1159" t="s">
        <v>1266</v>
      </c>
      <c r="F1159" t="s">
        <v>2715</v>
      </c>
      <c r="G1159" t="s">
        <v>4396</v>
      </c>
      <c r="H1159" t="s">
        <v>5663</v>
      </c>
      <c r="I1159" t="s">
        <v>6047</v>
      </c>
      <c r="J1159">
        <v>10453</v>
      </c>
      <c r="K1159" t="s">
        <v>6074</v>
      </c>
      <c r="L1159" t="s">
        <v>6074</v>
      </c>
      <c r="M1159" t="s">
        <v>6259</v>
      </c>
      <c r="N1159" t="s">
        <v>7273</v>
      </c>
      <c r="O1159" t="s">
        <v>7308</v>
      </c>
      <c r="Q1159" t="s">
        <v>7322</v>
      </c>
      <c r="R1159" t="s">
        <v>6074</v>
      </c>
      <c r="S1159" t="s">
        <v>7324</v>
      </c>
      <c r="U1159" t="s">
        <v>457</v>
      </c>
      <c r="V1159">
        <v>1474</v>
      </c>
      <c r="W1159" t="s">
        <v>7363</v>
      </c>
      <c r="X1159" t="s">
        <v>7376</v>
      </c>
      <c r="Z1159" t="s">
        <v>8308</v>
      </c>
      <c r="AA1159" t="s">
        <v>10117</v>
      </c>
      <c r="AC1159">
        <v>170</v>
      </c>
      <c r="AD1159" t="s">
        <v>12422</v>
      </c>
      <c r="AE1159" t="s">
        <v>6110</v>
      </c>
      <c r="AF1159">
        <v>1</v>
      </c>
      <c r="AG1159">
        <v>2</v>
      </c>
      <c r="AH1159">
        <v>0</v>
      </c>
      <c r="AI1159">
        <v>74.98999999999999</v>
      </c>
      <c r="AL1159" t="s">
        <v>12460</v>
      </c>
      <c r="AM1159">
        <v>12680</v>
      </c>
      <c r="AS1159">
        <v>0</v>
      </c>
      <c r="AU1159" t="s">
        <v>13093</v>
      </c>
    </row>
    <row r="1160" spans="1:47">
      <c r="A1160" s="1">
        <f>HYPERLINK("https://cms.ls-nyc.org/matter/dynamic-profile/view/1864205","18-1864205")</f>
        <v>0</v>
      </c>
      <c r="B1160" t="s">
        <v>82</v>
      </c>
      <c r="C1160" t="s">
        <v>485</v>
      </c>
      <c r="E1160" t="s">
        <v>1267</v>
      </c>
      <c r="F1160" t="s">
        <v>2716</v>
      </c>
      <c r="G1160" t="s">
        <v>4397</v>
      </c>
      <c r="H1160" t="s">
        <v>5664</v>
      </c>
      <c r="I1160" t="s">
        <v>6043</v>
      </c>
      <c r="J1160">
        <v>11226</v>
      </c>
      <c r="K1160" t="s">
        <v>6074</v>
      </c>
      <c r="L1160" t="s">
        <v>6074</v>
      </c>
      <c r="N1160" t="s">
        <v>7273</v>
      </c>
      <c r="O1160" t="s">
        <v>7309</v>
      </c>
      <c r="Q1160" t="s">
        <v>7322</v>
      </c>
      <c r="R1160" t="s">
        <v>6074</v>
      </c>
      <c r="S1160" t="s">
        <v>7324</v>
      </c>
      <c r="U1160" t="s">
        <v>502</v>
      </c>
      <c r="V1160">
        <v>884</v>
      </c>
      <c r="W1160" t="s">
        <v>7362</v>
      </c>
      <c r="X1160" t="s">
        <v>7376</v>
      </c>
      <c r="Z1160" t="s">
        <v>8309</v>
      </c>
      <c r="AC1160">
        <v>6</v>
      </c>
      <c r="AD1160" t="s">
        <v>12422</v>
      </c>
      <c r="AE1160" t="s">
        <v>6110</v>
      </c>
      <c r="AF1160">
        <v>16</v>
      </c>
      <c r="AG1160">
        <v>2</v>
      </c>
      <c r="AH1160">
        <v>1</v>
      </c>
      <c r="AI1160">
        <v>75.06999999999999</v>
      </c>
      <c r="AL1160" t="s">
        <v>12460</v>
      </c>
      <c r="AM1160">
        <v>15600</v>
      </c>
      <c r="AS1160">
        <v>2</v>
      </c>
      <c r="AT1160" t="s">
        <v>469</v>
      </c>
      <c r="AU1160" t="s">
        <v>13087</v>
      </c>
    </row>
    <row r="1161" spans="1:47">
      <c r="A1161" s="1">
        <f>HYPERLINK("https://cms.ls-nyc.org/matter/dynamic-profile/view/1864890","18-1864890")</f>
        <v>0</v>
      </c>
      <c r="B1161" t="s">
        <v>82</v>
      </c>
      <c r="C1161" t="s">
        <v>486</v>
      </c>
      <c r="E1161" t="s">
        <v>1267</v>
      </c>
      <c r="F1161" t="s">
        <v>2716</v>
      </c>
      <c r="G1161" t="s">
        <v>4397</v>
      </c>
      <c r="H1161" t="s">
        <v>5664</v>
      </c>
      <c r="I1161" t="s">
        <v>6043</v>
      </c>
      <c r="J1161">
        <v>11226</v>
      </c>
      <c r="K1161" t="s">
        <v>6074</v>
      </c>
      <c r="L1161" t="s">
        <v>6074</v>
      </c>
      <c r="N1161" t="s">
        <v>7278</v>
      </c>
      <c r="O1161" t="s">
        <v>7309</v>
      </c>
      <c r="Q1161" t="s">
        <v>7322</v>
      </c>
      <c r="R1161" t="s">
        <v>6074</v>
      </c>
      <c r="S1161" t="s">
        <v>7324</v>
      </c>
      <c r="U1161" t="s">
        <v>464</v>
      </c>
      <c r="V1161">
        <v>884</v>
      </c>
      <c r="W1161" t="s">
        <v>7362</v>
      </c>
      <c r="X1161" t="s">
        <v>7376</v>
      </c>
      <c r="Z1161" t="s">
        <v>8309</v>
      </c>
      <c r="AC1161">
        <v>6</v>
      </c>
      <c r="AD1161" t="s">
        <v>12422</v>
      </c>
      <c r="AE1161" t="s">
        <v>6110</v>
      </c>
      <c r="AF1161">
        <v>16</v>
      </c>
      <c r="AG1161">
        <v>2</v>
      </c>
      <c r="AH1161">
        <v>1</v>
      </c>
      <c r="AI1161">
        <v>75.06999999999999</v>
      </c>
      <c r="AL1161" t="s">
        <v>12460</v>
      </c>
      <c r="AM1161">
        <v>15600</v>
      </c>
      <c r="AS1161">
        <v>0.6</v>
      </c>
      <c r="AT1161" t="s">
        <v>388</v>
      </c>
      <c r="AU1161" t="s">
        <v>13087</v>
      </c>
    </row>
    <row r="1162" spans="1:47">
      <c r="A1162" s="1">
        <f>HYPERLINK("https://cms.ls-nyc.org/matter/dynamic-profile/view/1882177","18-1882177")</f>
        <v>0</v>
      </c>
      <c r="B1162" t="s">
        <v>81</v>
      </c>
      <c r="C1162" t="s">
        <v>442</v>
      </c>
      <c r="E1162" t="s">
        <v>1268</v>
      </c>
      <c r="F1162" t="s">
        <v>2194</v>
      </c>
      <c r="G1162" t="s">
        <v>4398</v>
      </c>
      <c r="H1162">
        <v>2</v>
      </c>
      <c r="I1162" t="s">
        <v>6043</v>
      </c>
      <c r="J1162">
        <v>11206</v>
      </c>
      <c r="K1162" t="s">
        <v>6074</v>
      </c>
      <c r="L1162" t="s">
        <v>6074</v>
      </c>
      <c r="N1162" t="s">
        <v>7273</v>
      </c>
      <c r="O1162" t="s">
        <v>7308</v>
      </c>
      <c r="Q1162" t="s">
        <v>7322</v>
      </c>
      <c r="S1162" t="s">
        <v>7324</v>
      </c>
      <c r="U1162" t="s">
        <v>442</v>
      </c>
      <c r="V1162">
        <v>0</v>
      </c>
      <c r="W1162" t="s">
        <v>7362</v>
      </c>
      <c r="Z1162" t="s">
        <v>8310</v>
      </c>
      <c r="AB1162" t="s">
        <v>11081</v>
      </c>
      <c r="AC1162">
        <v>0</v>
      </c>
      <c r="AF1162">
        <v>0</v>
      </c>
      <c r="AG1162">
        <v>2</v>
      </c>
      <c r="AH1162">
        <v>1</v>
      </c>
      <c r="AI1162">
        <v>75.06999999999999</v>
      </c>
      <c r="AL1162" t="s">
        <v>12461</v>
      </c>
      <c r="AM1162">
        <v>15600</v>
      </c>
      <c r="AS1162">
        <v>98.59999999999999</v>
      </c>
      <c r="AT1162" t="s">
        <v>564</v>
      </c>
      <c r="AU1162" t="s">
        <v>69</v>
      </c>
    </row>
    <row r="1163" spans="1:47">
      <c r="A1163" s="1">
        <f>HYPERLINK("https://cms.ls-nyc.org/matter/dynamic-profile/view/1886442","18-1886442")</f>
        <v>0</v>
      </c>
      <c r="B1163" t="s">
        <v>98</v>
      </c>
      <c r="C1163" t="s">
        <v>389</v>
      </c>
      <c r="D1163" t="s">
        <v>346</v>
      </c>
      <c r="E1163" t="s">
        <v>1269</v>
      </c>
      <c r="F1163" t="s">
        <v>2717</v>
      </c>
      <c r="G1163" t="s">
        <v>4399</v>
      </c>
      <c r="H1163" t="s">
        <v>5652</v>
      </c>
      <c r="I1163" t="s">
        <v>6047</v>
      </c>
      <c r="J1163">
        <v>10455</v>
      </c>
      <c r="K1163" t="s">
        <v>6074</v>
      </c>
      <c r="L1163" t="s">
        <v>6074</v>
      </c>
      <c r="M1163" t="s">
        <v>6616</v>
      </c>
      <c r="N1163" t="s">
        <v>7276</v>
      </c>
      <c r="O1163" t="s">
        <v>7307</v>
      </c>
      <c r="P1163" t="s">
        <v>7315</v>
      </c>
      <c r="Q1163" t="s">
        <v>7322</v>
      </c>
      <c r="R1163" t="s">
        <v>6076</v>
      </c>
      <c r="S1163" t="s">
        <v>7324</v>
      </c>
      <c r="T1163" t="s">
        <v>7340</v>
      </c>
      <c r="U1163" t="s">
        <v>389</v>
      </c>
      <c r="V1163">
        <v>499</v>
      </c>
      <c r="W1163" t="s">
        <v>7363</v>
      </c>
      <c r="X1163" t="s">
        <v>7376</v>
      </c>
      <c r="Y1163" t="s">
        <v>7386</v>
      </c>
      <c r="Z1163" t="s">
        <v>8311</v>
      </c>
      <c r="AC1163">
        <v>50</v>
      </c>
      <c r="AD1163" t="s">
        <v>12422</v>
      </c>
      <c r="AE1163" t="s">
        <v>7305</v>
      </c>
      <c r="AF1163">
        <v>29</v>
      </c>
      <c r="AG1163">
        <v>2</v>
      </c>
      <c r="AH1163">
        <v>1</v>
      </c>
      <c r="AI1163">
        <v>75.06999999999999</v>
      </c>
      <c r="AL1163" t="s">
        <v>12460</v>
      </c>
      <c r="AM1163">
        <v>15600</v>
      </c>
      <c r="AS1163">
        <v>1</v>
      </c>
      <c r="AT1163" t="s">
        <v>389</v>
      </c>
      <c r="AU1163" t="s">
        <v>98</v>
      </c>
    </row>
    <row r="1164" spans="1:47">
      <c r="A1164" s="1">
        <f>HYPERLINK("https://cms.ls-nyc.org/matter/dynamic-profile/view/1887046","19-1887046")</f>
        <v>0</v>
      </c>
      <c r="B1164" t="s">
        <v>112</v>
      </c>
      <c r="C1164" t="s">
        <v>272</v>
      </c>
      <c r="E1164" t="s">
        <v>1270</v>
      </c>
      <c r="F1164" t="s">
        <v>2059</v>
      </c>
      <c r="G1164" t="s">
        <v>3793</v>
      </c>
      <c r="H1164" t="s">
        <v>5462</v>
      </c>
      <c r="I1164" t="s">
        <v>6047</v>
      </c>
      <c r="J1164">
        <v>10453</v>
      </c>
      <c r="K1164" t="s">
        <v>6074</v>
      </c>
      <c r="L1164" t="s">
        <v>6074</v>
      </c>
      <c r="M1164" t="s">
        <v>6194</v>
      </c>
      <c r="N1164" t="s">
        <v>7273</v>
      </c>
      <c r="O1164" t="s">
        <v>7308</v>
      </c>
      <c r="Q1164" t="s">
        <v>7322</v>
      </c>
      <c r="R1164" t="s">
        <v>6074</v>
      </c>
      <c r="S1164" t="s">
        <v>7324</v>
      </c>
      <c r="U1164" t="s">
        <v>457</v>
      </c>
      <c r="V1164">
        <v>0</v>
      </c>
      <c r="W1164" t="s">
        <v>7363</v>
      </c>
      <c r="X1164" t="s">
        <v>7376</v>
      </c>
      <c r="Z1164" t="s">
        <v>8312</v>
      </c>
      <c r="AB1164" t="s">
        <v>11082</v>
      </c>
      <c r="AC1164">
        <v>49</v>
      </c>
      <c r="AD1164" t="s">
        <v>12422</v>
      </c>
      <c r="AE1164" t="s">
        <v>6110</v>
      </c>
      <c r="AF1164">
        <v>0</v>
      </c>
      <c r="AG1164">
        <v>1</v>
      </c>
      <c r="AH1164">
        <v>2</v>
      </c>
      <c r="AI1164">
        <v>75.06999999999999</v>
      </c>
      <c r="AL1164" t="s">
        <v>12460</v>
      </c>
      <c r="AM1164">
        <v>15600</v>
      </c>
      <c r="AS1164">
        <v>0</v>
      </c>
      <c r="AU1164" t="s">
        <v>13092</v>
      </c>
    </row>
    <row r="1165" spans="1:47">
      <c r="A1165" s="1">
        <f>HYPERLINK("https://cms.ls-nyc.org/matter/dynamic-profile/view/1887089","19-1887089")</f>
        <v>0</v>
      </c>
      <c r="B1165" t="s">
        <v>112</v>
      </c>
      <c r="C1165" t="s">
        <v>272</v>
      </c>
      <c r="E1165" t="s">
        <v>1270</v>
      </c>
      <c r="F1165" t="s">
        <v>2059</v>
      </c>
      <c r="G1165" t="s">
        <v>3793</v>
      </c>
      <c r="H1165" t="s">
        <v>5462</v>
      </c>
      <c r="I1165" t="s">
        <v>6047</v>
      </c>
      <c r="J1165">
        <v>10453</v>
      </c>
      <c r="K1165" t="s">
        <v>6074</v>
      </c>
      <c r="L1165" t="s">
        <v>6074</v>
      </c>
      <c r="N1165" t="s">
        <v>6104</v>
      </c>
      <c r="O1165" t="s">
        <v>7309</v>
      </c>
      <c r="Q1165" t="s">
        <v>7322</v>
      </c>
      <c r="R1165" t="s">
        <v>6074</v>
      </c>
      <c r="S1165" t="s">
        <v>7324</v>
      </c>
      <c r="U1165" t="s">
        <v>457</v>
      </c>
      <c r="V1165">
        <v>948</v>
      </c>
      <c r="W1165" t="s">
        <v>7363</v>
      </c>
      <c r="X1165" t="s">
        <v>7376</v>
      </c>
      <c r="Z1165" t="s">
        <v>8312</v>
      </c>
      <c r="AB1165" t="s">
        <v>11082</v>
      </c>
      <c r="AC1165">
        <v>49</v>
      </c>
      <c r="AD1165" t="s">
        <v>12422</v>
      </c>
      <c r="AE1165" t="s">
        <v>6110</v>
      </c>
      <c r="AF1165">
        <v>3</v>
      </c>
      <c r="AG1165">
        <v>1</v>
      </c>
      <c r="AH1165">
        <v>2</v>
      </c>
      <c r="AI1165">
        <v>75.06999999999999</v>
      </c>
      <c r="AL1165" t="s">
        <v>12460</v>
      </c>
      <c r="AM1165">
        <v>15600</v>
      </c>
      <c r="AS1165">
        <v>0</v>
      </c>
      <c r="AU1165" t="s">
        <v>13092</v>
      </c>
    </row>
    <row r="1166" spans="1:47">
      <c r="A1166" s="1">
        <f>HYPERLINK("https://cms.ls-nyc.org/matter/dynamic-profile/view/1886953","19-1886953")</f>
        <v>0</v>
      </c>
      <c r="B1166" t="s">
        <v>154</v>
      </c>
      <c r="C1166" t="s">
        <v>410</v>
      </c>
      <c r="D1166" t="s">
        <v>330</v>
      </c>
      <c r="E1166" t="s">
        <v>1061</v>
      </c>
      <c r="F1166" t="s">
        <v>2718</v>
      </c>
      <c r="G1166" t="s">
        <v>4400</v>
      </c>
      <c r="H1166" t="s">
        <v>5665</v>
      </c>
      <c r="I1166" t="s">
        <v>6048</v>
      </c>
      <c r="J1166">
        <v>10301</v>
      </c>
      <c r="K1166" t="s">
        <v>6074</v>
      </c>
      <c r="L1166" t="s">
        <v>6074</v>
      </c>
      <c r="M1166" t="s">
        <v>6110</v>
      </c>
      <c r="N1166" t="s">
        <v>7291</v>
      </c>
      <c r="O1166" t="s">
        <v>7309</v>
      </c>
      <c r="P1166" t="s">
        <v>7315</v>
      </c>
      <c r="Q1166" t="s">
        <v>7323</v>
      </c>
      <c r="R1166" t="s">
        <v>6076</v>
      </c>
      <c r="S1166" t="s">
        <v>7330</v>
      </c>
      <c r="T1166" t="s">
        <v>7336</v>
      </c>
      <c r="U1166" t="s">
        <v>410</v>
      </c>
      <c r="V1166">
        <v>2025</v>
      </c>
      <c r="W1166" t="s">
        <v>7364</v>
      </c>
      <c r="X1166" t="s">
        <v>7369</v>
      </c>
      <c r="Y1166" t="s">
        <v>7386</v>
      </c>
      <c r="Z1166" t="s">
        <v>8313</v>
      </c>
      <c r="AC1166">
        <v>3</v>
      </c>
      <c r="AD1166" t="s">
        <v>12419</v>
      </c>
      <c r="AE1166" t="s">
        <v>6110</v>
      </c>
      <c r="AF1166">
        <v>2</v>
      </c>
      <c r="AG1166">
        <v>2</v>
      </c>
      <c r="AH1166">
        <v>1</v>
      </c>
      <c r="AI1166">
        <v>75.06999999999999</v>
      </c>
      <c r="AJ1166" t="s">
        <v>12443</v>
      </c>
      <c r="AK1166" t="s">
        <v>12455</v>
      </c>
      <c r="AL1166" t="s">
        <v>12460</v>
      </c>
      <c r="AM1166">
        <v>15600</v>
      </c>
      <c r="AP1166" t="s">
        <v>7305</v>
      </c>
      <c r="AQ1166" t="s">
        <v>12909</v>
      </c>
      <c r="AR1166" t="s">
        <v>12997</v>
      </c>
      <c r="AS1166">
        <v>1.35</v>
      </c>
      <c r="AT1166" t="s">
        <v>292</v>
      </c>
      <c r="AU1166" t="s">
        <v>13103</v>
      </c>
    </row>
    <row r="1167" spans="1:47">
      <c r="A1167" s="1">
        <f>HYPERLINK("https://cms.ls-nyc.org/matter/dynamic-profile/view/1879311","18-1879311")</f>
        <v>0</v>
      </c>
      <c r="B1167" t="s">
        <v>57</v>
      </c>
      <c r="C1167" t="s">
        <v>249</v>
      </c>
      <c r="E1167" t="s">
        <v>1271</v>
      </c>
      <c r="F1167" t="s">
        <v>2439</v>
      </c>
      <c r="G1167" t="s">
        <v>4401</v>
      </c>
      <c r="H1167" t="s">
        <v>5666</v>
      </c>
      <c r="I1167" t="s">
        <v>6025</v>
      </c>
      <c r="J1167">
        <v>11691</v>
      </c>
      <c r="K1167" t="s">
        <v>6074</v>
      </c>
      <c r="L1167" t="s">
        <v>6074</v>
      </c>
      <c r="M1167" t="s">
        <v>6617</v>
      </c>
      <c r="N1167" t="s">
        <v>7274</v>
      </c>
      <c r="O1167" t="s">
        <v>7306</v>
      </c>
      <c r="Q1167" t="s">
        <v>7322</v>
      </c>
      <c r="R1167" t="s">
        <v>6076</v>
      </c>
      <c r="S1167" t="s">
        <v>7324</v>
      </c>
      <c r="T1167" t="s">
        <v>7336</v>
      </c>
      <c r="U1167" t="s">
        <v>249</v>
      </c>
      <c r="V1167">
        <v>171</v>
      </c>
      <c r="W1167" t="s">
        <v>7361</v>
      </c>
      <c r="X1167" t="s">
        <v>7366</v>
      </c>
      <c r="Z1167" t="s">
        <v>8314</v>
      </c>
      <c r="AA1167" t="s">
        <v>10118</v>
      </c>
      <c r="AB1167" t="s">
        <v>11083</v>
      </c>
      <c r="AC1167">
        <v>96</v>
      </c>
      <c r="AD1167" t="s">
        <v>12420</v>
      </c>
      <c r="AE1167" t="s">
        <v>6110</v>
      </c>
      <c r="AF1167">
        <v>3</v>
      </c>
      <c r="AG1167">
        <v>1</v>
      </c>
      <c r="AH1167">
        <v>0</v>
      </c>
      <c r="AI1167">
        <v>75.12</v>
      </c>
      <c r="AL1167" t="s">
        <v>12460</v>
      </c>
      <c r="AM1167">
        <v>9120</v>
      </c>
      <c r="AS1167">
        <v>0</v>
      </c>
      <c r="AU1167" t="s">
        <v>48</v>
      </c>
    </row>
    <row r="1168" spans="1:47">
      <c r="A1168" s="1">
        <f>HYPERLINK("https://cms.ls-nyc.org/matter/dynamic-profile/view/1875900","18-1875900")</f>
        <v>0</v>
      </c>
      <c r="B1168" t="s">
        <v>174</v>
      </c>
      <c r="C1168" t="s">
        <v>346</v>
      </c>
      <c r="E1168" t="s">
        <v>1272</v>
      </c>
      <c r="F1168" t="s">
        <v>2719</v>
      </c>
      <c r="G1168" t="s">
        <v>4402</v>
      </c>
      <c r="H1168" t="s">
        <v>5385</v>
      </c>
      <c r="I1168" t="s">
        <v>6043</v>
      </c>
      <c r="J1168">
        <v>11237</v>
      </c>
      <c r="K1168" t="s">
        <v>6074</v>
      </c>
      <c r="L1168" t="s">
        <v>6074</v>
      </c>
      <c r="N1168" t="s">
        <v>7276</v>
      </c>
      <c r="Q1168" t="s">
        <v>7322</v>
      </c>
      <c r="R1168" t="s">
        <v>6076</v>
      </c>
      <c r="S1168" t="s">
        <v>7324</v>
      </c>
      <c r="U1168" t="s">
        <v>346</v>
      </c>
      <c r="V1168">
        <v>0</v>
      </c>
      <c r="W1168" t="s">
        <v>7362</v>
      </c>
      <c r="Z1168" t="s">
        <v>8315</v>
      </c>
      <c r="AC1168">
        <v>0</v>
      </c>
      <c r="AF1168">
        <v>0</v>
      </c>
      <c r="AG1168">
        <v>5</v>
      </c>
      <c r="AH1168">
        <v>0</v>
      </c>
      <c r="AI1168">
        <v>75.12</v>
      </c>
      <c r="AL1168" t="s">
        <v>12460</v>
      </c>
      <c r="AM1168">
        <v>22100</v>
      </c>
      <c r="AN1168" t="s">
        <v>12597</v>
      </c>
      <c r="AS1168">
        <v>13</v>
      </c>
      <c r="AT1168" t="s">
        <v>464</v>
      </c>
      <c r="AU1168" t="s">
        <v>69</v>
      </c>
    </row>
    <row r="1169" spans="1:48">
      <c r="A1169" s="1">
        <f>HYPERLINK("https://cms.ls-nyc.org/matter/dynamic-profile/view/1880980","18-1880980")</f>
        <v>0</v>
      </c>
      <c r="B1169" t="s">
        <v>83</v>
      </c>
      <c r="C1169" t="s">
        <v>357</v>
      </c>
      <c r="D1169" t="s">
        <v>293</v>
      </c>
      <c r="E1169" t="s">
        <v>716</v>
      </c>
      <c r="F1169" t="s">
        <v>2720</v>
      </c>
      <c r="G1169" t="s">
        <v>4403</v>
      </c>
      <c r="H1169" t="s">
        <v>5667</v>
      </c>
      <c r="I1169" t="s">
        <v>6043</v>
      </c>
      <c r="J1169">
        <v>11218</v>
      </c>
      <c r="K1169" t="s">
        <v>6074</v>
      </c>
      <c r="L1169" t="s">
        <v>6074</v>
      </c>
      <c r="M1169" t="s">
        <v>6618</v>
      </c>
      <c r="N1169" t="s">
        <v>7274</v>
      </c>
      <c r="O1169" t="s">
        <v>7308</v>
      </c>
      <c r="P1169" t="s">
        <v>7316</v>
      </c>
      <c r="Q1169" t="s">
        <v>7322</v>
      </c>
      <c r="R1169" t="s">
        <v>6076</v>
      </c>
      <c r="S1169" t="s">
        <v>7324</v>
      </c>
      <c r="T1169" t="s">
        <v>7336</v>
      </c>
      <c r="U1169" t="s">
        <v>357</v>
      </c>
      <c r="V1169">
        <v>990</v>
      </c>
      <c r="W1169" t="s">
        <v>7362</v>
      </c>
      <c r="Y1169" t="s">
        <v>7388</v>
      </c>
      <c r="Z1169" t="s">
        <v>8316</v>
      </c>
      <c r="AB1169" t="s">
        <v>11084</v>
      </c>
      <c r="AC1169">
        <v>138</v>
      </c>
      <c r="AD1169" t="s">
        <v>12422</v>
      </c>
      <c r="AE1169" t="s">
        <v>6110</v>
      </c>
      <c r="AF1169">
        <v>15</v>
      </c>
      <c r="AG1169">
        <v>1</v>
      </c>
      <c r="AH1169">
        <v>0</v>
      </c>
      <c r="AI1169">
        <v>75.12</v>
      </c>
      <c r="AL1169" t="s">
        <v>12460</v>
      </c>
      <c r="AM1169">
        <v>9120</v>
      </c>
      <c r="AP1169" t="s">
        <v>12888</v>
      </c>
      <c r="AQ1169" t="s">
        <v>12909</v>
      </c>
      <c r="AR1169" t="s">
        <v>12941</v>
      </c>
      <c r="AS1169">
        <v>23.6</v>
      </c>
      <c r="AT1169" t="s">
        <v>293</v>
      </c>
      <c r="AU1169" t="s">
        <v>83</v>
      </c>
    </row>
    <row r="1170" spans="1:48">
      <c r="A1170" s="1">
        <f>HYPERLINK("https://cms.ls-nyc.org/matter/dynamic-profile/view/1878126","18-1878126")</f>
        <v>0</v>
      </c>
      <c r="B1170" t="s">
        <v>73</v>
      </c>
      <c r="C1170" t="s">
        <v>255</v>
      </c>
      <c r="D1170" t="s">
        <v>344</v>
      </c>
      <c r="E1170" t="s">
        <v>656</v>
      </c>
      <c r="F1170" t="s">
        <v>2223</v>
      </c>
      <c r="G1170" t="s">
        <v>4404</v>
      </c>
      <c r="H1170" t="s">
        <v>5489</v>
      </c>
      <c r="I1170" t="s">
        <v>6043</v>
      </c>
      <c r="J1170">
        <v>11207</v>
      </c>
      <c r="K1170" t="s">
        <v>6074</v>
      </c>
      <c r="L1170" t="s">
        <v>6074</v>
      </c>
      <c r="M1170" t="s">
        <v>6619</v>
      </c>
      <c r="N1170" t="s">
        <v>7276</v>
      </c>
      <c r="O1170" t="s">
        <v>7308</v>
      </c>
      <c r="P1170" t="s">
        <v>7317</v>
      </c>
      <c r="Q1170" t="s">
        <v>7322</v>
      </c>
      <c r="S1170" t="s">
        <v>7324</v>
      </c>
      <c r="U1170" t="s">
        <v>255</v>
      </c>
      <c r="V1170">
        <v>1250</v>
      </c>
      <c r="W1170" t="s">
        <v>7362</v>
      </c>
      <c r="X1170" t="s">
        <v>7368</v>
      </c>
      <c r="Y1170" t="s">
        <v>7388</v>
      </c>
      <c r="Z1170" t="s">
        <v>8317</v>
      </c>
      <c r="AA1170" t="s">
        <v>9871</v>
      </c>
      <c r="AB1170" t="s">
        <v>11085</v>
      </c>
      <c r="AC1170">
        <v>6</v>
      </c>
      <c r="AD1170" t="s">
        <v>12422</v>
      </c>
      <c r="AE1170" t="s">
        <v>12434</v>
      </c>
      <c r="AF1170">
        <v>4</v>
      </c>
      <c r="AG1170">
        <v>1</v>
      </c>
      <c r="AH1170">
        <v>0</v>
      </c>
      <c r="AI1170">
        <v>75.12</v>
      </c>
      <c r="AL1170" t="s">
        <v>12460</v>
      </c>
      <c r="AM1170">
        <v>9120</v>
      </c>
      <c r="AN1170" t="s">
        <v>12532</v>
      </c>
      <c r="AS1170">
        <v>12.25</v>
      </c>
      <c r="AT1170" t="s">
        <v>431</v>
      </c>
      <c r="AU1170" t="s">
        <v>218</v>
      </c>
    </row>
    <row r="1171" spans="1:48">
      <c r="A1171" s="1">
        <f>HYPERLINK("https://cms.ls-nyc.org/matter/dynamic-profile/view/1881953","18-1881953")</f>
        <v>0</v>
      </c>
      <c r="B1171" t="s">
        <v>131</v>
      </c>
      <c r="C1171" t="s">
        <v>258</v>
      </c>
      <c r="E1171" t="s">
        <v>586</v>
      </c>
      <c r="F1171" t="s">
        <v>2721</v>
      </c>
      <c r="G1171" t="s">
        <v>4405</v>
      </c>
      <c r="H1171" t="s">
        <v>5668</v>
      </c>
      <c r="I1171" t="s">
        <v>6049</v>
      </c>
      <c r="J1171">
        <v>10034</v>
      </c>
      <c r="K1171" t="s">
        <v>6074</v>
      </c>
      <c r="L1171" t="s">
        <v>6074</v>
      </c>
      <c r="N1171" t="s">
        <v>7276</v>
      </c>
      <c r="O1171" t="s">
        <v>7306</v>
      </c>
      <c r="Q1171" t="s">
        <v>7322</v>
      </c>
      <c r="S1171" t="s">
        <v>7324</v>
      </c>
      <c r="U1171" t="s">
        <v>413</v>
      </c>
      <c r="V1171">
        <v>822.3200000000001</v>
      </c>
      <c r="W1171" t="s">
        <v>7365</v>
      </c>
      <c r="X1171" t="s">
        <v>7367</v>
      </c>
      <c r="Z1171" t="s">
        <v>8318</v>
      </c>
      <c r="AB1171" t="s">
        <v>11086</v>
      </c>
      <c r="AC1171">
        <v>35</v>
      </c>
      <c r="AE1171" t="s">
        <v>12434</v>
      </c>
      <c r="AF1171">
        <v>38</v>
      </c>
      <c r="AG1171">
        <v>1</v>
      </c>
      <c r="AH1171">
        <v>0</v>
      </c>
      <c r="AI1171">
        <v>75.12</v>
      </c>
      <c r="AL1171" t="s">
        <v>12461</v>
      </c>
      <c r="AM1171">
        <v>9120</v>
      </c>
      <c r="AS1171">
        <v>0.65</v>
      </c>
      <c r="AT1171" t="s">
        <v>412</v>
      </c>
      <c r="AU1171" t="s">
        <v>13090</v>
      </c>
    </row>
    <row r="1172" spans="1:48">
      <c r="A1172" s="1">
        <f>HYPERLINK("https://cms.ls-nyc.org/matter/dynamic-profile/view/1898121","19-1898121")</f>
        <v>0</v>
      </c>
      <c r="B1172" t="s">
        <v>106</v>
      </c>
      <c r="C1172" t="s">
        <v>362</v>
      </c>
      <c r="E1172" t="s">
        <v>813</v>
      </c>
      <c r="F1172" t="s">
        <v>2722</v>
      </c>
      <c r="G1172" t="s">
        <v>4406</v>
      </c>
      <c r="H1172" t="s">
        <v>5364</v>
      </c>
      <c r="I1172" t="s">
        <v>6047</v>
      </c>
      <c r="J1172">
        <v>10452</v>
      </c>
      <c r="K1172" t="s">
        <v>6074</v>
      </c>
      <c r="L1172" t="s">
        <v>6074</v>
      </c>
      <c r="N1172" t="s">
        <v>7274</v>
      </c>
      <c r="O1172" t="s">
        <v>7306</v>
      </c>
      <c r="Q1172" t="s">
        <v>7322</v>
      </c>
      <c r="R1172" t="s">
        <v>6076</v>
      </c>
      <c r="S1172" t="s">
        <v>7324</v>
      </c>
      <c r="U1172" t="s">
        <v>362</v>
      </c>
      <c r="V1172">
        <v>550</v>
      </c>
      <c r="W1172" t="s">
        <v>7363</v>
      </c>
      <c r="X1172" t="s">
        <v>7376</v>
      </c>
      <c r="Z1172" t="s">
        <v>7749</v>
      </c>
      <c r="AC1172">
        <v>21</v>
      </c>
      <c r="AD1172" t="s">
        <v>12422</v>
      </c>
      <c r="AE1172" t="s">
        <v>12441</v>
      </c>
      <c r="AF1172">
        <v>13</v>
      </c>
      <c r="AG1172">
        <v>1</v>
      </c>
      <c r="AH1172">
        <v>0</v>
      </c>
      <c r="AI1172">
        <v>75.23</v>
      </c>
      <c r="AL1172" t="s">
        <v>12460</v>
      </c>
      <c r="AM1172">
        <v>9396</v>
      </c>
      <c r="AS1172">
        <v>2.7</v>
      </c>
      <c r="AT1172" t="s">
        <v>363</v>
      </c>
      <c r="AU1172" t="s">
        <v>106</v>
      </c>
      <c r="AV1172" t="s">
        <v>13145</v>
      </c>
    </row>
    <row r="1173" spans="1:48">
      <c r="A1173" s="1">
        <f>HYPERLINK("https://cms.ls-nyc.org/matter/dynamic-profile/view/1897501","19-1897501")</f>
        <v>0</v>
      </c>
      <c r="B1173" t="s">
        <v>66</v>
      </c>
      <c r="C1173" t="s">
        <v>280</v>
      </c>
      <c r="E1173" t="s">
        <v>1014</v>
      </c>
      <c r="F1173" t="s">
        <v>2723</v>
      </c>
      <c r="G1173" t="s">
        <v>4407</v>
      </c>
      <c r="H1173" t="s">
        <v>5436</v>
      </c>
      <c r="I1173" t="s">
        <v>6044</v>
      </c>
      <c r="J1173">
        <v>11102</v>
      </c>
      <c r="K1173" t="s">
        <v>6074</v>
      </c>
      <c r="L1173" t="s">
        <v>6074</v>
      </c>
      <c r="M1173" t="s">
        <v>6204</v>
      </c>
      <c r="O1173" t="s">
        <v>7307</v>
      </c>
      <c r="Q1173" t="s">
        <v>7322</v>
      </c>
      <c r="R1173" t="s">
        <v>6076</v>
      </c>
      <c r="S1173" t="s">
        <v>7324</v>
      </c>
      <c r="U1173" t="s">
        <v>280</v>
      </c>
      <c r="V1173">
        <v>1048.94</v>
      </c>
      <c r="W1173" t="s">
        <v>7361</v>
      </c>
      <c r="X1173" t="s">
        <v>7376</v>
      </c>
      <c r="Z1173" t="s">
        <v>8319</v>
      </c>
      <c r="AB1173" t="s">
        <v>11087</v>
      </c>
      <c r="AC1173">
        <v>6</v>
      </c>
      <c r="AD1173" t="s">
        <v>12422</v>
      </c>
      <c r="AE1173" t="s">
        <v>12441</v>
      </c>
      <c r="AF1173">
        <v>30</v>
      </c>
      <c r="AG1173">
        <v>1</v>
      </c>
      <c r="AH1173">
        <v>0</v>
      </c>
      <c r="AI1173">
        <v>75.31999999999999</v>
      </c>
      <c r="AL1173" t="s">
        <v>12460</v>
      </c>
      <c r="AM1173">
        <v>9408</v>
      </c>
      <c r="AS1173">
        <v>0.5</v>
      </c>
      <c r="AT1173" t="s">
        <v>382</v>
      </c>
      <c r="AU1173" t="s">
        <v>64</v>
      </c>
      <c r="AV1173" t="s">
        <v>13145</v>
      </c>
    </row>
    <row r="1174" spans="1:48">
      <c r="A1174" s="1">
        <f>HYPERLINK("https://cms.ls-nyc.org/matter/dynamic-profile/view/1888246","19-1888246")</f>
        <v>0</v>
      </c>
      <c r="B1174" t="s">
        <v>102</v>
      </c>
      <c r="C1174" t="s">
        <v>466</v>
      </c>
      <c r="E1174" t="s">
        <v>1043</v>
      </c>
      <c r="F1174" t="s">
        <v>2724</v>
      </c>
      <c r="G1174" t="s">
        <v>3779</v>
      </c>
      <c r="H1174" t="s">
        <v>5636</v>
      </c>
      <c r="I1174" t="s">
        <v>6047</v>
      </c>
      <c r="J1174">
        <v>10460</v>
      </c>
      <c r="K1174" t="s">
        <v>6074</v>
      </c>
      <c r="L1174" t="s">
        <v>6074</v>
      </c>
      <c r="M1174" t="s">
        <v>6182</v>
      </c>
      <c r="N1174" t="s">
        <v>7273</v>
      </c>
      <c r="O1174" t="s">
        <v>7308</v>
      </c>
      <c r="Q1174" t="s">
        <v>7322</v>
      </c>
      <c r="R1174" t="s">
        <v>6074</v>
      </c>
      <c r="S1174" t="s">
        <v>7324</v>
      </c>
      <c r="U1174" t="s">
        <v>457</v>
      </c>
      <c r="V1174">
        <v>1694</v>
      </c>
      <c r="W1174" t="s">
        <v>7363</v>
      </c>
      <c r="X1174" t="s">
        <v>7376</v>
      </c>
      <c r="Z1174" t="s">
        <v>8320</v>
      </c>
      <c r="AB1174" t="s">
        <v>11088</v>
      </c>
      <c r="AC1174">
        <v>168</v>
      </c>
      <c r="AD1174" t="s">
        <v>12428</v>
      </c>
      <c r="AE1174" t="s">
        <v>12434</v>
      </c>
      <c r="AF1174">
        <v>35</v>
      </c>
      <c r="AG1174">
        <v>1</v>
      </c>
      <c r="AH1174">
        <v>0</v>
      </c>
      <c r="AI1174">
        <v>75.42</v>
      </c>
      <c r="AL1174" t="s">
        <v>12460</v>
      </c>
      <c r="AM1174">
        <v>9156</v>
      </c>
      <c r="AS1174">
        <v>0</v>
      </c>
      <c r="AU1174" t="s">
        <v>13099</v>
      </c>
    </row>
    <row r="1175" spans="1:48">
      <c r="A1175" s="1">
        <f>HYPERLINK("https://cms.ls-nyc.org/matter/dynamic-profile/view/1840397","17-1840397")</f>
        <v>0</v>
      </c>
      <c r="B1175" t="s">
        <v>131</v>
      </c>
      <c r="C1175" t="s">
        <v>487</v>
      </c>
      <c r="D1175" t="s">
        <v>389</v>
      </c>
      <c r="E1175" t="s">
        <v>1104</v>
      </c>
      <c r="F1175" t="s">
        <v>2337</v>
      </c>
      <c r="G1175" t="s">
        <v>4408</v>
      </c>
      <c r="H1175">
        <v>41</v>
      </c>
      <c r="I1175" t="s">
        <v>6049</v>
      </c>
      <c r="J1175">
        <v>10033</v>
      </c>
      <c r="K1175" t="s">
        <v>6074</v>
      </c>
      <c r="L1175" t="s">
        <v>6074</v>
      </c>
      <c r="M1175" t="s">
        <v>6620</v>
      </c>
      <c r="N1175" t="s">
        <v>7282</v>
      </c>
      <c r="O1175" t="s">
        <v>7308</v>
      </c>
      <c r="P1175" t="s">
        <v>7316</v>
      </c>
      <c r="Q1175" t="s">
        <v>7322</v>
      </c>
      <c r="R1175" t="s">
        <v>6074</v>
      </c>
      <c r="S1175" t="s">
        <v>7324</v>
      </c>
      <c r="U1175" t="s">
        <v>7344</v>
      </c>
      <c r="V1175">
        <v>817.79</v>
      </c>
      <c r="W1175" t="s">
        <v>7365</v>
      </c>
      <c r="X1175" t="s">
        <v>7367</v>
      </c>
      <c r="Y1175" t="s">
        <v>7390</v>
      </c>
      <c r="Z1175" t="s">
        <v>8321</v>
      </c>
      <c r="AB1175" t="s">
        <v>11089</v>
      </c>
      <c r="AC1175">
        <v>33</v>
      </c>
      <c r="AD1175" t="s">
        <v>12422</v>
      </c>
      <c r="AE1175" t="s">
        <v>12434</v>
      </c>
      <c r="AF1175">
        <v>41</v>
      </c>
      <c r="AG1175">
        <v>1</v>
      </c>
      <c r="AH1175">
        <v>0</v>
      </c>
      <c r="AI1175">
        <v>75.42</v>
      </c>
      <c r="AL1175" t="s">
        <v>12460</v>
      </c>
      <c r="AM1175">
        <v>9096</v>
      </c>
      <c r="AS1175">
        <v>0.65</v>
      </c>
      <c r="AT1175" t="s">
        <v>389</v>
      </c>
      <c r="AU1175" t="s">
        <v>13106</v>
      </c>
    </row>
    <row r="1176" spans="1:48">
      <c r="A1176" s="1">
        <f>HYPERLINK("https://cms.ls-nyc.org/matter/dynamic-profile/view/1895203","19-1895203")</f>
        <v>0</v>
      </c>
      <c r="B1176" t="s">
        <v>117</v>
      </c>
      <c r="C1176" t="s">
        <v>302</v>
      </c>
      <c r="E1176" t="s">
        <v>1273</v>
      </c>
      <c r="F1176" t="s">
        <v>2725</v>
      </c>
      <c r="G1176" t="s">
        <v>4409</v>
      </c>
      <c r="H1176" t="s">
        <v>5456</v>
      </c>
      <c r="I1176" t="s">
        <v>6048</v>
      </c>
      <c r="J1176">
        <v>10301</v>
      </c>
      <c r="K1176" t="s">
        <v>6074</v>
      </c>
      <c r="L1176" t="s">
        <v>6074</v>
      </c>
      <c r="M1176" t="s">
        <v>6621</v>
      </c>
      <c r="N1176" t="s">
        <v>7274</v>
      </c>
      <c r="O1176" t="s">
        <v>7308</v>
      </c>
      <c r="Q1176" t="s">
        <v>7322</v>
      </c>
      <c r="R1176" t="s">
        <v>6076</v>
      </c>
      <c r="S1176" t="s">
        <v>7324</v>
      </c>
      <c r="T1176" t="s">
        <v>7339</v>
      </c>
      <c r="U1176" t="s">
        <v>302</v>
      </c>
      <c r="V1176">
        <v>1500</v>
      </c>
      <c r="W1176" t="s">
        <v>7364</v>
      </c>
      <c r="X1176" t="s">
        <v>7373</v>
      </c>
      <c r="Z1176" t="s">
        <v>8322</v>
      </c>
      <c r="AB1176" t="s">
        <v>11090</v>
      </c>
      <c r="AC1176">
        <v>2</v>
      </c>
      <c r="AD1176" t="s">
        <v>12419</v>
      </c>
      <c r="AE1176" t="s">
        <v>12435</v>
      </c>
      <c r="AF1176">
        <v>4</v>
      </c>
      <c r="AG1176">
        <v>4</v>
      </c>
      <c r="AH1176">
        <v>0</v>
      </c>
      <c r="AI1176">
        <v>75.7</v>
      </c>
      <c r="AM1176">
        <v>19492</v>
      </c>
      <c r="AS1176">
        <v>11.2</v>
      </c>
      <c r="AT1176" t="s">
        <v>324</v>
      </c>
      <c r="AU1176" t="s">
        <v>13101</v>
      </c>
    </row>
    <row r="1177" spans="1:48">
      <c r="A1177" s="1">
        <f>HYPERLINK("https://cms.ls-nyc.org/matter/dynamic-profile/view/1870468","18-1870468")</f>
        <v>0</v>
      </c>
      <c r="B1177" t="s">
        <v>126</v>
      </c>
      <c r="C1177" t="s">
        <v>488</v>
      </c>
      <c r="E1177" t="s">
        <v>1274</v>
      </c>
      <c r="F1177" t="s">
        <v>2726</v>
      </c>
      <c r="G1177" t="s">
        <v>4410</v>
      </c>
      <c r="H1177" t="s">
        <v>5357</v>
      </c>
      <c r="I1177" t="s">
        <v>6049</v>
      </c>
      <c r="J1177">
        <v>10029</v>
      </c>
      <c r="K1177" t="s">
        <v>6074</v>
      </c>
      <c r="L1177" t="s">
        <v>6074</v>
      </c>
      <c r="M1177" t="s">
        <v>6622</v>
      </c>
      <c r="N1177" t="s">
        <v>7276</v>
      </c>
      <c r="O1177" t="s">
        <v>7308</v>
      </c>
      <c r="Q1177" t="s">
        <v>7322</v>
      </c>
      <c r="R1177" t="s">
        <v>6076</v>
      </c>
      <c r="S1177" t="s">
        <v>7324</v>
      </c>
      <c r="T1177" t="s">
        <v>7336</v>
      </c>
      <c r="U1177" t="s">
        <v>368</v>
      </c>
      <c r="V1177">
        <v>986</v>
      </c>
      <c r="W1177" t="s">
        <v>7365</v>
      </c>
      <c r="X1177" t="s">
        <v>7366</v>
      </c>
      <c r="Z1177" t="s">
        <v>8323</v>
      </c>
      <c r="AB1177" t="s">
        <v>11091</v>
      </c>
      <c r="AC1177">
        <v>24</v>
      </c>
      <c r="AD1177" t="s">
        <v>12421</v>
      </c>
      <c r="AE1177" t="s">
        <v>6110</v>
      </c>
      <c r="AF1177">
        <v>1</v>
      </c>
      <c r="AG1177">
        <v>2</v>
      </c>
      <c r="AH1177">
        <v>2</v>
      </c>
      <c r="AI1177">
        <v>75.7</v>
      </c>
      <c r="AL1177" t="s">
        <v>12461</v>
      </c>
      <c r="AM1177">
        <v>19000</v>
      </c>
      <c r="AS1177">
        <v>25.95</v>
      </c>
      <c r="AT1177" t="s">
        <v>254</v>
      </c>
      <c r="AU1177" t="s">
        <v>13111</v>
      </c>
    </row>
    <row r="1178" spans="1:48">
      <c r="A1178" s="1">
        <f>HYPERLINK("https://cms.ls-nyc.org/matter/dynamic-profile/view/1871867","18-1871867")</f>
        <v>0</v>
      </c>
      <c r="B1178" t="s">
        <v>59</v>
      </c>
      <c r="C1178" t="s">
        <v>475</v>
      </c>
      <c r="D1178" t="s">
        <v>496</v>
      </c>
      <c r="E1178" t="s">
        <v>642</v>
      </c>
      <c r="F1178" t="s">
        <v>2727</v>
      </c>
      <c r="G1178" t="s">
        <v>4411</v>
      </c>
      <c r="H1178" t="s">
        <v>5436</v>
      </c>
      <c r="I1178" t="s">
        <v>6026</v>
      </c>
      <c r="J1178">
        <v>11432</v>
      </c>
      <c r="K1178" t="s">
        <v>6074</v>
      </c>
      <c r="L1178" t="s">
        <v>6074</v>
      </c>
      <c r="M1178" t="s">
        <v>6170</v>
      </c>
      <c r="N1178" t="s">
        <v>7285</v>
      </c>
      <c r="O1178" t="s">
        <v>7311</v>
      </c>
      <c r="P1178" t="s">
        <v>7315</v>
      </c>
      <c r="Q1178" t="s">
        <v>7322</v>
      </c>
      <c r="R1178" t="s">
        <v>6076</v>
      </c>
      <c r="S1178" t="s">
        <v>7324</v>
      </c>
      <c r="T1178" t="s">
        <v>7336</v>
      </c>
      <c r="U1178" t="s">
        <v>475</v>
      </c>
      <c r="V1178">
        <v>1150</v>
      </c>
      <c r="W1178" t="s">
        <v>7361</v>
      </c>
      <c r="X1178" t="s">
        <v>7376</v>
      </c>
      <c r="Y1178" t="s">
        <v>7390</v>
      </c>
      <c r="Z1178" t="s">
        <v>8324</v>
      </c>
      <c r="AA1178" t="s">
        <v>10119</v>
      </c>
      <c r="AB1178" t="s">
        <v>11092</v>
      </c>
      <c r="AC1178">
        <v>6</v>
      </c>
      <c r="AD1178" t="s">
        <v>12422</v>
      </c>
      <c r="AE1178" t="s">
        <v>6110</v>
      </c>
      <c r="AF1178">
        <v>10</v>
      </c>
      <c r="AG1178">
        <v>1</v>
      </c>
      <c r="AH1178">
        <v>0</v>
      </c>
      <c r="AI1178">
        <v>75.72</v>
      </c>
      <c r="AL1178" t="s">
        <v>12461</v>
      </c>
      <c r="AM1178">
        <v>9192</v>
      </c>
      <c r="AP1178" t="s">
        <v>12883</v>
      </c>
      <c r="AR1178" t="s">
        <v>12998</v>
      </c>
      <c r="AS1178">
        <v>2.95</v>
      </c>
      <c r="AT1178" t="s">
        <v>260</v>
      </c>
      <c r="AU1178" t="s">
        <v>189</v>
      </c>
    </row>
    <row r="1179" spans="1:48">
      <c r="A1179" s="1">
        <f>HYPERLINK("https://cms.ls-nyc.org/matter/dynamic-profile/view/1879972","18-1879972")</f>
        <v>0</v>
      </c>
      <c r="B1179" t="s">
        <v>67</v>
      </c>
      <c r="C1179" t="s">
        <v>271</v>
      </c>
      <c r="D1179" t="s">
        <v>354</v>
      </c>
      <c r="E1179" t="s">
        <v>772</v>
      </c>
      <c r="F1179" t="s">
        <v>2728</v>
      </c>
      <c r="G1179" t="s">
        <v>4412</v>
      </c>
      <c r="H1179" t="s">
        <v>5376</v>
      </c>
      <c r="I1179" t="s">
        <v>6044</v>
      </c>
      <c r="J1179">
        <v>11101</v>
      </c>
      <c r="K1179" t="s">
        <v>6074</v>
      </c>
      <c r="L1179" t="s">
        <v>6074</v>
      </c>
      <c r="M1179" t="s">
        <v>6204</v>
      </c>
      <c r="N1179" t="s">
        <v>6104</v>
      </c>
      <c r="O1179" t="s">
        <v>7306</v>
      </c>
      <c r="P1179" t="s">
        <v>7314</v>
      </c>
      <c r="Q1179" t="s">
        <v>7323</v>
      </c>
      <c r="R1179" t="s">
        <v>6076</v>
      </c>
      <c r="S1179" t="s">
        <v>7324</v>
      </c>
      <c r="T1179" t="s">
        <v>7336</v>
      </c>
      <c r="U1179" t="s">
        <v>354</v>
      </c>
      <c r="V1179">
        <v>0</v>
      </c>
      <c r="W1179" t="s">
        <v>7361</v>
      </c>
      <c r="X1179" t="s">
        <v>7369</v>
      </c>
      <c r="Y1179" t="s">
        <v>7386</v>
      </c>
      <c r="Z1179" t="s">
        <v>8325</v>
      </c>
      <c r="AB1179" t="s">
        <v>11093</v>
      </c>
      <c r="AC1179">
        <v>7</v>
      </c>
      <c r="AD1179" t="s">
        <v>6322</v>
      </c>
      <c r="AE1179" t="s">
        <v>6110</v>
      </c>
      <c r="AF1179">
        <v>2</v>
      </c>
      <c r="AG1179">
        <v>1</v>
      </c>
      <c r="AH1179">
        <v>0</v>
      </c>
      <c r="AI1179">
        <v>75.81999999999999</v>
      </c>
      <c r="AJ1179" t="s">
        <v>12443</v>
      </c>
      <c r="AK1179" t="s">
        <v>12455</v>
      </c>
      <c r="AL1179" t="s">
        <v>12460</v>
      </c>
      <c r="AM1179">
        <v>9204</v>
      </c>
      <c r="AS1179">
        <v>4.07</v>
      </c>
      <c r="AT1179" t="s">
        <v>462</v>
      </c>
      <c r="AU1179" t="s">
        <v>189</v>
      </c>
    </row>
    <row r="1180" spans="1:48">
      <c r="A1180" s="1">
        <f>HYPERLINK("https://cms.ls-nyc.org/matter/dynamic-profile/view/1884730","18-1884730")</f>
        <v>0</v>
      </c>
      <c r="B1180" t="s">
        <v>98</v>
      </c>
      <c r="C1180" t="s">
        <v>413</v>
      </c>
      <c r="E1180" t="s">
        <v>1240</v>
      </c>
      <c r="F1180" t="s">
        <v>2059</v>
      </c>
      <c r="G1180" t="s">
        <v>3786</v>
      </c>
      <c r="H1180" t="s">
        <v>5645</v>
      </c>
      <c r="I1180" t="s">
        <v>6047</v>
      </c>
      <c r="J1180">
        <v>10457</v>
      </c>
      <c r="K1180" t="s">
        <v>6074</v>
      </c>
      <c r="L1180" t="s">
        <v>6074</v>
      </c>
      <c r="M1180" t="s">
        <v>6191</v>
      </c>
      <c r="N1180" t="s">
        <v>7273</v>
      </c>
      <c r="O1180" t="s">
        <v>7308</v>
      </c>
      <c r="Q1180" t="s">
        <v>7322</v>
      </c>
      <c r="R1180" t="s">
        <v>6074</v>
      </c>
      <c r="S1180" t="s">
        <v>7324</v>
      </c>
      <c r="U1180" t="s">
        <v>472</v>
      </c>
      <c r="V1180">
        <v>385</v>
      </c>
      <c r="W1180" t="s">
        <v>7363</v>
      </c>
      <c r="X1180" t="s">
        <v>7376</v>
      </c>
      <c r="Z1180" t="s">
        <v>8260</v>
      </c>
      <c r="AB1180" t="s">
        <v>11031</v>
      </c>
      <c r="AC1180">
        <v>47</v>
      </c>
      <c r="AD1180" t="s">
        <v>12422</v>
      </c>
      <c r="AE1180" t="s">
        <v>12434</v>
      </c>
      <c r="AF1180">
        <v>5</v>
      </c>
      <c r="AG1180">
        <v>1</v>
      </c>
      <c r="AH1180">
        <v>0</v>
      </c>
      <c r="AI1180">
        <v>75.81999999999999</v>
      </c>
      <c r="AL1180" t="s">
        <v>12461</v>
      </c>
      <c r="AM1180">
        <v>9204</v>
      </c>
      <c r="AS1180">
        <v>2.2</v>
      </c>
      <c r="AT1180" t="s">
        <v>254</v>
      </c>
      <c r="AU1180" t="s">
        <v>13092</v>
      </c>
    </row>
    <row r="1181" spans="1:48">
      <c r="A1181" s="1">
        <f>HYPERLINK("https://cms.ls-nyc.org/matter/dynamic-profile/view/1884739","18-1884739")</f>
        <v>0</v>
      </c>
      <c r="B1181" t="s">
        <v>98</v>
      </c>
      <c r="C1181" t="s">
        <v>413</v>
      </c>
      <c r="E1181" t="s">
        <v>1240</v>
      </c>
      <c r="F1181" t="s">
        <v>2059</v>
      </c>
      <c r="G1181" t="s">
        <v>3786</v>
      </c>
      <c r="H1181" t="s">
        <v>5645</v>
      </c>
      <c r="I1181" t="s">
        <v>6047</v>
      </c>
      <c r="J1181">
        <v>10457</v>
      </c>
      <c r="K1181" t="s">
        <v>6074</v>
      </c>
      <c r="L1181" t="s">
        <v>6074</v>
      </c>
      <c r="N1181" t="s">
        <v>7288</v>
      </c>
      <c r="O1181" t="s">
        <v>7307</v>
      </c>
      <c r="Q1181" t="s">
        <v>7322</v>
      </c>
      <c r="R1181" t="s">
        <v>6076</v>
      </c>
      <c r="S1181" t="s">
        <v>7331</v>
      </c>
      <c r="U1181" t="s">
        <v>413</v>
      </c>
      <c r="V1181">
        <v>227</v>
      </c>
      <c r="W1181" t="s">
        <v>7363</v>
      </c>
      <c r="X1181" t="s">
        <v>7368</v>
      </c>
      <c r="Z1181" t="s">
        <v>8260</v>
      </c>
      <c r="AB1181" t="s">
        <v>11031</v>
      </c>
      <c r="AC1181">
        <v>47</v>
      </c>
      <c r="AD1181" t="s">
        <v>12422</v>
      </c>
      <c r="AE1181" t="s">
        <v>12434</v>
      </c>
      <c r="AF1181">
        <v>25</v>
      </c>
      <c r="AG1181">
        <v>1</v>
      </c>
      <c r="AH1181">
        <v>0</v>
      </c>
      <c r="AI1181">
        <v>75.81999999999999</v>
      </c>
      <c r="AL1181" t="s">
        <v>12461</v>
      </c>
      <c r="AM1181">
        <v>9204</v>
      </c>
      <c r="AN1181" t="s">
        <v>12598</v>
      </c>
      <c r="AS1181">
        <v>1</v>
      </c>
      <c r="AT1181" t="s">
        <v>362</v>
      </c>
      <c r="AU1181" t="s">
        <v>13092</v>
      </c>
    </row>
    <row r="1182" spans="1:48">
      <c r="A1182" s="1">
        <f>HYPERLINK("https://cms.ls-nyc.org/matter/dynamic-profile/view/1889389","19-1889389")</f>
        <v>0</v>
      </c>
      <c r="B1182" t="s">
        <v>96</v>
      </c>
      <c r="C1182" t="s">
        <v>261</v>
      </c>
      <c r="E1182" t="s">
        <v>1256</v>
      </c>
      <c r="F1182" t="s">
        <v>2729</v>
      </c>
      <c r="G1182" t="s">
        <v>4152</v>
      </c>
      <c r="H1182" t="s">
        <v>5625</v>
      </c>
      <c r="I1182" t="s">
        <v>6047</v>
      </c>
      <c r="J1182">
        <v>10456</v>
      </c>
      <c r="K1182" t="s">
        <v>6074</v>
      </c>
      <c r="L1182" t="s">
        <v>6074</v>
      </c>
      <c r="M1182" t="s">
        <v>6623</v>
      </c>
      <c r="N1182" t="s">
        <v>7279</v>
      </c>
      <c r="O1182" t="s">
        <v>7311</v>
      </c>
      <c r="Q1182" t="s">
        <v>7322</v>
      </c>
      <c r="R1182" t="s">
        <v>6074</v>
      </c>
      <c r="S1182" t="s">
        <v>7324</v>
      </c>
      <c r="U1182" t="s">
        <v>424</v>
      </c>
      <c r="V1182">
        <v>1119.98</v>
      </c>
      <c r="W1182" t="s">
        <v>7363</v>
      </c>
      <c r="X1182" t="s">
        <v>7376</v>
      </c>
      <c r="Z1182" t="s">
        <v>8326</v>
      </c>
      <c r="AB1182" t="s">
        <v>11094</v>
      </c>
      <c r="AC1182">
        <v>61</v>
      </c>
      <c r="AD1182" t="s">
        <v>12422</v>
      </c>
      <c r="AE1182" t="s">
        <v>6110</v>
      </c>
      <c r="AF1182">
        <v>43</v>
      </c>
      <c r="AG1182">
        <v>2</v>
      </c>
      <c r="AH1182">
        <v>0</v>
      </c>
      <c r="AI1182">
        <v>75.86</v>
      </c>
      <c r="AL1182" t="s">
        <v>12461</v>
      </c>
      <c r="AM1182">
        <v>12828</v>
      </c>
      <c r="AS1182">
        <v>0</v>
      </c>
      <c r="AU1182" t="s">
        <v>13095</v>
      </c>
    </row>
    <row r="1183" spans="1:48">
      <c r="A1183" s="1">
        <f>HYPERLINK("https://cms.ls-nyc.org/matter/dynamic-profile/view/1898229","19-1898229")</f>
        <v>0</v>
      </c>
      <c r="B1183" t="s">
        <v>52</v>
      </c>
      <c r="C1183" t="s">
        <v>343</v>
      </c>
      <c r="E1183" t="s">
        <v>987</v>
      </c>
      <c r="F1183" t="s">
        <v>2730</v>
      </c>
      <c r="G1183" t="s">
        <v>4413</v>
      </c>
      <c r="H1183">
        <v>404</v>
      </c>
      <c r="I1183" t="s">
        <v>6040</v>
      </c>
      <c r="J1183">
        <v>11354</v>
      </c>
      <c r="K1183" t="s">
        <v>6074</v>
      </c>
      <c r="L1183" t="s">
        <v>6074</v>
      </c>
      <c r="M1183" t="s">
        <v>6624</v>
      </c>
      <c r="N1183" t="s">
        <v>7276</v>
      </c>
      <c r="O1183" t="s">
        <v>7308</v>
      </c>
      <c r="Q1183" t="s">
        <v>7322</v>
      </c>
      <c r="R1183" t="s">
        <v>6076</v>
      </c>
      <c r="S1183" t="s">
        <v>7324</v>
      </c>
      <c r="T1183" t="s">
        <v>7336</v>
      </c>
      <c r="U1183" t="s">
        <v>343</v>
      </c>
      <c r="V1183">
        <v>1355.8</v>
      </c>
      <c r="W1183" t="s">
        <v>7361</v>
      </c>
      <c r="X1183" t="s">
        <v>7305</v>
      </c>
      <c r="Z1183" t="s">
        <v>8327</v>
      </c>
      <c r="AB1183" t="s">
        <v>11095</v>
      </c>
      <c r="AC1183">
        <v>130</v>
      </c>
      <c r="AD1183" t="s">
        <v>12422</v>
      </c>
      <c r="AE1183" t="s">
        <v>12441</v>
      </c>
      <c r="AF1183">
        <v>20</v>
      </c>
      <c r="AG1183">
        <v>1</v>
      </c>
      <c r="AH1183">
        <v>0</v>
      </c>
      <c r="AI1183">
        <v>75.90000000000001</v>
      </c>
      <c r="AL1183" t="s">
        <v>12460</v>
      </c>
      <c r="AM1183">
        <v>9480</v>
      </c>
      <c r="AO1183" t="s">
        <v>12846</v>
      </c>
      <c r="AP1183" t="s">
        <v>12858</v>
      </c>
      <c r="AQ1183" t="s">
        <v>12909</v>
      </c>
      <c r="AR1183" t="s">
        <v>12999</v>
      </c>
      <c r="AS1183">
        <v>2.8</v>
      </c>
      <c r="AT1183" t="s">
        <v>260</v>
      </c>
      <c r="AU1183" t="s">
        <v>52</v>
      </c>
      <c r="AV1183" t="s">
        <v>13145</v>
      </c>
    </row>
    <row r="1184" spans="1:48">
      <c r="A1184" s="1">
        <f>HYPERLINK("https://cms.ls-nyc.org/matter/dynamic-profile/view/1891776","19-1891776")</f>
        <v>0</v>
      </c>
      <c r="B1184" t="s">
        <v>107</v>
      </c>
      <c r="C1184" t="s">
        <v>318</v>
      </c>
      <c r="E1184" t="s">
        <v>586</v>
      </c>
      <c r="F1184" t="s">
        <v>2731</v>
      </c>
      <c r="G1184" t="s">
        <v>3793</v>
      </c>
      <c r="H1184" t="s">
        <v>5439</v>
      </c>
      <c r="I1184" t="s">
        <v>6047</v>
      </c>
      <c r="J1184">
        <v>10453</v>
      </c>
      <c r="K1184" t="s">
        <v>6074</v>
      </c>
      <c r="L1184" t="s">
        <v>6074</v>
      </c>
      <c r="N1184" t="s">
        <v>7279</v>
      </c>
      <c r="O1184" t="s">
        <v>7311</v>
      </c>
      <c r="Q1184" t="s">
        <v>7322</v>
      </c>
      <c r="R1184" t="s">
        <v>6074</v>
      </c>
      <c r="S1184" t="s">
        <v>7324</v>
      </c>
      <c r="U1184" t="s">
        <v>457</v>
      </c>
      <c r="V1184">
        <v>1060</v>
      </c>
      <c r="W1184" t="s">
        <v>7363</v>
      </c>
      <c r="X1184" t="s">
        <v>7376</v>
      </c>
      <c r="Z1184" t="s">
        <v>8328</v>
      </c>
      <c r="AB1184" t="s">
        <v>11096</v>
      </c>
      <c r="AC1184">
        <v>49</v>
      </c>
      <c r="AD1184" t="s">
        <v>12422</v>
      </c>
      <c r="AE1184" t="s">
        <v>6110</v>
      </c>
      <c r="AF1184">
        <v>16</v>
      </c>
      <c r="AG1184">
        <v>1</v>
      </c>
      <c r="AH1184">
        <v>0</v>
      </c>
      <c r="AI1184">
        <v>75.90000000000001</v>
      </c>
      <c r="AL1184" t="s">
        <v>12460</v>
      </c>
      <c r="AM1184">
        <v>9480</v>
      </c>
      <c r="AS1184">
        <v>1.9</v>
      </c>
      <c r="AT1184" t="s">
        <v>313</v>
      </c>
      <c r="AU1184" t="s">
        <v>13099</v>
      </c>
    </row>
    <row r="1185" spans="1:48">
      <c r="A1185" s="1">
        <f>HYPERLINK("https://cms.ls-nyc.org/matter/dynamic-profile/view/1891759","19-1891759")</f>
        <v>0</v>
      </c>
      <c r="B1185" t="s">
        <v>107</v>
      </c>
      <c r="C1185" t="s">
        <v>318</v>
      </c>
      <c r="E1185" t="s">
        <v>586</v>
      </c>
      <c r="F1185" t="s">
        <v>2731</v>
      </c>
      <c r="G1185" t="s">
        <v>3793</v>
      </c>
      <c r="H1185" t="s">
        <v>5439</v>
      </c>
      <c r="I1185" t="s">
        <v>6047</v>
      </c>
      <c r="J1185">
        <v>10453</v>
      </c>
      <c r="K1185" t="s">
        <v>6074</v>
      </c>
      <c r="L1185" t="s">
        <v>6074</v>
      </c>
      <c r="M1185" t="s">
        <v>6194</v>
      </c>
      <c r="N1185" t="s">
        <v>7273</v>
      </c>
      <c r="O1185" t="s">
        <v>7308</v>
      </c>
      <c r="Q1185" t="s">
        <v>7322</v>
      </c>
      <c r="R1185" t="s">
        <v>6074</v>
      </c>
      <c r="S1185" t="s">
        <v>7324</v>
      </c>
      <c r="U1185" t="s">
        <v>457</v>
      </c>
      <c r="V1185">
        <v>1060</v>
      </c>
      <c r="W1185" t="s">
        <v>7363</v>
      </c>
      <c r="X1185" t="s">
        <v>7376</v>
      </c>
      <c r="Z1185" t="s">
        <v>8328</v>
      </c>
      <c r="AB1185" t="s">
        <v>11096</v>
      </c>
      <c r="AC1185">
        <v>49</v>
      </c>
      <c r="AD1185" t="s">
        <v>12422</v>
      </c>
      <c r="AE1185" t="s">
        <v>6110</v>
      </c>
      <c r="AF1185">
        <v>16</v>
      </c>
      <c r="AG1185">
        <v>1</v>
      </c>
      <c r="AH1185">
        <v>0</v>
      </c>
      <c r="AI1185">
        <v>75.90000000000001</v>
      </c>
      <c r="AL1185" t="s">
        <v>12460</v>
      </c>
      <c r="AM1185">
        <v>9480</v>
      </c>
      <c r="AS1185">
        <v>0</v>
      </c>
      <c r="AU1185" t="s">
        <v>13099</v>
      </c>
    </row>
    <row r="1186" spans="1:48">
      <c r="A1186" s="1">
        <f>HYPERLINK("https://cms.ls-nyc.org/matter/dynamic-profile/view/1884790","18-1884790")</f>
        <v>0</v>
      </c>
      <c r="B1186" t="s">
        <v>98</v>
      </c>
      <c r="C1186" t="s">
        <v>434</v>
      </c>
      <c r="D1186" t="s">
        <v>346</v>
      </c>
      <c r="E1186" t="s">
        <v>1275</v>
      </c>
      <c r="F1186" t="s">
        <v>2732</v>
      </c>
      <c r="G1186" t="s">
        <v>4414</v>
      </c>
      <c r="H1186" t="s">
        <v>5355</v>
      </c>
      <c r="I1186" t="s">
        <v>6047</v>
      </c>
      <c r="J1186">
        <v>10453</v>
      </c>
      <c r="K1186" t="s">
        <v>6074</v>
      </c>
      <c r="L1186" t="s">
        <v>6074</v>
      </c>
      <c r="M1186" t="s">
        <v>6625</v>
      </c>
      <c r="N1186" t="s">
        <v>7276</v>
      </c>
      <c r="O1186" t="s">
        <v>7307</v>
      </c>
      <c r="P1186" t="s">
        <v>7314</v>
      </c>
      <c r="Q1186" t="s">
        <v>7322</v>
      </c>
      <c r="R1186" t="s">
        <v>6076</v>
      </c>
      <c r="S1186" t="s">
        <v>7324</v>
      </c>
      <c r="T1186" t="s">
        <v>7340</v>
      </c>
      <c r="U1186" t="s">
        <v>389</v>
      </c>
      <c r="V1186">
        <v>744</v>
      </c>
      <c r="W1186" t="s">
        <v>7363</v>
      </c>
      <c r="Y1186" t="s">
        <v>7386</v>
      </c>
      <c r="Z1186" t="s">
        <v>8329</v>
      </c>
      <c r="AB1186" t="s">
        <v>11097</v>
      </c>
      <c r="AC1186">
        <v>0</v>
      </c>
      <c r="AD1186" t="s">
        <v>12422</v>
      </c>
      <c r="AE1186" t="s">
        <v>12441</v>
      </c>
      <c r="AF1186">
        <v>25</v>
      </c>
      <c r="AG1186">
        <v>1</v>
      </c>
      <c r="AH1186">
        <v>0</v>
      </c>
      <c r="AI1186">
        <v>75.91</v>
      </c>
      <c r="AL1186" t="s">
        <v>12460</v>
      </c>
      <c r="AM1186">
        <v>9216</v>
      </c>
      <c r="AS1186">
        <v>1.9</v>
      </c>
      <c r="AT1186" t="s">
        <v>389</v>
      </c>
      <c r="AU1186" t="s">
        <v>13090</v>
      </c>
    </row>
    <row r="1187" spans="1:48">
      <c r="A1187" s="1">
        <f>HYPERLINK("https://cms.ls-nyc.org/matter/dynamic-profile/view/1880103","18-1880103")</f>
        <v>0</v>
      </c>
      <c r="B1187" t="s">
        <v>125</v>
      </c>
      <c r="C1187" t="s">
        <v>245</v>
      </c>
      <c r="E1187" t="s">
        <v>1174</v>
      </c>
      <c r="F1187" t="s">
        <v>2733</v>
      </c>
      <c r="G1187" t="s">
        <v>4415</v>
      </c>
      <c r="H1187">
        <v>27</v>
      </c>
      <c r="I1187" t="s">
        <v>6049</v>
      </c>
      <c r="J1187">
        <v>10034</v>
      </c>
      <c r="K1187" t="s">
        <v>6074</v>
      </c>
      <c r="L1187" t="s">
        <v>6074</v>
      </c>
      <c r="O1187" t="s">
        <v>7308</v>
      </c>
      <c r="Q1187" t="s">
        <v>7322</v>
      </c>
      <c r="R1187" t="s">
        <v>6076</v>
      </c>
      <c r="S1187" t="s">
        <v>7324</v>
      </c>
      <c r="U1187" t="s">
        <v>245</v>
      </c>
      <c r="V1187">
        <v>1200.41</v>
      </c>
      <c r="W1187" t="s">
        <v>7365</v>
      </c>
      <c r="X1187" t="s">
        <v>7367</v>
      </c>
      <c r="Z1187" t="s">
        <v>8330</v>
      </c>
      <c r="AB1187" t="s">
        <v>11098</v>
      </c>
      <c r="AC1187">
        <v>41</v>
      </c>
      <c r="AD1187" t="s">
        <v>12422</v>
      </c>
      <c r="AE1187" t="s">
        <v>12441</v>
      </c>
      <c r="AF1187">
        <v>9</v>
      </c>
      <c r="AG1187">
        <v>1</v>
      </c>
      <c r="AH1187">
        <v>0</v>
      </c>
      <c r="AI1187">
        <v>75.91</v>
      </c>
      <c r="AL1187" t="s">
        <v>12461</v>
      </c>
      <c r="AM1187">
        <v>9216</v>
      </c>
      <c r="AS1187">
        <v>54.35</v>
      </c>
      <c r="AT1187" t="s">
        <v>423</v>
      </c>
      <c r="AU1187" t="s">
        <v>13106</v>
      </c>
    </row>
    <row r="1188" spans="1:48">
      <c r="A1188" s="1">
        <f>HYPERLINK("https://cms.ls-nyc.org/matter/dynamic-profile/view/1864902","18-1864902")</f>
        <v>0</v>
      </c>
      <c r="B1188" t="s">
        <v>82</v>
      </c>
      <c r="C1188" t="s">
        <v>486</v>
      </c>
      <c r="E1188" t="s">
        <v>1142</v>
      </c>
      <c r="F1188" t="s">
        <v>1017</v>
      </c>
      <c r="G1188" t="s">
        <v>4397</v>
      </c>
      <c r="H1188" t="s">
        <v>5669</v>
      </c>
      <c r="I1188" t="s">
        <v>6043</v>
      </c>
      <c r="J1188">
        <v>11226</v>
      </c>
      <c r="K1188" t="s">
        <v>6074</v>
      </c>
      <c r="L1188" t="s">
        <v>6074</v>
      </c>
      <c r="N1188" t="s">
        <v>7278</v>
      </c>
      <c r="O1188" t="s">
        <v>7309</v>
      </c>
      <c r="Q1188" t="s">
        <v>7322</v>
      </c>
      <c r="R1188" t="s">
        <v>6074</v>
      </c>
      <c r="S1188" t="s">
        <v>7324</v>
      </c>
      <c r="U1188" t="s">
        <v>240</v>
      </c>
      <c r="V1188">
        <v>915</v>
      </c>
      <c r="W1188" t="s">
        <v>7362</v>
      </c>
      <c r="X1188" t="s">
        <v>7376</v>
      </c>
      <c r="Z1188" t="s">
        <v>8331</v>
      </c>
      <c r="AB1188" t="s">
        <v>11099</v>
      </c>
      <c r="AC1188">
        <v>6</v>
      </c>
      <c r="AD1188" t="s">
        <v>12422</v>
      </c>
      <c r="AE1188" t="s">
        <v>6110</v>
      </c>
      <c r="AF1188">
        <v>9</v>
      </c>
      <c r="AG1188">
        <v>2</v>
      </c>
      <c r="AH1188">
        <v>0</v>
      </c>
      <c r="AI1188">
        <v>75.94</v>
      </c>
      <c r="AL1188" t="s">
        <v>12460</v>
      </c>
      <c r="AM1188">
        <v>12500</v>
      </c>
      <c r="AS1188">
        <v>2.75</v>
      </c>
      <c r="AT1188" t="s">
        <v>477</v>
      </c>
      <c r="AU1188" t="s">
        <v>13087</v>
      </c>
    </row>
    <row r="1189" spans="1:48">
      <c r="A1189" s="1">
        <f>HYPERLINK("https://cms.ls-nyc.org/matter/dynamic-profile/view/1896527","19-1896527")</f>
        <v>0</v>
      </c>
      <c r="B1189" t="s">
        <v>78</v>
      </c>
      <c r="C1189" t="s">
        <v>417</v>
      </c>
      <c r="D1189" t="s">
        <v>375</v>
      </c>
      <c r="E1189" t="s">
        <v>1276</v>
      </c>
      <c r="F1189" t="s">
        <v>2734</v>
      </c>
      <c r="G1189" t="s">
        <v>4416</v>
      </c>
      <c r="H1189">
        <v>2</v>
      </c>
      <c r="I1189" t="s">
        <v>6043</v>
      </c>
      <c r="J1189">
        <v>11213</v>
      </c>
      <c r="K1189" t="s">
        <v>6074</v>
      </c>
      <c r="L1189" t="s">
        <v>6074</v>
      </c>
      <c r="M1189" t="s">
        <v>6626</v>
      </c>
      <c r="N1189" t="s">
        <v>7274</v>
      </c>
      <c r="O1189" t="s">
        <v>7307</v>
      </c>
      <c r="P1189" t="s">
        <v>7315</v>
      </c>
      <c r="Q1189" t="s">
        <v>7322</v>
      </c>
      <c r="R1189" t="s">
        <v>6076</v>
      </c>
      <c r="S1189" t="s">
        <v>7324</v>
      </c>
      <c r="T1189" t="s">
        <v>7336</v>
      </c>
      <c r="U1189" t="s">
        <v>302</v>
      </c>
      <c r="V1189">
        <v>0</v>
      </c>
      <c r="W1189" t="s">
        <v>7362</v>
      </c>
      <c r="X1189" t="s">
        <v>7376</v>
      </c>
      <c r="Y1189" t="s">
        <v>7390</v>
      </c>
      <c r="Z1189" t="s">
        <v>7946</v>
      </c>
      <c r="AB1189" t="s">
        <v>11100</v>
      </c>
      <c r="AC1189">
        <v>2</v>
      </c>
      <c r="AD1189" t="s">
        <v>12419</v>
      </c>
      <c r="AF1189">
        <v>2</v>
      </c>
      <c r="AG1189">
        <v>1</v>
      </c>
      <c r="AH1189">
        <v>0</v>
      </c>
      <c r="AI1189">
        <v>76</v>
      </c>
      <c r="AL1189" t="s">
        <v>12460</v>
      </c>
      <c r="AM1189">
        <v>9492</v>
      </c>
      <c r="AS1189">
        <v>0.5</v>
      </c>
      <c r="AT1189" t="s">
        <v>417</v>
      </c>
      <c r="AU1189" t="s">
        <v>78</v>
      </c>
    </row>
    <row r="1190" spans="1:48">
      <c r="A1190" s="1">
        <f>HYPERLINK("https://cms.ls-nyc.org/matter/dynamic-profile/view/1897378","19-1897378")</f>
        <v>0</v>
      </c>
      <c r="B1190" t="s">
        <v>108</v>
      </c>
      <c r="C1190" t="s">
        <v>347</v>
      </c>
      <c r="E1190" t="s">
        <v>597</v>
      </c>
      <c r="F1190" t="s">
        <v>1977</v>
      </c>
      <c r="G1190" t="s">
        <v>3793</v>
      </c>
      <c r="H1190" t="s">
        <v>5446</v>
      </c>
      <c r="I1190" t="s">
        <v>6047</v>
      </c>
      <c r="J1190">
        <v>10453</v>
      </c>
      <c r="K1190" t="s">
        <v>6074</v>
      </c>
      <c r="L1190" t="s">
        <v>6074</v>
      </c>
      <c r="N1190" t="s">
        <v>7278</v>
      </c>
      <c r="O1190" t="s">
        <v>7306</v>
      </c>
      <c r="Q1190" t="s">
        <v>7322</v>
      </c>
      <c r="R1190" t="s">
        <v>6076</v>
      </c>
      <c r="S1190" t="s">
        <v>7324</v>
      </c>
      <c r="U1190" t="s">
        <v>347</v>
      </c>
      <c r="V1190">
        <v>1525.83</v>
      </c>
      <c r="W1190" t="s">
        <v>7363</v>
      </c>
      <c r="X1190" t="s">
        <v>7367</v>
      </c>
      <c r="Z1190" t="s">
        <v>8332</v>
      </c>
      <c r="AC1190">
        <v>0</v>
      </c>
      <c r="AD1190" t="s">
        <v>12422</v>
      </c>
      <c r="AE1190" t="s">
        <v>12434</v>
      </c>
      <c r="AF1190">
        <v>16</v>
      </c>
      <c r="AG1190">
        <v>1</v>
      </c>
      <c r="AH1190">
        <v>0</v>
      </c>
      <c r="AI1190">
        <v>76</v>
      </c>
      <c r="AL1190" t="s">
        <v>12461</v>
      </c>
      <c r="AM1190">
        <v>9492</v>
      </c>
      <c r="AS1190">
        <v>1</v>
      </c>
      <c r="AT1190" t="s">
        <v>347</v>
      </c>
      <c r="AU1190" t="s">
        <v>108</v>
      </c>
      <c r="AV1190" t="s">
        <v>13145</v>
      </c>
    </row>
    <row r="1191" spans="1:48">
      <c r="A1191" s="1">
        <f>HYPERLINK("https://cms.ls-nyc.org/matter/dynamic-profile/view/1892846","19-1892846")</f>
        <v>0</v>
      </c>
      <c r="B1191" t="s">
        <v>129</v>
      </c>
      <c r="C1191" t="s">
        <v>356</v>
      </c>
      <c r="E1191" t="s">
        <v>1277</v>
      </c>
      <c r="F1191" t="s">
        <v>2735</v>
      </c>
      <c r="G1191" t="s">
        <v>4129</v>
      </c>
      <c r="H1191">
        <v>52</v>
      </c>
      <c r="I1191" t="s">
        <v>6049</v>
      </c>
      <c r="J1191">
        <v>10034</v>
      </c>
      <c r="K1191" t="s">
        <v>6074</v>
      </c>
      <c r="L1191" t="s">
        <v>6074</v>
      </c>
      <c r="O1191" t="s">
        <v>7306</v>
      </c>
      <c r="Q1191" t="s">
        <v>7322</v>
      </c>
      <c r="R1191" t="s">
        <v>6074</v>
      </c>
      <c r="S1191" t="s">
        <v>7324</v>
      </c>
      <c r="U1191" t="s">
        <v>356</v>
      </c>
      <c r="V1191">
        <v>900</v>
      </c>
      <c r="W1191" t="s">
        <v>7365</v>
      </c>
      <c r="X1191" t="s">
        <v>7367</v>
      </c>
      <c r="Z1191" t="s">
        <v>8333</v>
      </c>
      <c r="AA1191" t="s">
        <v>10120</v>
      </c>
      <c r="AB1191" t="s">
        <v>11101</v>
      </c>
      <c r="AC1191">
        <v>25</v>
      </c>
      <c r="AD1191" t="s">
        <v>12422</v>
      </c>
      <c r="AE1191" t="s">
        <v>6110</v>
      </c>
      <c r="AF1191">
        <v>35</v>
      </c>
      <c r="AG1191">
        <v>1</v>
      </c>
      <c r="AH1191">
        <v>0</v>
      </c>
      <c r="AI1191">
        <v>76</v>
      </c>
      <c r="AL1191" t="s">
        <v>12461</v>
      </c>
      <c r="AM1191">
        <v>9492</v>
      </c>
      <c r="AS1191">
        <v>0</v>
      </c>
      <c r="AU1191" t="s">
        <v>13106</v>
      </c>
    </row>
    <row r="1192" spans="1:48">
      <c r="A1192" s="1">
        <f>HYPERLINK("https://cms.ls-nyc.org/matter/dynamic-profile/view/1877946","18-1877946")</f>
        <v>0</v>
      </c>
      <c r="B1192" t="s">
        <v>68</v>
      </c>
      <c r="C1192" t="s">
        <v>244</v>
      </c>
      <c r="E1192" t="s">
        <v>1278</v>
      </c>
      <c r="F1192" t="s">
        <v>2736</v>
      </c>
      <c r="G1192" t="s">
        <v>4417</v>
      </c>
      <c r="H1192">
        <v>21</v>
      </c>
      <c r="I1192" t="s">
        <v>6043</v>
      </c>
      <c r="J1192">
        <v>11206</v>
      </c>
      <c r="K1192" t="s">
        <v>6074</v>
      </c>
      <c r="L1192" t="s">
        <v>6074</v>
      </c>
      <c r="M1192" t="s">
        <v>6627</v>
      </c>
      <c r="N1192" t="s">
        <v>7276</v>
      </c>
      <c r="O1192" t="s">
        <v>7308</v>
      </c>
      <c r="Q1192" t="s">
        <v>7322</v>
      </c>
      <c r="S1192" t="s">
        <v>7324</v>
      </c>
      <c r="U1192" t="s">
        <v>337</v>
      </c>
      <c r="V1192">
        <v>0</v>
      </c>
      <c r="W1192" t="s">
        <v>7362</v>
      </c>
      <c r="X1192" t="s">
        <v>7366</v>
      </c>
      <c r="Z1192" t="s">
        <v>8334</v>
      </c>
      <c r="AB1192" t="s">
        <v>11102</v>
      </c>
      <c r="AC1192">
        <v>0</v>
      </c>
      <c r="AE1192" t="s">
        <v>12434</v>
      </c>
      <c r="AF1192">
        <v>15</v>
      </c>
      <c r="AG1192">
        <v>1</v>
      </c>
      <c r="AH1192">
        <v>0</v>
      </c>
      <c r="AI1192">
        <v>76.11</v>
      </c>
      <c r="AL1192" t="s">
        <v>12460</v>
      </c>
      <c r="AM1192">
        <v>9240</v>
      </c>
      <c r="AS1192">
        <v>10.3</v>
      </c>
      <c r="AT1192" t="s">
        <v>264</v>
      </c>
      <c r="AU1192" t="s">
        <v>13082</v>
      </c>
    </row>
    <row r="1193" spans="1:48">
      <c r="A1193" s="1">
        <f>HYPERLINK("https://cms.ls-nyc.org/matter/dynamic-profile/view/1872605","18-1872605")</f>
        <v>0</v>
      </c>
      <c r="B1193" t="s">
        <v>115</v>
      </c>
      <c r="C1193" t="s">
        <v>242</v>
      </c>
      <c r="D1193" t="s">
        <v>472</v>
      </c>
      <c r="E1193" t="s">
        <v>1279</v>
      </c>
      <c r="F1193" t="s">
        <v>2390</v>
      </c>
      <c r="G1193" t="s">
        <v>4418</v>
      </c>
      <c r="H1193" t="s">
        <v>5400</v>
      </c>
      <c r="I1193" t="s">
        <v>6047</v>
      </c>
      <c r="J1193">
        <v>10457</v>
      </c>
      <c r="K1193" t="s">
        <v>6074</v>
      </c>
      <c r="L1193" t="s">
        <v>6076</v>
      </c>
      <c r="N1193" t="s">
        <v>6104</v>
      </c>
      <c r="O1193" t="s">
        <v>7306</v>
      </c>
      <c r="P1193" t="s">
        <v>7314</v>
      </c>
      <c r="Q1193" t="s">
        <v>7322</v>
      </c>
      <c r="R1193" t="s">
        <v>6076</v>
      </c>
      <c r="S1193" t="s">
        <v>7324</v>
      </c>
      <c r="U1193" t="s">
        <v>437</v>
      </c>
      <c r="V1193">
        <v>850</v>
      </c>
      <c r="W1193" t="s">
        <v>7363</v>
      </c>
      <c r="X1193" t="s">
        <v>7376</v>
      </c>
      <c r="Y1193" t="s">
        <v>7386</v>
      </c>
      <c r="Z1193" t="s">
        <v>8335</v>
      </c>
      <c r="AB1193" t="s">
        <v>11103</v>
      </c>
      <c r="AC1193">
        <v>36</v>
      </c>
      <c r="AD1193" t="s">
        <v>6322</v>
      </c>
      <c r="AE1193" t="s">
        <v>12441</v>
      </c>
      <c r="AF1193">
        <v>20</v>
      </c>
      <c r="AG1193">
        <v>1</v>
      </c>
      <c r="AH1193">
        <v>0</v>
      </c>
      <c r="AI1193">
        <v>76.11</v>
      </c>
      <c r="AL1193" t="s">
        <v>12461</v>
      </c>
      <c r="AM1193">
        <v>9240</v>
      </c>
      <c r="AS1193">
        <v>1.5</v>
      </c>
      <c r="AT1193" t="s">
        <v>437</v>
      </c>
      <c r="AU1193" t="s">
        <v>13092</v>
      </c>
    </row>
    <row r="1194" spans="1:48">
      <c r="A1194" s="1">
        <f>HYPERLINK("https://cms.ls-nyc.org/matter/dynamic-profile/view/1881831","18-1881831")</f>
        <v>0</v>
      </c>
      <c r="B1194" t="s">
        <v>116</v>
      </c>
      <c r="C1194" t="s">
        <v>369</v>
      </c>
      <c r="D1194" t="s">
        <v>389</v>
      </c>
      <c r="E1194" t="s">
        <v>707</v>
      </c>
      <c r="F1194" t="s">
        <v>2737</v>
      </c>
      <c r="G1194" t="s">
        <v>4269</v>
      </c>
      <c r="I1194" t="s">
        <v>6047</v>
      </c>
      <c r="J1194">
        <v>10452</v>
      </c>
      <c r="K1194" t="s">
        <v>6074</v>
      </c>
      <c r="L1194" t="s">
        <v>6074</v>
      </c>
      <c r="N1194" t="s">
        <v>6104</v>
      </c>
      <c r="O1194" t="s">
        <v>7307</v>
      </c>
      <c r="P1194" t="s">
        <v>7314</v>
      </c>
      <c r="Q1194" t="s">
        <v>7322</v>
      </c>
      <c r="R1194" t="s">
        <v>6076</v>
      </c>
      <c r="S1194" t="s">
        <v>7324</v>
      </c>
      <c r="U1194" t="s">
        <v>451</v>
      </c>
      <c r="V1194">
        <v>1300</v>
      </c>
      <c r="W1194" t="s">
        <v>7363</v>
      </c>
      <c r="X1194" t="s">
        <v>7305</v>
      </c>
      <c r="Y1194" t="s">
        <v>7386</v>
      </c>
      <c r="Z1194" t="s">
        <v>8336</v>
      </c>
      <c r="AB1194" t="s">
        <v>11104</v>
      </c>
      <c r="AC1194">
        <v>109</v>
      </c>
      <c r="AD1194" t="s">
        <v>12422</v>
      </c>
      <c r="AF1194">
        <v>7</v>
      </c>
      <c r="AG1194">
        <v>2</v>
      </c>
      <c r="AH1194">
        <v>0</v>
      </c>
      <c r="AI1194">
        <v>76.11</v>
      </c>
      <c r="AL1194" t="s">
        <v>12461</v>
      </c>
      <c r="AM1194">
        <v>12528</v>
      </c>
      <c r="AS1194">
        <v>1.25</v>
      </c>
      <c r="AT1194" t="s">
        <v>389</v>
      </c>
      <c r="AU1194" t="s">
        <v>116</v>
      </c>
    </row>
    <row r="1195" spans="1:48">
      <c r="A1195" s="1">
        <f>HYPERLINK("https://cms.ls-nyc.org/matter/dynamic-profile/view/1876946","18-1876946")</f>
        <v>0</v>
      </c>
      <c r="B1195" t="s">
        <v>101</v>
      </c>
      <c r="C1195" t="s">
        <v>281</v>
      </c>
      <c r="D1195" t="s">
        <v>555</v>
      </c>
      <c r="E1195" t="s">
        <v>1280</v>
      </c>
      <c r="F1195" t="s">
        <v>2083</v>
      </c>
      <c r="G1195" t="s">
        <v>3810</v>
      </c>
      <c r="H1195" t="s">
        <v>5670</v>
      </c>
      <c r="I1195" t="s">
        <v>6047</v>
      </c>
      <c r="J1195">
        <v>10451</v>
      </c>
      <c r="K1195" t="s">
        <v>6074</v>
      </c>
      <c r="L1195" t="s">
        <v>6074</v>
      </c>
      <c r="N1195" t="s">
        <v>6104</v>
      </c>
      <c r="O1195" t="s">
        <v>7306</v>
      </c>
      <c r="P1195" t="s">
        <v>7314</v>
      </c>
      <c r="Q1195" t="s">
        <v>7322</v>
      </c>
      <c r="R1195" t="s">
        <v>6076</v>
      </c>
      <c r="S1195" t="s">
        <v>7324</v>
      </c>
      <c r="U1195" t="s">
        <v>502</v>
      </c>
      <c r="V1195">
        <v>1212.06</v>
      </c>
      <c r="W1195" t="s">
        <v>7363</v>
      </c>
      <c r="X1195" t="s">
        <v>7376</v>
      </c>
      <c r="Y1195" t="s">
        <v>7386</v>
      </c>
      <c r="Z1195" t="s">
        <v>8337</v>
      </c>
      <c r="AB1195" t="s">
        <v>11105</v>
      </c>
      <c r="AC1195">
        <v>107</v>
      </c>
      <c r="AD1195" t="s">
        <v>6322</v>
      </c>
      <c r="AE1195" t="s">
        <v>6110</v>
      </c>
      <c r="AF1195">
        <v>11</v>
      </c>
      <c r="AG1195">
        <v>1</v>
      </c>
      <c r="AH1195">
        <v>0</v>
      </c>
      <c r="AI1195">
        <v>76.11</v>
      </c>
      <c r="AL1195" t="s">
        <v>12461</v>
      </c>
      <c r="AM1195">
        <v>9240</v>
      </c>
      <c r="AS1195">
        <v>0.1</v>
      </c>
      <c r="AT1195" t="s">
        <v>555</v>
      </c>
      <c r="AU1195" t="s">
        <v>13095</v>
      </c>
    </row>
    <row r="1196" spans="1:48">
      <c r="A1196" s="1">
        <f>HYPERLINK("https://cms.ls-nyc.org/matter/dynamic-profile/view/1885978","18-1885978")</f>
        <v>0</v>
      </c>
      <c r="B1196" t="s">
        <v>130</v>
      </c>
      <c r="C1196" t="s">
        <v>462</v>
      </c>
      <c r="D1196" t="s">
        <v>361</v>
      </c>
      <c r="E1196" t="s">
        <v>1071</v>
      </c>
      <c r="F1196" t="s">
        <v>2173</v>
      </c>
      <c r="G1196" t="s">
        <v>4182</v>
      </c>
      <c r="H1196" t="s">
        <v>5390</v>
      </c>
      <c r="I1196" t="s">
        <v>6049</v>
      </c>
      <c r="J1196">
        <v>10034</v>
      </c>
      <c r="K1196" t="s">
        <v>6074</v>
      </c>
      <c r="L1196" t="s">
        <v>6074</v>
      </c>
      <c r="M1196" t="s">
        <v>6628</v>
      </c>
      <c r="N1196" t="s">
        <v>7274</v>
      </c>
      <c r="O1196" t="s">
        <v>7306</v>
      </c>
      <c r="P1196" t="s">
        <v>7314</v>
      </c>
      <c r="Q1196" t="s">
        <v>7322</v>
      </c>
      <c r="R1196" t="s">
        <v>6076</v>
      </c>
      <c r="S1196" t="s">
        <v>7324</v>
      </c>
      <c r="U1196" t="s">
        <v>462</v>
      </c>
      <c r="V1196">
        <v>1200</v>
      </c>
      <c r="W1196" t="s">
        <v>7365</v>
      </c>
      <c r="X1196" t="s">
        <v>7305</v>
      </c>
      <c r="Y1196" t="s">
        <v>7386</v>
      </c>
      <c r="Z1196" t="s">
        <v>8019</v>
      </c>
      <c r="AB1196" t="s">
        <v>10818</v>
      </c>
      <c r="AC1196">
        <v>15</v>
      </c>
      <c r="AD1196" t="s">
        <v>12425</v>
      </c>
      <c r="AE1196" t="s">
        <v>12434</v>
      </c>
      <c r="AF1196">
        <v>8</v>
      </c>
      <c r="AG1196">
        <v>1</v>
      </c>
      <c r="AH1196">
        <v>0</v>
      </c>
      <c r="AI1196">
        <v>76.11</v>
      </c>
      <c r="AL1196" t="s">
        <v>12461</v>
      </c>
      <c r="AM1196">
        <v>9240</v>
      </c>
      <c r="AS1196">
        <v>2.55</v>
      </c>
      <c r="AT1196" t="s">
        <v>313</v>
      </c>
      <c r="AU1196" t="s">
        <v>13091</v>
      </c>
    </row>
    <row r="1197" spans="1:48">
      <c r="A1197" s="1">
        <f>HYPERLINK("https://cms.ls-nyc.org/matter/dynamic-profile/view/1871646","18-1871646")</f>
        <v>0</v>
      </c>
      <c r="B1197" t="s">
        <v>134</v>
      </c>
      <c r="C1197" t="s">
        <v>453</v>
      </c>
      <c r="E1197" t="s">
        <v>725</v>
      </c>
      <c r="F1197" t="s">
        <v>2738</v>
      </c>
      <c r="G1197" t="s">
        <v>4419</v>
      </c>
      <c r="H1197">
        <v>504</v>
      </c>
      <c r="I1197" t="s">
        <v>6049</v>
      </c>
      <c r="J1197">
        <v>10029</v>
      </c>
      <c r="K1197" t="s">
        <v>6074</v>
      </c>
      <c r="L1197" t="s">
        <v>6074</v>
      </c>
      <c r="M1197" t="s">
        <v>6629</v>
      </c>
      <c r="N1197" t="s">
        <v>7274</v>
      </c>
      <c r="O1197" t="s">
        <v>7308</v>
      </c>
      <c r="Q1197" t="s">
        <v>7322</v>
      </c>
      <c r="R1197" t="s">
        <v>6076</v>
      </c>
      <c r="S1197" t="s">
        <v>7324</v>
      </c>
      <c r="T1197" t="s">
        <v>7336</v>
      </c>
      <c r="U1197" t="s">
        <v>453</v>
      </c>
      <c r="V1197">
        <v>1000</v>
      </c>
      <c r="W1197" t="s">
        <v>7365</v>
      </c>
      <c r="X1197" t="s">
        <v>7367</v>
      </c>
      <c r="Z1197" t="s">
        <v>8338</v>
      </c>
      <c r="AB1197" t="s">
        <v>11106</v>
      </c>
      <c r="AC1197">
        <v>78</v>
      </c>
      <c r="AD1197" t="s">
        <v>12422</v>
      </c>
      <c r="AE1197" t="s">
        <v>12434</v>
      </c>
      <c r="AF1197">
        <v>9</v>
      </c>
      <c r="AG1197">
        <v>1</v>
      </c>
      <c r="AH1197">
        <v>0</v>
      </c>
      <c r="AI1197">
        <v>76.11</v>
      </c>
      <c r="AL1197" t="s">
        <v>12461</v>
      </c>
      <c r="AM1197">
        <v>9240</v>
      </c>
      <c r="AS1197">
        <v>82.2</v>
      </c>
      <c r="AT1197" t="s">
        <v>254</v>
      </c>
      <c r="AU1197" t="s">
        <v>13107</v>
      </c>
      <c r="AV1197" t="s">
        <v>13145</v>
      </c>
    </row>
    <row r="1198" spans="1:48">
      <c r="A1198" s="1">
        <f>HYPERLINK("https://cms.ls-nyc.org/matter/dynamic-profile/view/1867832","18-1867832")</f>
        <v>0</v>
      </c>
      <c r="B1198" t="s">
        <v>141</v>
      </c>
      <c r="C1198" t="s">
        <v>489</v>
      </c>
      <c r="E1198" t="s">
        <v>767</v>
      </c>
      <c r="F1198" t="s">
        <v>2739</v>
      </c>
      <c r="G1198" t="s">
        <v>4420</v>
      </c>
      <c r="H1198">
        <v>20</v>
      </c>
      <c r="I1198" t="s">
        <v>6049</v>
      </c>
      <c r="J1198">
        <v>10010</v>
      </c>
      <c r="K1198" t="s">
        <v>6074</v>
      </c>
      <c r="L1198" t="s">
        <v>6074</v>
      </c>
      <c r="N1198" t="s">
        <v>6104</v>
      </c>
      <c r="O1198" t="s">
        <v>7306</v>
      </c>
      <c r="Q1198" t="s">
        <v>7322</v>
      </c>
      <c r="R1198" t="s">
        <v>6076</v>
      </c>
      <c r="S1198" t="s">
        <v>7324</v>
      </c>
      <c r="U1198" t="s">
        <v>7344</v>
      </c>
      <c r="V1198">
        <v>643.36</v>
      </c>
      <c r="W1198" t="s">
        <v>7365</v>
      </c>
      <c r="X1198" t="s">
        <v>7375</v>
      </c>
      <c r="Z1198" t="s">
        <v>8339</v>
      </c>
      <c r="AB1198" t="s">
        <v>11107</v>
      </c>
      <c r="AC1198">
        <v>0</v>
      </c>
      <c r="AD1198" t="s">
        <v>12422</v>
      </c>
      <c r="AE1198" t="s">
        <v>12441</v>
      </c>
      <c r="AF1198">
        <v>41</v>
      </c>
      <c r="AG1198">
        <v>1</v>
      </c>
      <c r="AH1198">
        <v>0</v>
      </c>
      <c r="AI1198">
        <v>76.11</v>
      </c>
      <c r="AL1198" t="s">
        <v>12461</v>
      </c>
      <c r="AM1198">
        <v>9240</v>
      </c>
      <c r="AS1198">
        <v>0.4</v>
      </c>
      <c r="AT1198" t="s">
        <v>520</v>
      </c>
      <c r="AU1198" t="s">
        <v>13111</v>
      </c>
    </row>
    <row r="1199" spans="1:48">
      <c r="A1199" s="1">
        <f>HYPERLINK("https://cms.ls-nyc.org/matter/dynamic-profile/view/1867354","18-1867354")</f>
        <v>0</v>
      </c>
      <c r="B1199" t="s">
        <v>70</v>
      </c>
      <c r="C1199" t="s">
        <v>490</v>
      </c>
      <c r="D1199" t="s">
        <v>418</v>
      </c>
      <c r="E1199" t="s">
        <v>1026</v>
      </c>
      <c r="F1199" t="s">
        <v>2740</v>
      </c>
      <c r="G1199" t="s">
        <v>4421</v>
      </c>
      <c r="H1199" t="s">
        <v>5671</v>
      </c>
      <c r="I1199" t="s">
        <v>6063</v>
      </c>
      <c r="J1199">
        <v>11238</v>
      </c>
      <c r="K1199" t="s">
        <v>6074</v>
      </c>
      <c r="L1199" t="s">
        <v>6074</v>
      </c>
      <c r="N1199" t="s">
        <v>7283</v>
      </c>
      <c r="O1199" t="s">
        <v>7309</v>
      </c>
      <c r="P1199" t="s">
        <v>7315</v>
      </c>
      <c r="Q1199" t="s">
        <v>7322</v>
      </c>
      <c r="R1199" t="s">
        <v>6076</v>
      </c>
      <c r="S1199" t="s">
        <v>7326</v>
      </c>
      <c r="U1199" t="s">
        <v>414</v>
      </c>
      <c r="V1199">
        <v>654.34</v>
      </c>
      <c r="W1199" t="s">
        <v>7362</v>
      </c>
      <c r="X1199" t="s">
        <v>7368</v>
      </c>
      <c r="Y1199" t="s">
        <v>7400</v>
      </c>
      <c r="Z1199" t="s">
        <v>8340</v>
      </c>
      <c r="AB1199" t="s">
        <v>11108</v>
      </c>
      <c r="AC1199">
        <v>29</v>
      </c>
      <c r="AD1199" t="s">
        <v>12422</v>
      </c>
      <c r="AE1199" t="s">
        <v>6110</v>
      </c>
      <c r="AF1199">
        <v>40</v>
      </c>
      <c r="AG1199">
        <v>1</v>
      </c>
      <c r="AH1199">
        <v>0</v>
      </c>
      <c r="AI1199">
        <v>76.20999999999999</v>
      </c>
      <c r="AL1199" t="s">
        <v>12460</v>
      </c>
      <c r="AM1199">
        <v>9252</v>
      </c>
      <c r="AQ1199" t="s">
        <v>12909</v>
      </c>
      <c r="AR1199" t="s">
        <v>13000</v>
      </c>
      <c r="AS1199">
        <v>9.050000000000001</v>
      </c>
      <c r="AT1199" t="s">
        <v>333</v>
      </c>
      <c r="AU1199" t="s">
        <v>13087</v>
      </c>
    </row>
    <row r="1200" spans="1:48">
      <c r="A1200" s="1">
        <f>HYPERLINK("https://cms.ls-nyc.org/matter/dynamic-profile/view/1887993","19-1887993")</f>
        <v>0</v>
      </c>
      <c r="B1200" t="s">
        <v>192</v>
      </c>
      <c r="C1200" t="s">
        <v>390</v>
      </c>
      <c r="E1200" t="s">
        <v>581</v>
      </c>
      <c r="F1200" t="s">
        <v>2618</v>
      </c>
      <c r="G1200" t="s">
        <v>4422</v>
      </c>
      <c r="H1200">
        <v>5</v>
      </c>
      <c r="I1200" t="s">
        <v>6047</v>
      </c>
      <c r="J1200">
        <v>10457</v>
      </c>
      <c r="K1200" t="s">
        <v>6074</v>
      </c>
      <c r="L1200" t="s">
        <v>6074</v>
      </c>
      <c r="N1200" t="s">
        <v>7283</v>
      </c>
      <c r="O1200" t="s">
        <v>7307</v>
      </c>
      <c r="Q1200" t="s">
        <v>7322</v>
      </c>
      <c r="R1200" t="s">
        <v>6076</v>
      </c>
      <c r="S1200" t="s">
        <v>7326</v>
      </c>
      <c r="U1200" t="s">
        <v>293</v>
      </c>
      <c r="V1200">
        <v>1321.11</v>
      </c>
      <c r="W1200" t="s">
        <v>7363</v>
      </c>
      <c r="X1200" t="s">
        <v>7370</v>
      </c>
      <c r="Z1200" t="s">
        <v>8341</v>
      </c>
      <c r="AB1200" t="s">
        <v>11109</v>
      </c>
      <c r="AC1200">
        <v>60</v>
      </c>
      <c r="AD1200" t="s">
        <v>12422</v>
      </c>
      <c r="AE1200" t="s">
        <v>6110</v>
      </c>
      <c r="AF1200">
        <v>2</v>
      </c>
      <c r="AG1200">
        <v>1</v>
      </c>
      <c r="AH1200">
        <v>0</v>
      </c>
      <c r="AI1200">
        <v>76.20999999999999</v>
      </c>
      <c r="AL1200" t="s">
        <v>12460</v>
      </c>
      <c r="AM1200">
        <v>9252</v>
      </c>
      <c r="AN1200" t="s">
        <v>12599</v>
      </c>
      <c r="AS1200">
        <v>1.95</v>
      </c>
      <c r="AT1200" t="s">
        <v>294</v>
      </c>
      <c r="AU1200" t="s">
        <v>192</v>
      </c>
    </row>
    <row r="1201" spans="1:48">
      <c r="A1201" s="1">
        <f>HYPERLINK("https://cms.ls-nyc.org/matter/dynamic-profile/view/1874628","18-1874628")</f>
        <v>0</v>
      </c>
      <c r="B1201" t="s">
        <v>60</v>
      </c>
      <c r="C1201" t="s">
        <v>237</v>
      </c>
      <c r="D1201" t="s">
        <v>244</v>
      </c>
      <c r="E1201" t="s">
        <v>1281</v>
      </c>
      <c r="F1201" t="s">
        <v>2198</v>
      </c>
      <c r="G1201" t="s">
        <v>4423</v>
      </c>
      <c r="H1201" t="s">
        <v>5672</v>
      </c>
      <c r="I1201" t="s">
        <v>6025</v>
      </c>
      <c r="J1201">
        <v>11691</v>
      </c>
      <c r="K1201" t="s">
        <v>6074</v>
      </c>
      <c r="L1201" t="s">
        <v>6074</v>
      </c>
      <c r="M1201" t="s">
        <v>6630</v>
      </c>
      <c r="N1201" t="s">
        <v>7276</v>
      </c>
      <c r="O1201" t="s">
        <v>7308</v>
      </c>
      <c r="P1201" t="s">
        <v>7316</v>
      </c>
      <c r="Q1201" t="s">
        <v>7322</v>
      </c>
      <c r="R1201" t="s">
        <v>6076</v>
      </c>
      <c r="S1201" t="s">
        <v>7324</v>
      </c>
      <c r="T1201" t="s">
        <v>7336</v>
      </c>
      <c r="U1201" t="s">
        <v>237</v>
      </c>
      <c r="V1201">
        <v>1301.06</v>
      </c>
      <c r="W1201" t="s">
        <v>7361</v>
      </c>
      <c r="X1201" t="s">
        <v>7366</v>
      </c>
      <c r="Y1201" t="s">
        <v>7388</v>
      </c>
      <c r="Z1201" t="s">
        <v>8342</v>
      </c>
      <c r="AA1201" t="s">
        <v>10121</v>
      </c>
      <c r="AB1201" t="s">
        <v>11110</v>
      </c>
      <c r="AC1201">
        <v>917</v>
      </c>
      <c r="AD1201" t="s">
        <v>6322</v>
      </c>
      <c r="AE1201" t="s">
        <v>12437</v>
      </c>
      <c r="AF1201">
        <v>1</v>
      </c>
      <c r="AG1201">
        <v>1</v>
      </c>
      <c r="AH1201">
        <v>0</v>
      </c>
      <c r="AI1201">
        <v>76.41</v>
      </c>
      <c r="AL1201" t="s">
        <v>12460</v>
      </c>
      <c r="AM1201">
        <v>9276</v>
      </c>
      <c r="AO1201" t="s">
        <v>12845</v>
      </c>
      <c r="AP1201" t="s">
        <v>12858</v>
      </c>
      <c r="AQ1201" t="s">
        <v>12909</v>
      </c>
      <c r="AR1201" t="s">
        <v>13001</v>
      </c>
      <c r="AS1201">
        <v>18.48</v>
      </c>
      <c r="AT1201" t="s">
        <v>438</v>
      </c>
      <c r="AU1201" t="s">
        <v>48</v>
      </c>
    </row>
    <row r="1202" spans="1:48">
      <c r="A1202" s="1">
        <f>HYPERLINK("https://cms.ls-nyc.org/matter/dynamic-profile/view/1877029","18-1877029")</f>
        <v>0</v>
      </c>
      <c r="B1202" t="s">
        <v>60</v>
      </c>
      <c r="C1202" t="s">
        <v>404</v>
      </c>
      <c r="D1202" t="s">
        <v>271</v>
      </c>
      <c r="E1202" t="s">
        <v>1281</v>
      </c>
      <c r="F1202" t="s">
        <v>2198</v>
      </c>
      <c r="G1202" t="s">
        <v>4423</v>
      </c>
      <c r="H1202" t="s">
        <v>5672</v>
      </c>
      <c r="I1202" t="s">
        <v>6025</v>
      </c>
      <c r="J1202">
        <v>11691</v>
      </c>
      <c r="K1202" t="s">
        <v>6074</v>
      </c>
      <c r="L1202" t="s">
        <v>6074</v>
      </c>
      <c r="M1202" t="s">
        <v>6631</v>
      </c>
      <c r="N1202" t="s">
        <v>7276</v>
      </c>
      <c r="O1202" t="s">
        <v>7308</v>
      </c>
      <c r="P1202" t="s">
        <v>7316</v>
      </c>
      <c r="Q1202" t="s">
        <v>7322</v>
      </c>
      <c r="R1202" t="s">
        <v>6076</v>
      </c>
      <c r="S1202" t="s">
        <v>7324</v>
      </c>
      <c r="T1202" t="s">
        <v>7336</v>
      </c>
      <c r="U1202" t="s">
        <v>404</v>
      </c>
      <c r="V1202">
        <v>1301.06</v>
      </c>
      <c r="W1202" t="s">
        <v>7361</v>
      </c>
      <c r="X1202" t="s">
        <v>7366</v>
      </c>
      <c r="Y1202" t="s">
        <v>7388</v>
      </c>
      <c r="Z1202" t="s">
        <v>8342</v>
      </c>
      <c r="AA1202" t="s">
        <v>10121</v>
      </c>
      <c r="AB1202" t="s">
        <v>11110</v>
      </c>
      <c r="AC1202">
        <v>917</v>
      </c>
      <c r="AD1202" t="s">
        <v>12422</v>
      </c>
      <c r="AE1202" t="s">
        <v>12437</v>
      </c>
      <c r="AF1202">
        <v>1</v>
      </c>
      <c r="AG1202">
        <v>1</v>
      </c>
      <c r="AH1202">
        <v>0</v>
      </c>
      <c r="AI1202">
        <v>76.41</v>
      </c>
      <c r="AL1202" t="s">
        <v>12460</v>
      </c>
      <c r="AM1202">
        <v>9276</v>
      </c>
      <c r="AO1202" t="s">
        <v>12845</v>
      </c>
      <c r="AP1202" t="s">
        <v>12868</v>
      </c>
      <c r="AQ1202" t="s">
        <v>12909</v>
      </c>
      <c r="AR1202" t="s">
        <v>12925</v>
      </c>
      <c r="AS1202">
        <v>11.63</v>
      </c>
      <c r="AT1202" t="s">
        <v>271</v>
      </c>
      <c r="AU1202" t="s">
        <v>189</v>
      </c>
    </row>
    <row r="1203" spans="1:48">
      <c r="A1203" s="1">
        <f>HYPERLINK("https://cms.ls-nyc.org/matter/dynamic-profile/view/1888382","19-1888382")</f>
        <v>0</v>
      </c>
      <c r="B1203" t="s">
        <v>96</v>
      </c>
      <c r="C1203" t="s">
        <v>292</v>
      </c>
      <c r="E1203" t="s">
        <v>1199</v>
      </c>
      <c r="F1203" t="s">
        <v>2051</v>
      </c>
      <c r="G1203" t="s">
        <v>3792</v>
      </c>
      <c r="H1203" t="s">
        <v>5629</v>
      </c>
      <c r="I1203" t="s">
        <v>6047</v>
      </c>
      <c r="J1203">
        <v>10453</v>
      </c>
      <c r="K1203" t="s">
        <v>6074</v>
      </c>
      <c r="L1203" t="s">
        <v>6076</v>
      </c>
      <c r="M1203" t="s">
        <v>6259</v>
      </c>
      <c r="N1203" t="s">
        <v>7273</v>
      </c>
      <c r="O1203" t="s">
        <v>7308</v>
      </c>
      <c r="Q1203" t="s">
        <v>7322</v>
      </c>
      <c r="R1203" t="s">
        <v>6074</v>
      </c>
      <c r="S1203" t="s">
        <v>7324</v>
      </c>
      <c r="U1203" t="s">
        <v>457</v>
      </c>
      <c r="V1203">
        <v>0</v>
      </c>
      <c r="W1203" t="s">
        <v>7363</v>
      </c>
      <c r="X1203" t="s">
        <v>7368</v>
      </c>
      <c r="Z1203" t="s">
        <v>8203</v>
      </c>
      <c r="AB1203" t="s">
        <v>10981</v>
      </c>
      <c r="AC1203">
        <v>170</v>
      </c>
      <c r="AD1203" t="s">
        <v>12422</v>
      </c>
      <c r="AE1203" t="s">
        <v>12434</v>
      </c>
      <c r="AF1203">
        <v>28</v>
      </c>
      <c r="AG1203">
        <v>1</v>
      </c>
      <c r="AH1203">
        <v>0</v>
      </c>
      <c r="AI1203">
        <v>76.41</v>
      </c>
      <c r="AL1203" t="s">
        <v>12461</v>
      </c>
      <c r="AM1203">
        <v>9276</v>
      </c>
      <c r="AS1203">
        <v>342.4</v>
      </c>
      <c r="AT1203" t="s">
        <v>496</v>
      </c>
      <c r="AU1203" t="s">
        <v>97</v>
      </c>
      <c r="AV1203" t="s">
        <v>13145</v>
      </c>
    </row>
    <row r="1204" spans="1:48">
      <c r="A1204" s="1">
        <f>HYPERLINK("https://cms.ls-nyc.org/matter/dynamic-profile/view/1873237","18-1873237")</f>
        <v>0</v>
      </c>
      <c r="B1204" t="s">
        <v>105</v>
      </c>
      <c r="C1204" t="s">
        <v>419</v>
      </c>
      <c r="D1204" t="s">
        <v>346</v>
      </c>
      <c r="E1204" t="s">
        <v>1256</v>
      </c>
      <c r="F1204" t="s">
        <v>2122</v>
      </c>
      <c r="G1204" t="s">
        <v>4424</v>
      </c>
      <c r="H1204" t="s">
        <v>5673</v>
      </c>
      <c r="I1204" t="s">
        <v>6047</v>
      </c>
      <c r="J1204">
        <v>10453</v>
      </c>
      <c r="K1204" t="s">
        <v>6074</v>
      </c>
      <c r="L1204" t="s">
        <v>6074</v>
      </c>
      <c r="N1204" t="s">
        <v>6104</v>
      </c>
      <c r="O1204" t="s">
        <v>7306</v>
      </c>
      <c r="P1204" t="s">
        <v>7314</v>
      </c>
      <c r="Q1204" t="s">
        <v>7322</v>
      </c>
      <c r="S1204" t="s">
        <v>7324</v>
      </c>
      <c r="U1204" t="s">
        <v>7343</v>
      </c>
      <c r="V1204">
        <v>515.72</v>
      </c>
      <c r="W1204" t="s">
        <v>7363</v>
      </c>
      <c r="Y1204" t="s">
        <v>7386</v>
      </c>
      <c r="Z1204" t="s">
        <v>8343</v>
      </c>
      <c r="AB1204" t="s">
        <v>11111</v>
      </c>
      <c r="AC1204">
        <v>50</v>
      </c>
      <c r="AD1204" t="s">
        <v>12422</v>
      </c>
      <c r="AE1204" t="s">
        <v>12441</v>
      </c>
      <c r="AF1204">
        <v>40</v>
      </c>
      <c r="AG1204">
        <v>1</v>
      </c>
      <c r="AH1204">
        <v>0</v>
      </c>
      <c r="AI1204">
        <v>76.41</v>
      </c>
      <c r="AL1204" t="s">
        <v>12460</v>
      </c>
      <c r="AM1204">
        <v>9276</v>
      </c>
      <c r="AS1204">
        <v>0.75</v>
      </c>
      <c r="AT1204" t="s">
        <v>419</v>
      </c>
      <c r="AU1204" t="s">
        <v>13091</v>
      </c>
    </row>
    <row r="1205" spans="1:48">
      <c r="A1205" s="1">
        <f>HYPERLINK("https://cms.ls-nyc.org/matter/dynamic-profile/view/1882296","18-1882296")</f>
        <v>0</v>
      </c>
      <c r="B1205" t="s">
        <v>103</v>
      </c>
      <c r="C1205" t="s">
        <v>360</v>
      </c>
      <c r="E1205" t="s">
        <v>1282</v>
      </c>
      <c r="F1205" t="s">
        <v>2741</v>
      </c>
      <c r="G1205" t="s">
        <v>3810</v>
      </c>
      <c r="H1205" t="s">
        <v>5674</v>
      </c>
      <c r="I1205" t="s">
        <v>6047</v>
      </c>
      <c r="J1205">
        <v>10451</v>
      </c>
      <c r="K1205" t="s">
        <v>6074</v>
      </c>
      <c r="L1205" t="s">
        <v>6074</v>
      </c>
      <c r="M1205" t="s">
        <v>6201</v>
      </c>
      <c r="N1205" t="s">
        <v>7273</v>
      </c>
      <c r="O1205" t="s">
        <v>7308</v>
      </c>
      <c r="Q1205" t="s">
        <v>7322</v>
      </c>
      <c r="R1205" t="s">
        <v>6074</v>
      </c>
      <c r="S1205" t="s">
        <v>7324</v>
      </c>
      <c r="U1205" t="s">
        <v>472</v>
      </c>
      <c r="V1205">
        <v>2000</v>
      </c>
      <c r="W1205" t="s">
        <v>7363</v>
      </c>
      <c r="X1205" t="s">
        <v>7376</v>
      </c>
      <c r="Z1205" t="s">
        <v>8344</v>
      </c>
      <c r="AB1205" t="s">
        <v>11112</v>
      </c>
      <c r="AC1205">
        <v>100</v>
      </c>
      <c r="AD1205" t="s">
        <v>12422</v>
      </c>
      <c r="AE1205" t="s">
        <v>12434</v>
      </c>
      <c r="AF1205">
        <v>22</v>
      </c>
      <c r="AG1205">
        <v>1</v>
      </c>
      <c r="AH1205">
        <v>0</v>
      </c>
      <c r="AI1205">
        <v>76.41</v>
      </c>
      <c r="AL1205" t="s">
        <v>12461</v>
      </c>
      <c r="AM1205">
        <v>9276</v>
      </c>
      <c r="AS1205">
        <v>0</v>
      </c>
      <c r="AU1205" t="s">
        <v>13095</v>
      </c>
    </row>
    <row r="1206" spans="1:48">
      <c r="A1206" s="1">
        <f>HYPERLINK("https://cms.ls-nyc.org/matter/dynamic-profile/view/1883829","18-1883829")</f>
        <v>0</v>
      </c>
      <c r="B1206" t="s">
        <v>193</v>
      </c>
      <c r="C1206" t="s">
        <v>305</v>
      </c>
      <c r="E1206" t="s">
        <v>578</v>
      </c>
      <c r="F1206" t="s">
        <v>2516</v>
      </c>
      <c r="G1206" t="s">
        <v>4425</v>
      </c>
      <c r="H1206" t="s">
        <v>5417</v>
      </c>
      <c r="I1206" t="s">
        <v>6043</v>
      </c>
      <c r="J1206">
        <v>11208</v>
      </c>
      <c r="K1206" t="s">
        <v>6074</v>
      </c>
      <c r="L1206" t="s">
        <v>6075</v>
      </c>
      <c r="N1206" t="s">
        <v>7279</v>
      </c>
      <c r="O1206" t="s">
        <v>7306</v>
      </c>
      <c r="Q1206" t="s">
        <v>7322</v>
      </c>
      <c r="S1206" t="s">
        <v>7324</v>
      </c>
      <c r="U1206" t="s">
        <v>305</v>
      </c>
      <c r="V1206">
        <v>800</v>
      </c>
      <c r="W1206" t="s">
        <v>7362</v>
      </c>
      <c r="X1206" t="s">
        <v>7368</v>
      </c>
      <c r="Z1206" t="s">
        <v>8345</v>
      </c>
      <c r="AB1206" t="s">
        <v>11113</v>
      </c>
      <c r="AC1206">
        <v>11</v>
      </c>
      <c r="AD1206" t="s">
        <v>12419</v>
      </c>
      <c r="AF1206">
        <v>2</v>
      </c>
      <c r="AG1206">
        <v>1</v>
      </c>
      <c r="AH1206">
        <v>1</v>
      </c>
      <c r="AI1206">
        <v>76.48</v>
      </c>
      <c r="AL1206" t="s">
        <v>12460</v>
      </c>
      <c r="AM1206">
        <v>12588</v>
      </c>
      <c r="AS1206">
        <v>11.2</v>
      </c>
      <c r="AT1206" t="s">
        <v>423</v>
      </c>
      <c r="AU1206" t="s">
        <v>13084</v>
      </c>
    </row>
    <row r="1207" spans="1:48">
      <c r="A1207" s="1">
        <f>HYPERLINK("https://cms.ls-nyc.org/matter/dynamic-profile/view/1871449","18-1871449")</f>
        <v>0</v>
      </c>
      <c r="B1207" t="s">
        <v>96</v>
      </c>
      <c r="C1207" t="s">
        <v>342</v>
      </c>
      <c r="E1207" t="s">
        <v>1283</v>
      </c>
      <c r="F1207" t="s">
        <v>2742</v>
      </c>
      <c r="G1207" t="s">
        <v>3772</v>
      </c>
      <c r="H1207" t="s">
        <v>5471</v>
      </c>
      <c r="I1207" t="s">
        <v>6047</v>
      </c>
      <c r="J1207">
        <v>10468</v>
      </c>
      <c r="K1207" t="s">
        <v>6074</v>
      </c>
      <c r="L1207" t="s">
        <v>6074</v>
      </c>
      <c r="N1207" t="s">
        <v>7285</v>
      </c>
      <c r="O1207" t="s">
        <v>7311</v>
      </c>
      <c r="Q1207" t="s">
        <v>7322</v>
      </c>
      <c r="R1207" t="s">
        <v>6074</v>
      </c>
      <c r="S1207" t="s">
        <v>7324</v>
      </c>
      <c r="U1207" t="s">
        <v>355</v>
      </c>
      <c r="V1207">
        <v>861</v>
      </c>
      <c r="W1207" t="s">
        <v>7363</v>
      </c>
      <c r="X1207" t="s">
        <v>7376</v>
      </c>
      <c r="Z1207" t="s">
        <v>8346</v>
      </c>
      <c r="AB1207" t="s">
        <v>11114</v>
      </c>
      <c r="AC1207">
        <v>58</v>
      </c>
      <c r="AD1207" t="s">
        <v>12425</v>
      </c>
      <c r="AE1207" t="s">
        <v>12441</v>
      </c>
      <c r="AF1207">
        <v>30</v>
      </c>
      <c r="AG1207">
        <v>4</v>
      </c>
      <c r="AH1207">
        <v>0</v>
      </c>
      <c r="AI1207">
        <v>76.48999999999999</v>
      </c>
      <c r="AL1207" t="s">
        <v>12461</v>
      </c>
      <c r="AM1207">
        <v>19200</v>
      </c>
      <c r="AS1207">
        <v>1.8</v>
      </c>
      <c r="AT1207" t="s">
        <v>329</v>
      </c>
      <c r="AU1207" t="s">
        <v>13092</v>
      </c>
    </row>
    <row r="1208" spans="1:48">
      <c r="A1208" s="1">
        <f>HYPERLINK("https://cms.ls-nyc.org/matter/dynamic-profile/view/1871444","18-1871444")</f>
        <v>0</v>
      </c>
      <c r="B1208" t="s">
        <v>96</v>
      </c>
      <c r="C1208" t="s">
        <v>342</v>
      </c>
      <c r="E1208" t="s">
        <v>1283</v>
      </c>
      <c r="F1208" t="s">
        <v>2742</v>
      </c>
      <c r="G1208" t="s">
        <v>3772</v>
      </c>
      <c r="H1208" t="s">
        <v>5471</v>
      </c>
      <c r="I1208" t="s">
        <v>6047</v>
      </c>
      <c r="J1208">
        <v>10468</v>
      </c>
      <c r="K1208" t="s">
        <v>6074</v>
      </c>
      <c r="L1208" t="s">
        <v>6074</v>
      </c>
      <c r="M1208" t="s">
        <v>6178</v>
      </c>
      <c r="N1208" t="s">
        <v>7273</v>
      </c>
      <c r="O1208" t="s">
        <v>7308</v>
      </c>
      <c r="Q1208" t="s">
        <v>7322</v>
      </c>
      <c r="R1208" t="s">
        <v>6074</v>
      </c>
      <c r="S1208" t="s">
        <v>7324</v>
      </c>
      <c r="U1208" t="s">
        <v>342</v>
      </c>
      <c r="V1208">
        <v>861</v>
      </c>
      <c r="W1208" t="s">
        <v>7363</v>
      </c>
      <c r="X1208" t="s">
        <v>7376</v>
      </c>
      <c r="Z1208" t="s">
        <v>8346</v>
      </c>
      <c r="AB1208" t="s">
        <v>11114</v>
      </c>
      <c r="AC1208">
        <v>58</v>
      </c>
      <c r="AD1208" t="s">
        <v>12422</v>
      </c>
      <c r="AE1208" t="s">
        <v>12441</v>
      </c>
      <c r="AF1208">
        <v>30</v>
      </c>
      <c r="AG1208">
        <v>4</v>
      </c>
      <c r="AH1208">
        <v>0</v>
      </c>
      <c r="AI1208">
        <v>76.48999999999999</v>
      </c>
      <c r="AL1208" t="s">
        <v>12461</v>
      </c>
      <c r="AM1208">
        <v>19200</v>
      </c>
      <c r="AS1208">
        <v>552.99</v>
      </c>
      <c r="AT1208" t="s">
        <v>362</v>
      </c>
      <c r="AU1208" t="s">
        <v>13092</v>
      </c>
    </row>
    <row r="1209" spans="1:48">
      <c r="A1209" s="1">
        <f>HYPERLINK("https://cms.ls-nyc.org/matter/dynamic-profile/view/1873803","18-1873803")</f>
        <v>0</v>
      </c>
      <c r="B1209" t="s">
        <v>111</v>
      </c>
      <c r="C1209" t="s">
        <v>232</v>
      </c>
      <c r="D1209" t="s">
        <v>472</v>
      </c>
      <c r="E1209" t="s">
        <v>1284</v>
      </c>
      <c r="F1209" t="s">
        <v>2743</v>
      </c>
      <c r="G1209" t="s">
        <v>4426</v>
      </c>
      <c r="H1209">
        <v>409</v>
      </c>
      <c r="I1209" t="s">
        <v>6047</v>
      </c>
      <c r="J1209">
        <v>10460</v>
      </c>
      <c r="K1209" t="s">
        <v>6074</v>
      </c>
      <c r="L1209" t="s">
        <v>6074</v>
      </c>
      <c r="N1209" t="s">
        <v>6104</v>
      </c>
      <c r="O1209" t="s">
        <v>7306</v>
      </c>
      <c r="P1209" t="s">
        <v>7314</v>
      </c>
      <c r="Q1209" t="s">
        <v>7323</v>
      </c>
      <c r="R1209" t="s">
        <v>6076</v>
      </c>
      <c r="S1209" t="s">
        <v>7324</v>
      </c>
      <c r="U1209" t="s">
        <v>231</v>
      </c>
      <c r="V1209">
        <v>1479</v>
      </c>
      <c r="W1209" t="s">
        <v>7363</v>
      </c>
      <c r="X1209" t="s">
        <v>7369</v>
      </c>
      <c r="Y1209" t="s">
        <v>7386</v>
      </c>
      <c r="Z1209" t="s">
        <v>8347</v>
      </c>
      <c r="AA1209" t="s">
        <v>10122</v>
      </c>
      <c r="AB1209" t="s">
        <v>11115</v>
      </c>
      <c r="AC1209">
        <v>6</v>
      </c>
      <c r="AD1209" t="s">
        <v>12425</v>
      </c>
      <c r="AE1209" t="s">
        <v>12435</v>
      </c>
      <c r="AF1209">
        <v>2</v>
      </c>
      <c r="AG1209">
        <v>1</v>
      </c>
      <c r="AH1209">
        <v>3</v>
      </c>
      <c r="AI1209">
        <v>76.48999999999999</v>
      </c>
      <c r="AJ1209" t="s">
        <v>12443</v>
      </c>
      <c r="AK1209" t="s">
        <v>12455</v>
      </c>
      <c r="AL1209" t="s">
        <v>12461</v>
      </c>
      <c r="AM1209">
        <v>19200</v>
      </c>
      <c r="AS1209">
        <v>3.3</v>
      </c>
      <c r="AT1209" t="s">
        <v>296</v>
      </c>
      <c r="AU1209" t="s">
        <v>172</v>
      </c>
    </row>
    <row r="1210" spans="1:48">
      <c r="A1210" s="1">
        <f>HYPERLINK("https://cms.ls-nyc.org/matter/dynamic-profile/view/1879106","18-1879106")</f>
        <v>0</v>
      </c>
      <c r="B1210" t="s">
        <v>160</v>
      </c>
      <c r="C1210" t="s">
        <v>433</v>
      </c>
      <c r="E1210" t="s">
        <v>1285</v>
      </c>
      <c r="F1210" t="s">
        <v>2313</v>
      </c>
      <c r="G1210" t="s">
        <v>4022</v>
      </c>
      <c r="H1210" t="s">
        <v>5529</v>
      </c>
      <c r="I1210" t="s">
        <v>6043</v>
      </c>
      <c r="J1210">
        <v>11230</v>
      </c>
      <c r="K1210" t="s">
        <v>6074</v>
      </c>
      <c r="L1210" t="s">
        <v>6074</v>
      </c>
      <c r="M1210" t="s">
        <v>6110</v>
      </c>
      <c r="N1210" t="s">
        <v>6104</v>
      </c>
      <c r="O1210" t="s">
        <v>7309</v>
      </c>
      <c r="Q1210" t="s">
        <v>7322</v>
      </c>
      <c r="R1210" t="s">
        <v>6074</v>
      </c>
      <c r="S1210" t="s">
        <v>7324</v>
      </c>
      <c r="T1210" t="s">
        <v>7336</v>
      </c>
      <c r="U1210" t="s">
        <v>245</v>
      </c>
      <c r="V1210">
        <v>0</v>
      </c>
      <c r="W1210" t="s">
        <v>7362</v>
      </c>
      <c r="X1210" t="s">
        <v>7376</v>
      </c>
      <c r="Z1210" t="s">
        <v>8348</v>
      </c>
      <c r="AC1210">
        <v>55</v>
      </c>
      <c r="AD1210" t="s">
        <v>12422</v>
      </c>
      <c r="AF1210">
        <v>0</v>
      </c>
      <c r="AG1210">
        <v>1</v>
      </c>
      <c r="AH1210">
        <v>0</v>
      </c>
      <c r="AI1210">
        <v>76.51000000000001</v>
      </c>
      <c r="AL1210" t="s">
        <v>12461</v>
      </c>
      <c r="AM1210">
        <v>9288</v>
      </c>
      <c r="AS1210">
        <v>19.45</v>
      </c>
      <c r="AT1210" t="s">
        <v>272</v>
      </c>
      <c r="AU1210" t="s">
        <v>160</v>
      </c>
    </row>
    <row r="1211" spans="1:48">
      <c r="A1211" s="1">
        <f>HYPERLINK("https://cms.ls-nyc.org/matter/dynamic-profile/view/1878794","18-1878794")</f>
        <v>0</v>
      </c>
      <c r="B1211" t="s">
        <v>54</v>
      </c>
      <c r="C1211" t="s">
        <v>282</v>
      </c>
      <c r="E1211" t="s">
        <v>636</v>
      </c>
      <c r="F1211" t="s">
        <v>2744</v>
      </c>
      <c r="G1211" t="s">
        <v>4427</v>
      </c>
      <c r="H1211" t="s">
        <v>5675</v>
      </c>
      <c r="I1211" t="s">
        <v>6052</v>
      </c>
      <c r="J1211">
        <v>11414</v>
      </c>
      <c r="K1211" t="s">
        <v>6074</v>
      </c>
      <c r="L1211" t="s">
        <v>6074</v>
      </c>
      <c r="M1211" t="s">
        <v>6632</v>
      </c>
      <c r="N1211" t="s">
        <v>7274</v>
      </c>
      <c r="O1211" t="s">
        <v>7308</v>
      </c>
      <c r="Q1211" t="s">
        <v>7322</v>
      </c>
      <c r="R1211" t="s">
        <v>6076</v>
      </c>
      <c r="S1211" t="s">
        <v>7324</v>
      </c>
      <c r="T1211" t="s">
        <v>7336</v>
      </c>
      <c r="U1211" t="s">
        <v>282</v>
      </c>
      <c r="V1211">
        <v>1900</v>
      </c>
      <c r="W1211" t="s">
        <v>7361</v>
      </c>
      <c r="X1211" t="s">
        <v>7366</v>
      </c>
      <c r="Z1211" t="s">
        <v>8349</v>
      </c>
      <c r="AB1211" t="s">
        <v>11116</v>
      </c>
      <c r="AC1211">
        <v>2</v>
      </c>
      <c r="AD1211" t="s">
        <v>12419</v>
      </c>
      <c r="AE1211" t="s">
        <v>6110</v>
      </c>
      <c r="AF1211">
        <v>2</v>
      </c>
      <c r="AG1211">
        <v>1</v>
      </c>
      <c r="AH1211">
        <v>1</v>
      </c>
      <c r="AI1211">
        <v>76.55</v>
      </c>
      <c r="AL1211" t="s">
        <v>12460</v>
      </c>
      <c r="AM1211">
        <v>12600</v>
      </c>
      <c r="AO1211" t="s">
        <v>12847</v>
      </c>
      <c r="AP1211" t="s">
        <v>7305</v>
      </c>
      <c r="AQ1211" t="s">
        <v>12910</v>
      </c>
      <c r="AR1211" t="s">
        <v>13002</v>
      </c>
      <c r="AS1211">
        <v>18.15</v>
      </c>
      <c r="AT1211" t="s">
        <v>367</v>
      </c>
      <c r="AU1211" t="s">
        <v>51</v>
      </c>
    </row>
    <row r="1212" spans="1:48">
      <c r="A1212" s="1">
        <f>HYPERLINK("https://cms.ls-nyc.org/matter/dynamic-profile/view/1896079","19-1896079")</f>
        <v>0</v>
      </c>
      <c r="B1212" t="s">
        <v>118</v>
      </c>
      <c r="C1212" t="s">
        <v>302</v>
      </c>
      <c r="E1212" t="s">
        <v>743</v>
      </c>
      <c r="F1212" t="s">
        <v>2528</v>
      </c>
      <c r="G1212" t="s">
        <v>4428</v>
      </c>
      <c r="H1212">
        <v>506</v>
      </c>
      <c r="I1212" t="s">
        <v>6048</v>
      </c>
      <c r="J1212">
        <v>10305</v>
      </c>
      <c r="K1212" t="s">
        <v>6074</v>
      </c>
      <c r="L1212" t="s">
        <v>6074</v>
      </c>
      <c r="M1212" t="s">
        <v>6633</v>
      </c>
      <c r="N1212" t="s">
        <v>7276</v>
      </c>
      <c r="O1212" t="s">
        <v>7308</v>
      </c>
      <c r="Q1212" t="s">
        <v>7322</v>
      </c>
      <c r="R1212" t="s">
        <v>6076</v>
      </c>
      <c r="S1212" t="s">
        <v>7324</v>
      </c>
      <c r="T1212" t="s">
        <v>7339</v>
      </c>
      <c r="U1212" t="s">
        <v>302</v>
      </c>
      <c r="V1212">
        <v>1330</v>
      </c>
      <c r="W1212" t="s">
        <v>7364</v>
      </c>
      <c r="X1212" t="s">
        <v>7366</v>
      </c>
      <c r="Z1212" t="s">
        <v>8350</v>
      </c>
      <c r="AB1212" t="s">
        <v>11117</v>
      </c>
      <c r="AC1212">
        <v>48</v>
      </c>
      <c r="AD1212" t="s">
        <v>12422</v>
      </c>
      <c r="AE1212" t="s">
        <v>12440</v>
      </c>
      <c r="AF1212">
        <v>3</v>
      </c>
      <c r="AG1212">
        <v>1</v>
      </c>
      <c r="AH1212">
        <v>0</v>
      </c>
      <c r="AI1212">
        <v>76.56999999999999</v>
      </c>
      <c r="AL1212" t="s">
        <v>12460</v>
      </c>
      <c r="AM1212">
        <v>9564</v>
      </c>
      <c r="AS1212">
        <v>9.6</v>
      </c>
      <c r="AT1212" t="s">
        <v>265</v>
      </c>
      <c r="AU1212" t="s">
        <v>13101</v>
      </c>
    </row>
    <row r="1213" spans="1:48">
      <c r="A1213" s="1">
        <f>HYPERLINK("https://cms.ls-nyc.org/matter/dynamic-profile/view/1885983","18-1885983")</f>
        <v>0</v>
      </c>
      <c r="B1213" t="s">
        <v>102</v>
      </c>
      <c r="C1213" t="s">
        <v>320</v>
      </c>
      <c r="E1213" t="s">
        <v>1286</v>
      </c>
      <c r="F1213" t="s">
        <v>2745</v>
      </c>
      <c r="G1213" t="s">
        <v>3779</v>
      </c>
      <c r="H1213" t="s">
        <v>5676</v>
      </c>
      <c r="I1213" t="s">
        <v>6047</v>
      </c>
      <c r="J1213">
        <v>10460</v>
      </c>
      <c r="K1213" t="s">
        <v>6074</v>
      </c>
      <c r="L1213" t="s">
        <v>6074</v>
      </c>
      <c r="M1213" t="s">
        <v>6182</v>
      </c>
      <c r="N1213" t="s">
        <v>7273</v>
      </c>
      <c r="O1213" t="s">
        <v>7308</v>
      </c>
      <c r="Q1213" t="s">
        <v>7322</v>
      </c>
      <c r="R1213" t="s">
        <v>6074</v>
      </c>
      <c r="S1213" t="s">
        <v>7324</v>
      </c>
      <c r="U1213" t="s">
        <v>457</v>
      </c>
      <c r="V1213">
        <v>241</v>
      </c>
      <c r="W1213" t="s">
        <v>7363</v>
      </c>
      <c r="X1213" t="s">
        <v>7376</v>
      </c>
      <c r="Z1213" t="s">
        <v>8351</v>
      </c>
      <c r="AB1213" t="s">
        <v>11118</v>
      </c>
      <c r="AC1213">
        <v>169</v>
      </c>
      <c r="AD1213" t="s">
        <v>12426</v>
      </c>
      <c r="AE1213" t="s">
        <v>12434</v>
      </c>
      <c r="AF1213">
        <v>12</v>
      </c>
      <c r="AG1213">
        <v>1</v>
      </c>
      <c r="AH1213">
        <v>0</v>
      </c>
      <c r="AI1213">
        <v>76.61</v>
      </c>
      <c r="AL1213" t="s">
        <v>12460</v>
      </c>
      <c r="AM1213">
        <v>9300</v>
      </c>
      <c r="AS1213">
        <v>0</v>
      </c>
      <c r="AU1213" t="s">
        <v>13113</v>
      </c>
    </row>
    <row r="1214" spans="1:48">
      <c r="A1214" s="1">
        <f>HYPERLINK("https://cms.ls-nyc.org/matter/dynamic-profile/view/1894682","19-1894682")</f>
        <v>0</v>
      </c>
      <c r="B1214" t="s">
        <v>68</v>
      </c>
      <c r="C1214" t="s">
        <v>235</v>
      </c>
      <c r="E1214" t="s">
        <v>1287</v>
      </c>
      <c r="F1214" t="s">
        <v>2076</v>
      </c>
      <c r="G1214" t="s">
        <v>4429</v>
      </c>
      <c r="H1214">
        <v>1</v>
      </c>
      <c r="I1214" t="s">
        <v>6043</v>
      </c>
      <c r="J1214">
        <v>11208</v>
      </c>
      <c r="K1214" t="s">
        <v>6074</v>
      </c>
      <c r="L1214" t="s">
        <v>6074</v>
      </c>
      <c r="M1214" t="s">
        <v>6634</v>
      </c>
      <c r="N1214" t="s">
        <v>7273</v>
      </c>
      <c r="Q1214" t="s">
        <v>7322</v>
      </c>
      <c r="R1214" t="s">
        <v>6076</v>
      </c>
      <c r="S1214" t="s">
        <v>7324</v>
      </c>
      <c r="U1214" t="s">
        <v>338</v>
      </c>
      <c r="V1214">
        <v>1100</v>
      </c>
      <c r="W1214" t="s">
        <v>7362</v>
      </c>
      <c r="Z1214" t="s">
        <v>8352</v>
      </c>
      <c r="AA1214" t="s">
        <v>10123</v>
      </c>
      <c r="AB1214" t="s">
        <v>11119</v>
      </c>
      <c r="AC1214">
        <v>0</v>
      </c>
      <c r="AD1214" t="s">
        <v>12419</v>
      </c>
      <c r="AE1214" t="s">
        <v>7305</v>
      </c>
      <c r="AF1214">
        <v>21</v>
      </c>
      <c r="AG1214">
        <v>4</v>
      </c>
      <c r="AH1214">
        <v>6</v>
      </c>
      <c r="AI1214">
        <v>76.67</v>
      </c>
      <c r="AL1214" t="s">
        <v>12460</v>
      </c>
      <c r="AM1214">
        <v>40075</v>
      </c>
      <c r="AS1214">
        <v>0.5</v>
      </c>
      <c r="AT1214" t="s">
        <v>387</v>
      </c>
      <c r="AU1214" t="s">
        <v>180</v>
      </c>
    </row>
    <row r="1215" spans="1:48">
      <c r="A1215" s="1">
        <f>HYPERLINK("https://cms.ls-nyc.org/matter/dynamic-profile/view/1899594","19-1899594")</f>
        <v>0</v>
      </c>
      <c r="B1215" t="s">
        <v>170</v>
      </c>
      <c r="C1215" t="s">
        <v>446</v>
      </c>
      <c r="D1215" t="s">
        <v>382</v>
      </c>
      <c r="E1215" t="s">
        <v>1288</v>
      </c>
      <c r="F1215" t="s">
        <v>2297</v>
      </c>
      <c r="G1215" t="s">
        <v>4430</v>
      </c>
      <c r="H1215" t="s">
        <v>5490</v>
      </c>
      <c r="I1215" t="s">
        <v>6047</v>
      </c>
      <c r="J1215">
        <v>10457</v>
      </c>
      <c r="K1215" t="s">
        <v>6074</v>
      </c>
      <c r="L1215" t="s">
        <v>6075</v>
      </c>
      <c r="N1215" t="s">
        <v>7288</v>
      </c>
      <c r="O1215" t="s">
        <v>7306</v>
      </c>
      <c r="P1215" t="s">
        <v>7314</v>
      </c>
      <c r="Q1215" t="s">
        <v>7322</v>
      </c>
      <c r="R1215" t="s">
        <v>6076</v>
      </c>
      <c r="S1215" t="s">
        <v>7324</v>
      </c>
      <c r="U1215" t="s">
        <v>316</v>
      </c>
      <c r="V1215">
        <v>1975</v>
      </c>
      <c r="W1215" t="s">
        <v>7363</v>
      </c>
      <c r="Y1215" t="s">
        <v>7386</v>
      </c>
      <c r="Z1215" t="s">
        <v>8353</v>
      </c>
      <c r="AB1215" t="s">
        <v>11120</v>
      </c>
      <c r="AC1215">
        <v>12</v>
      </c>
      <c r="AD1215" t="s">
        <v>12422</v>
      </c>
      <c r="AE1215" t="s">
        <v>12434</v>
      </c>
      <c r="AF1215">
        <v>7</v>
      </c>
      <c r="AG1215">
        <v>1</v>
      </c>
      <c r="AH1215">
        <v>4</v>
      </c>
      <c r="AI1215">
        <v>76.76000000000001</v>
      </c>
      <c r="AL1215" t="s">
        <v>12460</v>
      </c>
      <c r="AM1215">
        <v>23160</v>
      </c>
      <c r="AS1215">
        <v>2.6</v>
      </c>
      <c r="AT1215" t="s">
        <v>382</v>
      </c>
      <c r="AU1215" t="s">
        <v>13095</v>
      </c>
      <c r="AV1215" t="s">
        <v>13145</v>
      </c>
    </row>
    <row r="1216" spans="1:48">
      <c r="A1216" s="1">
        <f>HYPERLINK("https://cms.ls-nyc.org/matter/dynamic-profile/view/1891998","19-1891998")</f>
        <v>0</v>
      </c>
      <c r="B1216" t="s">
        <v>92</v>
      </c>
      <c r="C1216" t="s">
        <v>329</v>
      </c>
      <c r="D1216" t="s">
        <v>457</v>
      </c>
      <c r="E1216" t="s">
        <v>586</v>
      </c>
      <c r="F1216" t="s">
        <v>2746</v>
      </c>
      <c r="G1216" t="s">
        <v>3748</v>
      </c>
      <c r="H1216" t="s">
        <v>5677</v>
      </c>
      <c r="I1216" t="s">
        <v>6043</v>
      </c>
      <c r="J1216">
        <v>11208</v>
      </c>
      <c r="K1216" t="s">
        <v>6074</v>
      </c>
      <c r="L1216" t="s">
        <v>6074</v>
      </c>
      <c r="M1216" t="s">
        <v>6158</v>
      </c>
      <c r="N1216" t="s">
        <v>7273</v>
      </c>
      <c r="O1216" t="s">
        <v>7308</v>
      </c>
      <c r="P1216" t="s">
        <v>7316</v>
      </c>
      <c r="Q1216" t="s">
        <v>7322</v>
      </c>
      <c r="R1216" t="s">
        <v>6074</v>
      </c>
      <c r="S1216" t="s">
        <v>7324</v>
      </c>
      <c r="T1216" t="s">
        <v>7336</v>
      </c>
      <c r="U1216" t="s">
        <v>502</v>
      </c>
      <c r="V1216">
        <v>300</v>
      </c>
      <c r="W1216" t="s">
        <v>7362</v>
      </c>
      <c r="X1216" t="s">
        <v>7368</v>
      </c>
      <c r="Y1216" t="s">
        <v>7386</v>
      </c>
      <c r="Z1216" t="s">
        <v>8354</v>
      </c>
      <c r="AB1216" t="s">
        <v>11121</v>
      </c>
      <c r="AC1216">
        <v>7</v>
      </c>
      <c r="AD1216" t="s">
        <v>12419</v>
      </c>
      <c r="AE1216" t="s">
        <v>6110</v>
      </c>
      <c r="AF1216">
        <v>3</v>
      </c>
      <c r="AG1216">
        <v>1</v>
      </c>
      <c r="AH1216">
        <v>0</v>
      </c>
      <c r="AI1216">
        <v>76.86</v>
      </c>
      <c r="AL1216" t="s">
        <v>12461</v>
      </c>
      <c r="AM1216">
        <v>9600</v>
      </c>
      <c r="AN1216" t="s">
        <v>12600</v>
      </c>
      <c r="AP1216" t="s">
        <v>12889</v>
      </c>
      <c r="AS1216">
        <v>0.1</v>
      </c>
      <c r="AT1216" t="s">
        <v>457</v>
      </c>
      <c r="AU1216" t="s">
        <v>218</v>
      </c>
    </row>
    <row r="1217" spans="1:47">
      <c r="A1217" s="1">
        <f>HYPERLINK("https://cms.ls-nyc.org/matter/dynamic-profile/view/1900646","19-1900646")</f>
        <v>0</v>
      </c>
      <c r="B1217" t="s">
        <v>66</v>
      </c>
      <c r="C1217" t="s">
        <v>260</v>
      </c>
      <c r="E1217" t="s">
        <v>1289</v>
      </c>
      <c r="F1217" t="s">
        <v>2747</v>
      </c>
      <c r="G1217" t="s">
        <v>4431</v>
      </c>
      <c r="H1217" t="s">
        <v>5678</v>
      </c>
      <c r="I1217" t="s">
        <v>6045</v>
      </c>
      <c r="J1217">
        <v>11101</v>
      </c>
      <c r="K1217" t="s">
        <v>6074</v>
      </c>
      <c r="L1217" t="s">
        <v>6075</v>
      </c>
      <c r="M1217" t="s">
        <v>6635</v>
      </c>
      <c r="N1217" t="s">
        <v>7276</v>
      </c>
      <c r="O1217" t="s">
        <v>7310</v>
      </c>
      <c r="Q1217" t="s">
        <v>7322</v>
      </c>
      <c r="R1217" t="s">
        <v>6074</v>
      </c>
      <c r="S1217" t="s">
        <v>7324</v>
      </c>
      <c r="U1217" t="s">
        <v>260</v>
      </c>
      <c r="V1217">
        <v>1268</v>
      </c>
      <c r="W1217" t="s">
        <v>7361</v>
      </c>
      <c r="X1217" t="s">
        <v>7366</v>
      </c>
      <c r="Z1217" t="s">
        <v>8355</v>
      </c>
      <c r="AB1217" t="s">
        <v>11122</v>
      </c>
      <c r="AC1217">
        <v>200</v>
      </c>
      <c r="AF1217">
        <v>2</v>
      </c>
      <c r="AG1217">
        <v>1</v>
      </c>
      <c r="AH1217">
        <v>0</v>
      </c>
      <c r="AI1217">
        <v>76.86</v>
      </c>
      <c r="AL1217" t="s">
        <v>12461</v>
      </c>
      <c r="AM1217">
        <v>9600</v>
      </c>
      <c r="AS1217">
        <v>1.4</v>
      </c>
      <c r="AT1217" t="s">
        <v>382</v>
      </c>
      <c r="AU1217" t="s">
        <v>13078</v>
      </c>
    </row>
    <row r="1218" spans="1:47">
      <c r="A1218" s="1">
        <f>HYPERLINK("https://cms.ls-nyc.org/matter/dynamic-profile/view/1894996","19-1894996")</f>
        <v>0</v>
      </c>
      <c r="B1218" t="s">
        <v>98</v>
      </c>
      <c r="C1218" t="s">
        <v>361</v>
      </c>
      <c r="D1218" t="s">
        <v>397</v>
      </c>
      <c r="E1218" t="s">
        <v>871</v>
      </c>
      <c r="F1218" t="s">
        <v>2748</v>
      </c>
      <c r="G1218" t="s">
        <v>4432</v>
      </c>
      <c r="H1218" t="s">
        <v>5372</v>
      </c>
      <c r="I1218" t="s">
        <v>6047</v>
      </c>
      <c r="J1218">
        <v>10453</v>
      </c>
      <c r="K1218" t="s">
        <v>6074</v>
      </c>
      <c r="L1218" t="s">
        <v>6074</v>
      </c>
      <c r="M1218" t="s">
        <v>6636</v>
      </c>
      <c r="N1218" t="s">
        <v>7279</v>
      </c>
      <c r="O1218" t="s">
        <v>7307</v>
      </c>
      <c r="P1218" t="s">
        <v>7315</v>
      </c>
      <c r="Q1218" t="s">
        <v>7322</v>
      </c>
      <c r="R1218" t="s">
        <v>6076</v>
      </c>
      <c r="S1218" t="s">
        <v>7324</v>
      </c>
      <c r="U1218" t="s">
        <v>361</v>
      </c>
      <c r="V1218">
        <v>1063</v>
      </c>
      <c r="W1218" t="s">
        <v>7363</v>
      </c>
      <c r="X1218" t="s">
        <v>7368</v>
      </c>
      <c r="Y1218" t="s">
        <v>7386</v>
      </c>
      <c r="Z1218" t="s">
        <v>8356</v>
      </c>
      <c r="AB1218" t="s">
        <v>11123</v>
      </c>
      <c r="AC1218">
        <v>58</v>
      </c>
      <c r="AD1218" t="s">
        <v>12422</v>
      </c>
      <c r="AE1218" t="s">
        <v>12441</v>
      </c>
      <c r="AF1218">
        <v>30</v>
      </c>
      <c r="AG1218">
        <v>1</v>
      </c>
      <c r="AH1218">
        <v>0</v>
      </c>
      <c r="AI1218">
        <v>76.86</v>
      </c>
      <c r="AL1218" t="s">
        <v>12460</v>
      </c>
      <c r="AM1218">
        <v>9600</v>
      </c>
      <c r="AS1218">
        <v>2.3</v>
      </c>
      <c r="AT1218" t="s">
        <v>397</v>
      </c>
      <c r="AU1218" t="s">
        <v>98</v>
      </c>
    </row>
    <row r="1219" spans="1:47">
      <c r="A1219" s="1">
        <f>HYPERLINK("https://cms.ls-nyc.org/matter/dynamic-profile/view/1892192","19-1892192")</f>
        <v>0</v>
      </c>
      <c r="B1219" t="s">
        <v>98</v>
      </c>
      <c r="C1219" t="s">
        <v>359</v>
      </c>
      <c r="D1219" t="s">
        <v>397</v>
      </c>
      <c r="E1219" t="s">
        <v>871</v>
      </c>
      <c r="F1219" t="s">
        <v>2748</v>
      </c>
      <c r="G1219" t="s">
        <v>4432</v>
      </c>
      <c r="H1219" t="s">
        <v>5372</v>
      </c>
      <c r="I1219" t="s">
        <v>6047</v>
      </c>
      <c r="J1219">
        <v>10453</v>
      </c>
      <c r="K1219" t="s">
        <v>6074</v>
      </c>
      <c r="L1219" t="s">
        <v>6074</v>
      </c>
      <c r="M1219" t="s">
        <v>6637</v>
      </c>
      <c r="N1219" t="s">
        <v>7274</v>
      </c>
      <c r="O1219" t="s">
        <v>7306</v>
      </c>
      <c r="P1219" t="s">
        <v>7314</v>
      </c>
      <c r="Q1219" t="s">
        <v>7322</v>
      </c>
      <c r="R1219" t="s">
        <v>6076</v>
      </c>
      <c r="S1219" t="s">
        <v>7324</v>
      </c>
      <c r="T1219" t="s">
        <v>7340</v>
      </c>
      <c r="U1219" t="s">
        <v>334</v>
      </c>
      <c r="V1219">
        <v>1063</v>
      </c>
      <c r="W1219" t="s">
        <v>7363</v>
      </c>
      <c r="X1219" t="s">
        <v>7373</v>
      </c>
      <c r="Y1219" t="s">
        <v>7386</v>
      </c>
      <c r="Z1219" t="s">
        <v>8356</v>
      </c>
      <c r="AB1219" t="s">
        <v>11123</v>
      </c>
      <c r="AC1219">
        <v>58</v>
      </c>
      <c r="AD1219" t="s">
        <v>12422</v>
      </c>
      <c r="AF1219">
        <v>30</v>
      </c>
      <c r="AG1219">
        <v>1</v>
      </c>
      <c r="AH1219">
        <v>0</v>
      </c>
      <c r="AI1219">
        <v>76.86</v>
      </c>
      <c r="AL1219" t="s">
        <v>12460</v>
      </c>
      <c r="AM1219">
        <v>9600</v>
      </c>
      <c r="AS1219">
        <v>2.35</v>
      </c>
      <c r="AT1219" t="s">
        <v>397</v>
      </c>
      <c r="AU1219" t="s">
        <v>13094</v>
      </c>
    </row>
    <row r="1220" spans="1:47">
      <c r="A1220" s="1">
        <f>HYPERLINK("https://cms.ls-nyc.org/matter/dynamic-profile/view/1893577","19-1893577")</f>
        <v>0</v>
      </c>
      <c r="B1220" t="s">
        <v>134</v>
      </c>
      <c r="C1220" t="s">
        <v>436</v>
      </c>
      <c r="D1220" t="s">
        <v>268</v>
      </c>
      <c r="E1220" t="s">
        <v>1290</v>
      </c>
      <c r="F1220" t="s">
        <v>2749</v>
      </c>
      <c r="G1220" t="s">
        <v>4433</v>
      </c>
      <c r="H1220" t="s">
        <v>5627</v>
      </c>
      <c r="I1220" t="s">
        <v>6049</v>
      </c>
      <c r="J1220">
        <v>10035</v>
      </c>
      <c r="K1220" t="s">
        <v>6074</v>
      </c>
      <c r="L1220" t="s">
        <v>6074</v>
      </c>
      <c r="N1220" t="s">
        <v>6104</v>
      </c>
      <c r="O1220" t="s">
        <v>7307</v>
      </c>
      <c r="P1220" t="s">
        <v>7315</v>
      </c>
      <c r="Q1220" t="s">
        <v>7322</v>
      </c>
      <c r="R1220" t="s">
        <v>6076</v>
      </c>
      <c r="S1220" t="s">
        <v>7324</v>
      </c>
      <c r="T1220" t="s">
        <v>7336</v>
      </c>
      <c r="U1220" t="s">
        <v>367</v>
      </c>
      <c r="V1220">
        <v>2212.04</v>
      </c>
      <c r="W1220" t="s">
        <v>7365</v>
      </c>
      <c r="X1220" t="s">
        <v>7375</v>
      </c>
      <c r="Y1220" t="s">
        <v>7400</v>
      </c>
      <c r="Z1220" t="s">
        <v>8357</v>
      </c>
      <c r="AB1220" t="s">
        <v>11124</v>
      </c>
      <c r="AC1220">
        <v>13</v>
      </c>
      <c r="AD1220" t="s">
        <v>12425</v>
      </c>
      <c r="AE1220" t="s">
        <v>6110</v>
      </c>
      <c r="AF1220">
        <v>13</v>
      </c>
      <c r="AG1220">
        <v>1</v>
      </c>
      <c r="AH1220">
        <v>0</v>
      </c>
      <c r="AI1220">
        <v>76.86</v>
      </c>
      <c r="AL1220" t="s">
        <v>12460</v>
      </c>
      <c r="AM1220">
        <v>9600</v>
      </c>
      <c r="AS1220">
        <v>4.25</v>
      </c>
      <c r="AT1220" t="s">
        <v>268</v>
      </c>
      <c r="AU1220" t="s">
        <v>13107</v>
      </c>
    </row>
    <row r="1221" spans="1:47">
      <c r="A1221" s="1">
        <f>HYPERLINK("https://cms.ls-nyc.org/matter/dynamic-profile/view/1892004","19-1892004")</f>
        <v>0</v>
      </c>
      <c r="B1221" t="s">
        <v>72</v>
      </c>
      <c r="C1221" t="s">
        <v>329</v>
      </c>
      <c r="E1221" t="s">
        <v>1291</v>
      </c>
      <c r="F1221" t="s">
        <v>2750</v>
      </c>
      <c r="G1221" t="s">
        <v>3700</v>
      </c>
      <c r="H1221" t="s">
        <v>5363</v>
      </c>
      <c r="I1221" t="s">
        <v>6043</v>
      </c>
      <c r="J1221">
        <v>11233</v>
      </c>
      <c r="K1221" t="s">
        <v>6074</v>
      </c>
      <c r="L1221" t="s">
        <v>6076</v>
      </c>
      <c r="N1221" t="s">
        <v>7279</v>
      </c>
      <c r="O1221" t="s">
        <v>7311</v>
      </c>
      <c r="Q1221" t="s">
        <v>7322</v>
      </c>
      <c r="R1221" t="s">
        <v>6074</v>
      </c>
      <c r="S1221" t="s">
        <v>7324</v>
      </c>
      <c r="T1221" t="s">
        <v>7336</v>
      </c>
      <c r="U1221" t="s">
        <v>330</v>
      </c>
      <c r="V1221">
        <v>654.65</v>
      </c>
      <c r="W1221" t="s">
        <v>7362</v>
      </c>
      <c r="X1221" t="s">
        <v>7305</v>
      </c>
      <c r="Z1221" t="s">
        <v>8358</v>
      </c>
      <c r="AC1221">
        <v>359</v>
      </c>
      <c r="AD1221" t="s">
        <v>12422</v>
      </c>
      <c r="AE1221" t="s">
        <v>6110</v>
      </c>
      <c r="AF1221">
        <v>17</v>
      </c>
      <c r="AG1221">
        <v>1</v>
      </c>
      <c r="AH1221">
        <v>1</v>
      </c>
      <c r="AI1221">
        <v>76.88</v>
      </c>
      <c r="AL1221" t="s">
        <v>12460</v>
      </c>
      <c r="AM1221">
        <v>13000</v>
      </c>
      <c r="AN1221" t="s">
        <v>12601</v>
      </c>
      <c r="AS1221">
        <v>0</v>
      </c>
      <c r="AU1221" t="s">
        <v>180</v>
      </c>
    </row>
    <row r="1222" spans="1:47">
      <c r="A1222" s="1">
        <f>HYPERLINK("https://cms.ls-nyc.org/matter/dynamic-profile/view/1892008","19-1892008")</f>
        <v>0</v>
      </c>
      <c r="B1222" t="s">
        <v>72</v>
      </c>
      <c r="C1222" t="s">
        <v>329</v>
      </c>
      <c r="E1222" t="s">
        <v>1291</v>
      </c>
      <c r="F1222" t="s">
        <v>2750</v>
      </c>
      <c r="G1222" t="s">
        <v>3700</v>
      </c>
      <c r="H1222" t="s">
        <v>5363</v>
      </c>
      <c r="I1222" t="s">
        <v>6043</v>
      </c>
      <c r="J1222">
        <v>11233</v>
      </c>
      <c r="K1222" t="s">
        <v>6074</v>
      </c>
      <c r="L1222" t="s">
        <v>6076</v>
      </c>
      <c r="N1222" t="s">
        <v>7275</v>
      </c>
      <c r="O1222" t="s">
        <v>7307</v>
      </c>
      <c r="Q1222" t="s">
        <v>7322</v>
      </c>
      <c r="R1222" t="s">
        <v>6074</v>
      </c>
      <c r="S1222" t="s">
        <v>7324</v>
      </c>
      <c r="T1222" t="s">
        <v>7336</v>
      </c>
      <c r="U1222" t="s">
        <v>287</v>
      </c>
      <c r="V1222">
        <v>654.65</v>
      </c>
      <c r="W1222" t="s">
        <v>7362</v>
      </c>
      <c r="X1222" t="s">
        <v>7305</v>
      </c>
      <c r="Z1222" t="s">
        <v>8358</v>
      </c>
      <c r="AC1222">
        <v>359</v>
      </c>
      <c r="AD1222" t="s">
        <v>12422</v>
      </c>
      <c r="AE1222" t="s">
        <v>6110</v>
      </c>
      <c r="AF1222">
        <v>17</v>
      </c>
      <c r="AG1222">
        <v>1</v>
      </c>
      <c r="AH1222">
        <v>1</v>
      </c>
      <c r="AI1222">
        <v>76.88</v>
      </c>
      <c r="AL1222" t="s">
        <v>12460</v>
      </c>
      <c r="AM1222">
        <v>13000</v>
      </c>
      <c r="AN1222" t="s">
        <v>12602</v>
      </c>
      <c r="AS1222">
        <v>0</v>
      </c>
      <c r="AU1222" t="s">
        <v>180</v>
      </c>
    </row>
    <row r="1223" spans="1:47">
      <c r="A1223" s="1">
        <f>HYPERLINK("https://cms.ls-nyc.org/matter/dynamic-profile/view/1891139","19-1891139")</f>
        <v>0</v>
      </c>
      <c r="B1223" t="s">
        <v>88</v>
      </c>
      <c r="C1223" t="s">
        <v>491</v>
      </c>
      <c r="E1223" t="s">
        <v>1292</v>
      </c>
      <c r="F1223" t="s">
        <v>2100</v>
      </c>
      <c r="G1223" t="s">
        <v>4434</v>
      </c>
      <c r="H1223" t="s">
        <v>5679</v>
      </c>
      <c r="I1223" t="s">
        <v>6043</v>
      </c>
      <c r="J1223">
        <v>11226</v>
      </c>
      <c r="K1223" t="s">
        <v>6074</v>
      </c>
      <c r="L1223" t="s">
        <v>6074</v>
      </c>
      <c r="Q1223" t="s">
        <v>7322</v>
      </c>
      <c r="S1223" t="s">
        <v>7324</v>
      </c>
      <c r="U1223" t="s">
        <v>378</v>
      </c>
      <c r="V1223">
        <v>1106.76</v>
      </c>
      <c r="W1223" t="s">
        <v>7362</v>
      </c>
      <c r="Z1223" t="s">
        <v>8359</v>
      </c>
      <c r="AC1223">
        <v>0</v>
      </c>
      <c r="AF1223">
        <v>25</v>
      </c>
      <c r="AG1223">
        <v>2</v>
      </c>
      <c r="AH1223">
        <v>0</v>
      </c>
      <c r="AI1223">
        <v>76.88</v>
      </c>
      <c r="AL1223" t="s">
        <v>12460</v>
      </c>
      <c r="AM1223">
        <v>13000</v>
      </c>
      <c r="AS1223">
        <v>0</v>
      </c>
      <c r="AU1223" t="s">
        <v>88</v>
      </c>
    </row>
    <row r="1224" spans="1:47">
      <c r="A1224" s="1">
        <f>HYPERLINK("https://cms.ls-nyc.org/matter/dynamic-profile/view/1874174","18-1874174")</f>
        <v>0</v>
      </c>
      <c r="B1224" t="s">
        <v>77</v>
      </c>
      <c r="C1224" t="s">
        <v>384</v>
      </c>
      <c r="E1224" t="s">
        <v>1293</v>
      </c>
      <c r="F1224" t="s">
        <v>2337</v>
      </c>
      <c r="G1224" t="s">
        <v>4435</v>
      </c>
      <c r="H1224" t="s">
        <v>5359</v>
      </c>
      <c r="I1224" t="s">
        <v>6043</v>
      </c>
      <c r="J1224">
        <v>11208</v>
      </c>
      <c r="K1224" t="s">
        <v>6074</v>
      </c>
      <c r="L1224" t="s">
        <v>6074</v>
      </c>
      <c r="M1224" t="s">
        <v>6638</v>
      </c>
      <c r="N1224" t="s">
        <v>7276</v>
      </c>
      <c r="O1224" t="s">
        <v>7308</v>
      </c>
      <c r="Q1224" t="s">
        <v>7322</v>
      </c>
      <c r="S1224" t="s">
        <v>7324</v>
      </c>
      <c r="U1224" t="s">
        <v>384</v>
      </c>
      <c r="V1224">
        <v>180</v>
      </c>
      <c r="W1224" t="s">
        <v>7362</v>
      </c>
      <c r="X1224" t="s">
        <v>7379</v>
      </c>
      <c r="Z1224" t="s">
        <v>8360</v>
      </c>
      <c r="AC1224">
        <v>4</v>
      </c>
      <c r="AF1224">
        <v>15</v>
      </c>
      <c r="AG1224">
        <v>1</v>
      </c>
      <c r="AH1224">
        <v>0</v>
      </c>
      <c r="AI1224">
        <v>77.09999999999999</v>
      </c>
      <c r="AL1224" t="s">
        <v>12460</v>
      </c>
      <c r="AM1224">
        <v>9360</v>
      </c>
      <c r="AS1224">
        <v>61.75</v>
      </c>
      <c r="AT1224" t="s">
        <v>270</v>
      </c>
      <c r="AU1224" t="s">
        <v>13082</v>
      </c>
    </row>
    <row r="1225" spans="1:47">
      <c r="A1225" s="1">
        <f>HYPERLINK("https://cms.ls-nyc.org/matter/dynamic-profile/view/1874188","18-1874188")</f>
        <v>0</v>
      </c>
      <c r="B1225" t="s">
        <v>77</v>
      </c>
      <c r="C1225" t="s">
        <v>384</v>
      </c>
      <c r="E1225" t="s">
        <v>1293</v>
      </c>
      <c r="F1225" t="s">
        <v>2337</v>
      </c>
      <c r="G1225" t="s">
        <v>4435</v>
      </c>
      <c r="H1225" t="s">
        <v>5359</v>
      </c>
      <c r="I1225" t="s">
        <v>6043</v>
      </c>
      <c r="J1225">
        <v>11208</v>
      </c>
      <c r="K1225" t="s">
        <v>6074</v>
      </c>
      <c r="L1225" t="s">
        <v>6074</v>
      </c>
      <c r="M1225" t="s">
        <v>6638</v>
      </c>
      <c r="O1225" t="s">
        <v>7306</v>
      </c>
      <c r="Q1225" t="s">
        <v>7322</v>
      </c>
      <c r="S1225" t="s">
        <v>7327</v>
      </c>
      <c r="U1225" t="s">
        <v>384</v>
      </c>
      <c r="V1225">
        <v>0</v>
      </c>
      <c r="W1225" t="s">
        <v>7362</v>
      </c>
      <c r="Z1225" t="s">
        <v>8360</v>
      </c>
      <c r="AC1225">
        <v>0</v>
      </c>
      <c r="AF1225">
        <v>0</v>
      </c>
      <c r="AG1225">
        <v>1</v>
      </c>
      <c r="AH1225">
        <v>0</v>
      </c>
      <c r="AI1225">
        <v>77.09999999999999</v>
      </c>
      <c r="AL1225" t="s">
        <v>12460</v>
      </c>
      <c r="AM1225">
        <v>9360</v>
      </c>
      <c r="AS1225">
        <v>2</v>
      </c>
      <c r="AT1225" t="s">
        <v>299</v>
      </c>
      <c r="AU1225" t="s">
        <v>13082</v>
      </c>
    </row>
    <row r="1226" spans="1:47">
      <c r="A1226" s="1">
        <f>HYPERLINK("https://cms.ls-nyc.org/matter/dynamic-profile/view/1876131","18-1876131")</f>
        <v>0</v>
      </c>
      <c r="B1226" t="s">
        <v>126</v>
      </c>
      <c r="C1226" t="s">
        <v>377</v>
      </c>
      <c r="E1226" t="s">
        <v>767</v>
      </c>
      <c r="F1226" t="s">
        <v>2751</v>
      </c>
      <c r="G1226" t="s">
        <v>4436</v>
      </c>
      <c r="H1226" t="s">
        <v>5393</v>
      </c>
      <c r="I1226" t="s">
        <v>6049</v>
      </c>
      <c r="J1226">
        <v>10031</v>
      </c>
      <c r="K1226" t="s">
        <v>6074</v>
      </c>
      <c r="L1226" t="s">
        <v>6074</v>
      </c>
      <c r="N1226" t="s">
        <v>6104</v>
      </c>
      <c r="O1226" t="s">
        <v>7306</v>
      </c>
      <c r="Q1226" t="s">
        <v>7322</v>
      </c>
      <c r="R1226" t="s">
        <v>6074</v>
      </c>
      <c r="S1226" t="s">
        <v>7324</v>
      </c>
      <c r="T1226" t="s">
        <v>7336</v>
      </c>
      <c r="U1226" t="s">
        <v>377</v>
      </c>
      <c r="V1226">
        <v>144</v>
      </c>
      <c r="W1226" t="s">
        <v>7365</v>
      </c>
      <c r="X1226" t="s">
        <v>7375</v>
      </c>
      <c r="Z1226" t="s">
        <v>7608</v>
      </c>
      <c r="AC1226">
        <v>42</v>
      </c>
      <c r="AD1226" t="s">
        <v>12420</v>
      </c>
      <c r="AE1226" t="s">
        <v>12434</v>
      </c>
      <c r="AF1226">
        <v>23</v>
      </c>
      <c r="AG1226">
        <v>1</v>
      </c>
      <c r="AH1226">
        <v>0</v>
      </c>
      <c r="AI1226">
        <v>77.09999999999999</v>
      </c>
      <c r="AL1226" t="s">
        <v>12460</v>
      </c>
      <c r="AM1226">
        <v>9360</v>
      </c>
      <c r="AN1226" t="s">
        <v>12590</v>
      </c>
      <c r="AS1226">
        <v>0.2</v>
      </c>
      <c r="AT1226" t="s">
        <v>341</v>
      </c>
      <c r="AU1226" t="s">
        <v>13107</v>
      </c>
    </row>
    <row r="1227" spans="1:47">
      <c r="A1227" s="1">
        <f>HYPERLINK("https://cms.ls-nyc.org/matter/dynamic-profile/view/1887291","19-1887291")</f>
        <v>0</v>
      </c>
      <c r="B1227" t="s">
        <v>70</v>
      </c>
      <c r="C1227" t="s">
        <v>267</v>
      </c>
      <c r="E1227" t="s">
        <v>695</v>
      </c>
      <c r="F1227" t="s">
        <v>2164</v>
      </c>
      <c r="G1227" t="s">
        <v>3760</v>
      </c>
      <c r="H1227" t="s">
        <v>5426</v>
      </c>
      <c r="I1227" t="s">
        <v>6043</v>
      </c>
      <c r="J1227">
        <v>11203</v>
      </c>
      <c r="K1227" t="s">
        <v>6076</v>
      </c>
      <c r="L1227" t="s">
        <v>6076</v>
      </c>
      <c r="N1227" t="s">
        <v>7276</v>
      </c>
      <c r="O1227" t="s">
        <v>7308</v>
      </c>
      <c r="Q1227" t="s">
        <v>7322</v>
      </c>
      <c r="R1227" t="s">
        <v>6076</v>
      </c>
      <c r="S1227" t="s">
        <v>7331</v>
      </c>
      <c r="T1227" t="s">
        <v>7336</v>
      </c>
      <c r="U1227" t="s">
        <v>267</v>
      </c>
      <c r="V1227">
        <v>0</v>
      </c>
      <c r="W1227" t="s">
        <v>7362</v>
      </c>
      <c r="X1227" t="s">
        <v>7368</v>
      </c>
      <c r="Z1227" t="s">
        <v>7533</v>
      </c>
      <c r="AB1227" t="s">
        <v>10383</v>
      </c>
      <c r="AC1227">
        <v>0</v>
      </c>
      <c r="AD1227" t="s">
        <v>12428</v>
      </c>
      <c r="AE1227" t="s">
        <v>12434</v>
      </c>
      <c r="AF1227">
        <v>0</v>
      </c>
      <c r="AG1227">
        <v>1</v>
      </c>
      <c r="AH1227">
        <v>0</v>
      </c>
      <c r="AI1227">
        <v>77.2</v>
      </c>
      <c r="AM1227">
        <v>9372</v>
      </c>
      <c r="AS1227">
        <v>5.5</v>
      </c>
      <c r="AT1227" t="s">
        <v>294</v>
      </c>
      <c r="AU1227" t="s">
        <v>70</v>
      </c>
    </row>
    <row r="1228" spans="1:47">
      <c r="A1228" s="1">
        <f>HYPERLINK("https://cms.ls-nyc.org/matter/dynamic-profile/view/1883625","18-1883625")</f>
        <v>0</v>
      </c>
      <c r="B1228" t="s">
        <v>133</v>
      </c>
      <c r="C1228" t="s">
        <v>380</v>
      </c>
      <c r="D1228" t="s">
        <v>429</v>
      </c>
      <c r="E1228" t="s">
        <v>1294</v>
      </c>
      <c r="F1228" t="s">
        <v>2752</v>
      </c>
      <c r="G1228" t="s">
        <v>4437</v>
      </c>
      <c r="H1228">
        <v>6</v>
      </c>
      <c r="I1228" t="s">
        <v>6049</v>
      </c>
      <c r="J1228">
        <v>10033</v>
      </c>
      <c r="K1228" t="s">
        <v>6074</v>
      </c>
      <c r="L1228" t="s">
        <v>6074</v>
      </c>
      <c r="N1228" t="s">
        <v>7276</v>
      </c>
      <c r="O1228" t="s">
        <v>7306</v>
      </c>
      <c r="P1228" t="s">
        <v>7314</v>
      </c>
      <c r="Q1228" t="s">
        <v>7322</v>
      </c>
      <c r="R1228" t="s">
        <v>6076</v>
      </c>
      <c r="S1228" t="s">
        <v>7324</v>
      </c>
      <c r="U1228" t="s">
        <v>380</v>
      </c>
      <c r="V1228">
        <v>160</v>
      </c>
      <c r="W1228" t="s">
        <v>7365</v>
      </c>
      <c r="X1228" t="s">
        <v>7368</v>
      </c>
      <c r="Y1228" t="s">
        <v>7386</v>
      </c>
      <c r="Z1228" t="s">
        <v>8361</v>
      </c>
      <c r="AB1228" t="s">
        <v>11125</v>
      </c>
      <c r="AC1228">
        <v>0</v>
      </c>
      <c r="AD1228" t="s">
        <v>12422</v>
      </c>
      <c r="AE1228" t="s">
        <v>12434</v>
      </c>
      <c r="AF1228">
        <v>22</v>
      </c>
      <c r="AG1228">
        <v>1</v>
      </c>
      <c r="AH1228">
        <v>0</v>
      </c>
      <c r="AI1228">
        <v>77.2</v>
      </c>
      <c r="AL1228" t="s">
        <v>12461</v>
      </c>
      <c r="AM1228">
        <v>9372</v>
      </c>
      <c r="AS1228">
        <v>2.5</v>
      </c>
      <c r="AT1228" t="s">
        <v>297</v>
      </c>
      <c r="AU1228" t="s">
        <v>13106</v>
      </c>
    </row>
    <row r="1229" spans="1:47">
      <c r="A1229" s="1">
        <f>HYPERLINK("https://cms.ls-nyc.org/matter/dynamic-profile/view/1875101","18-1875101")</f>
        <v>0</v>
      </c>
      <c r="B1229" t="s">
        <v>126</v>
      </c>
      <c r="C1229" t="s">
        <v>427</v>
      </c>
      <c r="E1229" t="s">
        <v>1106</v>
      </c>
      <c r="F1229" t="s">
        <v>2528</v>
      </c>
      <c r="G1229" t="s">
        <v>4436</v>
      </c>
      <c r="H1229" t="s">
        <v>5467</v>
      </c>
      <c r="I1229" t="s">
        <v>6049</v>
      </c>
      <c r="J1229">
        <v>10031</v>
      </c>
      <c r="K1229" t="s">
        <v>6074</v>
      </c>
      <c r="L1229" t="s">
        <v>6074</v>
      </c>
      <c r="M1229" t="s">
        <v>6639</v>
      </c>
      <c r="N1229" t="s">
        <v>7273</v>
      </c>
      <c r="O1229" t="s">
        <v>7308</v>
      </c>
      <c r="Q1229" t="s">
        <v>7322</v>
      </c>
      <c r="R1229" t="s">
        <v>6074</v>
      </c>
      <c r="S1229" t="s">
        <v>7324</v>
      </c>
      <c r="T1229" t="s">
        <v>7336</v>
      </c>
      <c r="U1229" t="s">
        <v>427</v>
      </c>
      <c r="V1229">
        <v>0</v>
      </c>
      <c r="W1229" t="s">
        <v>7365</v>
      </c>
      <c r="X1229" t="s">
        <v>7375</v>
      </c>
      <c r="Z1229" t="s">
        <v>8362</v>
      </c>
      <c r="AC1229">
        <v>42</v>
      </c>
      <c r="AD1229" t="s">
        <v>12420</v>
      </c>
      <c r="AE1229" t="s">
        <v>12434</v>
      </c>
      <c r="AF1229">
        <v>31</v>
      </c>
      <c r="AG1229">
        <v>1</v>
      </c>
      <c r="AH1229">
        <v>0</v>
      </c>
      <c r="AI1229">
        <v>77.27</v>
      </c>
      <c r="AL1229" t="s">
        <v>12460</v>
      </c>
      <c r="AM1229">
        <v>9380.040000000001</v>
      </c>
      <c r="AO1229" t="s">
        <v>12847</v>
      </c>
      <c r="AS1229">
        <v>0.75</v>
      </c>
      <c r="AT1229" t="s">
        <v>333</v>
      </c>
      <c r="AU1229" t="s">
        <v>13107</v>
      </c>
    </row>
    <row r="1230" spans="1:47">
      <c r="A1230" s="1">
        <f>HYPERLINK("https://cms.ls-nyc.org/matter/dynamic-profile/view/1891991","19-1891991")</f>
        <v>0</v>
      </c>
      <c r="B1230" t="s">
        <v>72</v>
      </c>
      <c r="C1230" t="s">
        <v>329</v>
      </c>
      <c r="E1230" t="s">
        <v>896</v>
      </c>
      <c r="F1230" t="s">
        <v>2753</v>
      </c>
      <c r="G1230" t="s">
        <v>3702</v>
      </c>
      <c r="H1230" t="s">
        <v>5680</v>
      </c>
      <c r="I1230" t="s">
        <v>6043</v>
      </c>
      <c r="J1230">
        <v>11233</v>
      </c>
      <c r="K1230" t="s">
        <v>6074</v>
      </c>
      <c r="L1230" t="s">
        <v>6076</v>
      </c>
      <c r="N1230" t="s">
        <v>7279</v>
      </c>
      <c r="O1230" t="s">
        <v>7311</v>
      </c>
      <c r="Q1230" t="s">
        <v>7322</v>
      </c>
      <c r="R1230" t="s">
        <v>6074</v>
      </c>
      <c r="S1230" t="s">
        <v>7324</v>
      </c>
      <c r="T1230" t="s">
        <v>7336</v>
      </c>
      <c r="U1230" t="s">
        <v>330</v>
      </c>
      <c r="V1230">
        <v>1040.6</v>
      </c>
      <c r="W1230" t="s">
        <v>7362</v>
      </c>
      <c r="X1230" t="s">
        <v>7305</v>
      </c>
      <c r="Z1230" t="s">
        <v>8363</v>
      </c>
      <c r="AC1230">
        <v>359</v>
      </c>
      <c r="AD1230" t="s">
        <v>12422</v>
      </c>
      <c r="AE1230" t="s">
        <v>12434</v>
      </c>
      <c r="AF1230">
        <v>29</v>
      </c>
      <c r="AG1230">
        <v>2</v>
      </c>
      <c r="AH1230">
        <v>0</v>
      </c>
      <c r="AI1230">
        <v>77.31999999999999</v>
      </c>
      <c r="AL1230" t="s">
        <v>12460</v>
      </c>
      <c r="AM1230">
        <v>13074</v>
      </c>
      <c r="AN1230" t="s">
        <v>12603</v>
      </c>
      <c r="AS1230">
        <v>0</v>
      </c>
      <c r="AU1230" t="s">
        <v>180</v>
      </c>
    </row>
    <row r="1231" spans="1:47">
      <c r="A1231" s="1">
        <f>HYPERLINK("https://cms.ls-nyc.org/matter/dynamic-profile/view/1891999","19-1891999")</f>
        <v>0</v>
      </c>
      <c r="B1231" t="s">
        <v>72</v>
      </c>
      <c r="C1231" t="s">
        <v>329</v>
      </c>
      <c r="E1231" t="s">
        <v>896</v>
      </c>
      <c r="F1231" t="s">
        <v>2753</v>
      </c>
      <c r="G1231" t="s">
        <v>3702</v>
      </c>
      <c r="H1231" t="s">
        <v>5680</v>
      </c>
      <c r="I1231" t="s">
        <v>6043</v>
      </c>
      <c r="J1231">
        <v>11233</v>
      </c>
      <c r="K1231" t="s">
        <v>6074</v>
      </c>
      <c r="L1231" t="s">
        <v>6076</v>
      </c>
      <c r="N1231" t="s">
        <v>7275</v>
      </c>
      <c r="O1231" t="s">
        <v>7307</v>
      </c>
      <c r="Q1231" t="s">
        <v>7322</v>
      </c>
      <c r="R1231" t="s">
        <v>6074</v>
      </c>
      <c r="S1231" t="s">
        <v>7324</v>
      </c>
      <c r="T1231" t="s">
        <v>7336</v>
      </c>
      <c r="U1231" t="s">
        <v>287</v>
      </c>
      <c r="V1231">
        <v>1040.6</v>
      </c>
      <c r="W1231" t="s">
        <v>7362</v>
      </c>
      <c r="X1231" t="s">
        <v>7305</v>
      </c>
      <c r="Z1231" t="s">
        <v>8363</v>
      </c>
      <c r="AC1231">
        <v>359</v>
      </c>
      <c r="AD1231" t="s">
        <v>12422</v>
      </c>
      <c r="AE1231" t="s">
        <v>12434</v>
      </c>
      <c r="AF1231">
        <v>29</v>
      </c>
      <c r="AG1231">
        <v>2</v>
      </c>
      <c r="AH1231">
        <v>0</v>
      </c>
      <c r="AI1231">
        <v>77.31999999999999</v>
      </c>
      <c r="AL1231" t="s">
        <v>12460</v>
      </c>
      <c r="AM1231">
        <v>13074</v>
      </c>
      <c r="AN1231" t="s">
        <v>12604</v>
      </c>
      <c r="AS1231">
        <v>0</v>
      </c>
      <c r="AU1231" t="s">
        <v>180</v>
      </c>
    </row>
    <row r="1232" spans="1:47">
      <c r="A1232" s="1">
        <f>HYPERLINK("https://cms.ls-nyc.org/matter/dynamic-profile/view/1889657","19-1889657")</f>
        <v>0</v>
      </c>
      <c r="B1232" t="s">
        <v>54</v>
      </c>
      <c r="C1232" t="s">
        <v>365</v>
      </c>
      <c r="E1232" t="s">
        <v>1295</v>
      </c>
      <c r="F1232" t="s">
        <v>2754</v>
      </c>
      <c r="G1232" t="s">
        <v>4438</v>
      </c>
      <c r="H1232" t="s">
        <v>5433</v>
      </c>
      <c r="I1232" t="s">
        <v>6036</v>
      </c>
      <c r="J1232">
        <v>11374</v>
      </c>
      <c r="K1232" t="s">
        <v>6074</v>
      </c>
      <c r="L1232" t="s">
        <v>6074</v>
      </c>
      <c r="M1232" t="s">
        <v>6640</v>
      </c>
      <c r="N1232" t="s">
        <v>7276</v>
      </c>
      <c r="O1232" t="s">
        <v>7307</v>
      </c>
      <c r="Q1232" t="s">
        <v>7323</v>
      </c>
      <c r="R1232" t="s">
        <v>6076</v>
      </c>
      <c r="S1232" t="s">
        <v>7324</v>
      </c>
      <c r="T1232" t="s">
        <v>7338</v>
      </c>
      <c r="U1232" t="s">
        <v>261</v>
      </c>
      <c r="V1232">
        <v>1800</v>
      </c>
      <c r="W1232" t="s">
        <v>7361</v>
      </c>
      <c r="X1232" t="s">
        <v>7369</v>
      </c>
      <c r="Z1232" t="s">
        <v>8364</v>
      </c>
      <c r="AA1232" t="s">
        <v>9856</v>
      </c>
      <c r="AB1232" t="s">
        <v>9856</v>
      </c>
      <c r="AC1232">
        <v>6</v>
      </c>
      <c r="AD1232" t="s">
        <v>12422</v>
      </c>
      <c r="AE1232" t="s">
        <v>6110</v>
      </c>
      <c r="AF1232">
        <v>0</v>
      </c>
      <c r="AG1232">
        <v>2</v>
      </c>
      <c r="AH1232">
        <v>2</v>
      </c>
      <c r="AI1232">
        <v>77.67</v>
      </c>
      <c r="AJ1232" t="s">
        <v>12443</v>
      </c>
      <c r="AK1232" t="s">
        <v>12455</v>
      </c>
      <c r="AL1232" t="s">
        <v>12460</v>
      </c>
      <c r="AM1232">
        <v>20000</v>
      </c>
      <c r="AS1232">
        <v>1.95</v>
      </c>
      <c r="AT1232" t="s">
        <v>367</v>
      </c>
      <c r="AU1232" t="s">
        <v>48</v>
      </c>
    </row>
    <row r="1233" spans="1:48">
      <c r="A1233" s="1">
        <f>HYPERLINK("https://cms.ls-nyc.org/matter/dynamic-profile/view/1900799","19-1900799")</f>
        <v>0</v>
      </c>
      <c r="B1233" t="s">
        <v>89</v>
      </c>
      <c r="C1233" t="s">
        <v>423</v>
      </c>
      <c r="E1233" t="s">
        <v>1296</v>
      </c>
      <c r="F1233" t="s">
        <v>2755</v>
      </c>
      <c r="G1233" t="s">
        <v>4439</v>
      </c>
      <c r="H1233" t="s">
        <v>5439</v>
      </c>
      <c r="I1233" t="s">
        <v>6043</v>
      </c>
      <c r="J1233">
        <v>11213</v>
      </c>
      <c r="K1233" t="s">
        <v>6074</v>
      </c>
      <c r="L1233" t="s">
        <v>6075</v>
      </c>
      <c r="N1233" t="s">
        <v>6104</v>
      </c>
      <c r="O1233" t="s">
        <v>7309</v>
      </c>
      <c r="Q1233" t="s">
        <v>7322</v>
      </c>
      <c r="R1233" t="s">
        <v>6074</v>
      </c>
      <c r="S1233" t="s">
        <v>7324</v>
      </c>
      <c r="T1233" t="s">
        <v>7336</v>
      </c>
      <c r="U1233" t="s">
        <v>263</v>
      </c>
      <c r="V1233">
        <v>1200</v>
      </c>
      <c r="W1233" t="s">
        <v>7362</v>
      </c>
      <c r="Z1233" t="s">
        <v>8365</v>
      </c>
      <c r="AB1233" t="s">
        <v>11126</v>
      </c>
      <c r="AC1233">
        <v>35</v>
      </c>
      <c r="AD1233" t="s">
        <v>12422</v>
      </c>
      <c r="AF1233">
        <v>10</v>
      </c>
      <c r="AG1233">
        <v>3</v>
      </c>
      <c r="AH1233">
        <v>1</v>
      </c>
      <c r="AI1233">
        <v>77.67</v>
      </c>
      <c r="AL1233" t="s">
        <v>12460</v>
      </c>
      <c r="AM1233">
        <v>20000</v>
      </c>
      <c r="AN1233" t="s">
        <v>12605</v>
      </c>
      <c r="AS1233">
        <v>0</v>
      </c>
      <c r="AU1233" t="s">
        <v>218</v>
      </c>
      <c r="AV1233" t="s">
        <v>13145</v>
      </c>
    </row>
    <row r="1234" spans="1:48">
      <c r="A1234" s="1">
        <f>HYPERLINK("https://cms.ls-nyc.org/matter/dynamic-profile/view/1899117","19-1899117")</f>
        <v>0</v>
      </c>
      <c r="B1234" t="s">
        <v>109</v>
      </c>
      <c r="C1234" t="s">
        <v>254</v>
      </c>
      <c r="E1234" t="s">
        <v>1297</v>
      </c>
      <c r="F1234" t="s">
        <v>2756</v>
      </c>
      <c r="G1234" t="s">
        <v>3927</v>
      </c>
      <c r="H1234" t="s">
        <v>5354</v>
      </c>
      <c r="I1234" t="s">
        <v>6047</v>
      </c>
      <c r="J1234">
        <v>10452</v>
      </c>
      <c r="K1234" t="s">
        <v>6074</v>
      </c>
      <c r="L1234" t="s">
        <v>6075</v>
      </c>
      <c r="N1234" t="s">
        <v>7279</v>
      </c>
      <c r="O1234" t="s">
        <v>7307</v>
      </c>
      <c r="Q1234" t="s">
        <v>7322</v>
      </c>
      <c r="R1234" t="s">
        <v>6074</v>
      </c>
      <c r="S1234" t="s">
        <v>7324</v>
      </c>
      <c r="U1234" t="s">
        <v>257</v>
      </c>
      <c r="V1234">
        <v>1500</v>
      </c>
      <c r="W1234" t="s">
        <v>7363</v>
      </c>
      <c r="X1234" t="s">
        <v>7375</v>
      </c>
      <c r="Z1234" t="s">
        <v>8366</v>
      </c>
      <c r="AB1234" t="s">
        <v>11127</v>
      </c>
      <c r="AC1234">
        <v>41</v>
      </c>
      <c r="AD1234" t="s">
        <v>12419</v>
      </c>
      <c r="AE1234" t="s">
        <v>6110</v>
      </c>
      <c r="AF1234">
        <v>4</v>
      </c>
      <c r="AG1234">
        <v>2</v>
      </c>
      <c r="AH1234">
        <v>2</v>
      </c>
      <c r="AI1234">
        <v>77.67</v>
      </c>
      <c r="AL1234" t="s">
        <v>12461</v>
      </c>
      <c r="AM1234">
        <v>20000</v>
      </c>
      <c r="AS1234">
        <v>0</v>
      </c>
      <c r="AU1234" t="s">
        <v>13092</v>
      </c>
      <c r="AV1234" t="s">
        <v>13145</v>
      </c>
    </row>
    <row r="1235" spans="1:48">
      <c r="A1235" s="1">
        <f>HYPERLINK("https://cms.ls-nyc.org/matter/dynamic-profile/view/1880639","18-1880639")</f>
        <v>0</v>
      </c>
      <c r="B1235" t="s">
        <v>96</v>
      </c>
      <c r="C1235" t="s">
        <v>360</v>
      </c>
      <c r="E1235" t="s">
        <v>1256</v>
      </c>
      <c r="F1235" t="s">
        <v>2729</v>
      </c>
      <c r="G1235" t="s">
        <v>4152</v>
      </c>
      <c r="H1235" t="s">
        <v>5625</v>
      </c>
      <c r="I1235" t="s">
        <v>6047</v>
      </c>
      <c r="J1235">
        <v>10456</v>
      </c>
      <c r="K1235" t="s">
        <v>6074</v>
      </c>
      <c r="L1235" t="s">
        <v>6074</v>
      </c>
      <c r="M1235" t="s">
        <v>6498</v>
      </c>
      <c r="N1235" t="s">
        <v>7279</v>
      </c>
      <c r="O1235" t="s">
        <v>7311</v>
      </c>
      <c r="Q1235" t="s">
        <v>7322</v>
      </c>
      <c r="R1235" t="s">
        <v>6074</v>
      </c>
      <c r="S1235" t="s">
        <v>7324</v>
      </c>
      <c r="U1235" t="s">
        <v>424</v>
      </c>
      <c r="V1235">
        <v>1119.98</v>
      </c>
      <c r="W1235" t="s">
        <v>7363</v>
      </c>
      <c r="X1235" t="s">
        <v>7376</v>
      </c>
      <c r="Z1235" t="s">
        <v>8326</v>
      </c>
      <c r="AB1235" t="s">
        <v>11094</v>
      </c>
      <c r="AC1235">
        <v>61</v>
      </c>
      <c r="AD1235" t="s">
        <v>12422</v>
      </c>
      <c r="AE1235" t="s">
        <v>6110</v>
      </c>
      <c r="AF1235">
        <v>43</v>
      </c>
      <c r="AG1235">
        <v>2</v>
      </c>
      <c r="AH1235">
        <v>0</v>
      </c>
      <c r="AI1235">
        <v>77.93000000000001</v>
      </c>
      <c r="AL1235" t="s">
        <v>12461</v>
      </c>
      <c r="AM1235">
        <v>12828</v>
      </c>
      <c r="AS1235">
        <v>0</v>
      </c>
      <c r="AU1235" t="s">
        <v>13092</v>
      </c>
    </row>
    <row r="1236" spans="1:48">
      <c r="A1236" s="1">
        <f>HYPERLINK("https://cms.ls-nyc.org/matter/dynamic-profile/view/1891990","19-1891990")</f>
        <v>0</v>
      </c>
      <c r="B1236" t="s">
        <v>92</v>
      </c>
      <c r="C1236" t="s">
        <v>329</v>
      </c>
      <c r="D1236" t="s">
        <v>457</v>
      </c>
      <c r="E1236" t="s">
        <v>1298</v>
      </c>
      <c r="F1236" t="s">
        <v>2757</v>
      </c>
      <c r="G1236" t="s">
        <v>3748</v>
      </c>
      <c r="I1236" t="s">
        <v>6043</v>
      </c>
      <c r="J1236">
        <v>11208</v>
      </c>
      <c r="K1236" t="s">
        <v>6074</v>
      </c>
      <c r="L1236" t="s">
        <v>6074</v>
      </c>
      <c r="M1236" t="s">
        <v>6158</v>
      </c>
      <c r="N1236" t="s">
        <v>7273</v>
      </c>
      <c r="O1236" t="s">
        <v>7308</v>
      </c>
      <c r="P1236" t="s">
        <v>7316</v>
      </c>
      <c r="Q1236" t="s">
        <v>7322</v>
      </c>
      <c r="R1236" t="s">
        <v>6074</v>
      </c>
      <c r="S1236" t="s">
        <v>7324</v>
      </c>
      <c r="T1236" t="s">
        <v>7336</v>
      </c>
      <c r="U1236" t="s">
        <v>502</v>
      </c>
      <c r="V1236">
        <v>320</v>
      </c>
      <c r="W1236" t="s">
        <v>7362</v>
      </c>
      <c r="X1236" t="s">
        <v>7368</v>
      </c>
      <c r="Y1236" t="s">
        <v>7386</v>
      </c>
      <c r="Z1236" t="s">
        <v>8367</v>
      </c>
      <c r="AB1236" t="s">
        <v>11128</v>
      </c>
      <c r="AC1236">
        <v>7</v>
      </c>
      <c r="AD1236" t="s">
        <v>12419</v>
      </c>
      <c r="AF1236">
        <v>4</v>
      </c>
      <c r="AG1236">
        <v>1</v>
      </c>
      <c r="AH1236">
        <v>0</v>
      </c>
      <c r="AI1236">
        <v>78.01000000000001</v>
      </c>
      <c r="AL1236" t="s">
        <v>12477</v>
      </c>
      <c r="AM1236">
        <v>9744</v>
      </c>
      <c r="AN1236" t="s">
        <v>12606</v>
      </c>
      <c r="AP1236" t="s">
        <v>12864</v>
      </c>
      <c r="AS1236">
        <v>0.1</v>
      </c>
      <c r="AT1236" t="s">
        <v>457</v>
      </c>
      <c r="AU1236" t="s">
        <v>218</v>
      </c>
    </row>
    <row r="1237" spans="1:48">
      <c r="A1237" s="1">
        <f>HYPERLINK("https://cms.ls-nyc.org/matter/dynamic-profile/view/1889327","19-1889327")</f>
        <v>0</v>
      </c>
      <c r="B1237" t="s">
        <v>92</v>
      </c>
      <c r="C1237" t="s">
        <v>261</v>
      </c>
      <c r="D1237" t="s">
        <v>457</v>
      </c>
      <c r="E1237" t="s">
        <v>1298</v>
      </c>
      <c r="F1237" t="s">
        <v>2757</v>
      </c>
      <c r="G1237" t="s">
        <v>3748</v>
      </c>
      <c r="I1237" t="s">
        <v>6043</v>
      </c>
      <c r="J1237">
        <v>11208</v>
      </c>
      <c r="K1237" t="s">
        <v>6074</v>
      </c>
      <c r="L1237" t="s">
        <v>6074</v>
      </c>
      <c r="N1237" t="s">
        <v>7275</v>
      </c>
      <c r="O1237" t="s">
        <v>7307</v>
      </c>
      <c r="P1237" t="s">
        <v>7315</v>
      </c>
      <c r="Q1237" t="s">
        <v>7322</v>
      </c>
      <c r="R1237" t="s">
        <v>6074</v>
      </c>
      <c r="S1237" t="s">
        <v>7324</v>
      </c>
      <c r="T1237" t="s">
        <v>7336</v>
      </c>
      <c r="U1237" t="s">
        <v>250</v>
      </c>
      <c r="V1237">
        <v>320</v>
      </c>
      <c r="W1237" t="s">
        <v>7362</v>
      </c>
      <c r="Y1237" t="s">
        <v>7386</v>
      </c>
      <c r="Z1237" t="s">
        <v>8367</v>
      </c>
      <c r="AB1237" t="s">
        <v>11128</v>
      </c>
      <c r="AC1237">
        <v>7</v>
      </c>
      <c r="AD1237" t="s">
        <v>12419</v>
      </c>
      <c r="AF1237">
        <v>4</v>
      </c>
      <c r="AG1237">
        <v>1</v>
      </c>
      <c r="AH1237">
        <v>0</v>
      </c>
      <c r="AI1237">
        <v>78.01000000000001</v>
      </c>
      <c r="AL1237" t="s">
        <v>12477</v>
      </c>
      <c r="AM1237">
        <v>9744</v>
      </c>
      <c r="AS1237">
        <v>0.1</v>
      </c>
      <c r="AT1237" t="s">
        <v>420</v>
      </c>
      <c r="AU1237" t="s">
        <v>180</v>
      </c>
    </row>
    <row r="1238" spans="1:48">
      <c r="A1238" s="1">
        <f>HYPERLINK("https://cms.ls-nyc.org/matter/dynamic-profile/view/1876399","18-1876399")</f>
        <v>0</v>
      </c>
      <c r="B1238" t="s">
        <v>86</v>
      </c>
      <c r="C1238" t="s">
        <v>336</v>
      </c>
      <c r="E1238" t="s">
        <v>891</v>
      </c>
      <c r="F1238" t="s">
        <v>2329</v>
      </c>
      <c r="G1238" t="s">
        <v>4440</v>
      </c>
      <c r="H1238" t="s">
        <v>5354</v>
      </c>
      <c r="I1238" t="s">
        <v>6049</v>
      </c>
      <c r="J1238">
        <v>10035</v>
      </c>
      <c r="K1238" t="s">
        <v>6074</v>
      </c>
      <c r="L1238" t="s">
        <v>6074</v>
      </c>
      <c r="N1238" t="s">
        <v>7290</v>
      </c>
      <c r="O1238" t="s">
        <v>7311</v>
      </c>
      <c r="Q1238" t="s">
        <v>7322</v>
      </c>
      <c r="R1238" t="s">
        <v>6076</v>
      </c>
      <c r="S1238" t="s">
        <v>7333</v>
      </c>
      <c r="T1238" t="s">
        <v>7336</v>
      </c>
      <c r="U1238" t="s">
        <v>401</v>
      </c>
      <c r="V1238">
        <v>2100</v>
      </c>
      <c r="W1238" t="s">
        <v>7365</v>
      </c>
      <c r="X1238" t="s">
        <v>7370</v>
      </c>
      <c r="Z1238" t="s">
        <v>8368</v>
      </c>
      <c r="AB1238" t="s">
        <v>11129</v>
      </c>
      <c r="AC1238">
        <v>35</v>
      </c>
      <c r="AD1238" t="s">
        <v>12420</v>
      </c>
      <c r="AE1238" t="s">
        <v>12434</v>
      </c>
      <c r="AF1238">
        <v>15</v>
      </c>
      <c r="AG1238">
        <v>1</v>
      </c>
      <c r="AH1238">
        <v>0</v>
      </c>
      <c r="AI1238">
        <v>78.09</v>
      </c>
      <c r="AL1238" t="s">
        <v>12460</v>
      </c>
      <c r="AM1238">
        <v>9480</v>
      </c>
      <c r="AS1238">
        <v>3.5</v>
      </c>
      <c r="AT1238" t="s">
        <v>432</v>
      </c>
      <c r="AU1238" t="s">
        <v>13107</v>
      </c>
    </row>
    <row r="1239" spans="1:48">
      <c r="A1239" s="1">
        <f>HYPERLINK("https://cms.ls-nyc.org/matter/dynamic-profile/view/1895191","19-1895191")</f>
        <v>0</v>
      </c>
      <c r="B1239" t="s">
        <v>171</v>
      </c>
      <c r="C1239" t="s">
        <v>322</v>
      </c>
      <c r="E1239" t="s">
        <v>1299</v>
      </c>
      <c r="F1239" t="s">
        <v>2139</v>
      </c>
      <c r="G1239" t="s">
        <v>4441</v>
      </c>
      <c r="H1239" t="s">
        <v>5444</v>
      </c>
      <c r="I1239" t="s">
        <v>6043</v>
      </c>
      <c r="J1239">
        <v>11212</v>
      </c>
      <c r="K1239" t="s">
        <v>6074</v>
      </c>
      <c r="L1239" t="s">
        <v>6074</v>
      </c>
      <c r="N1239" t="s">
        <v>7275</v>
      </c>
      <c r="O1239" t="s">
        <v>7307</v>
      </c>
      <c r="Q1239" t="s">
        <v>7322</v>
      </c>
      <c r="R1239" t="s">
        <v>6074</v>
      </c>
      <c r="S1239" t="s">
        <v>7324</v>
      </c>
      <c r="U1239" t="s">
        <v>322</v>
      </c>
      <c r="V1239">
        <v>0</v>
      </c>
      <c r="W1239" t="s">
        <v>7362</v>
      </c>
      <c r="Z1239" t="s">
        <v>8369</v>
      </c>
      <c r="AB1239" t="s">
        <v>11130</v>
      </c>
      <c r="AC1239">
        <v>0</v>
      </c>
      <c r="AF1239">
        <v>0</v>
      </c>
      <c r="AG1239">
        <v>1</v>
      </c>
      <c r="AH1239">
        <v>0</v>
      </c>
      <c r="AI1239">
        <v>78.11</v>
      </c>
      <c r="AL1239" t="s">
        <v>12460</v>
      </c>
      <c r="AM1239">
        <v>9756</v>
      </c>
      <c r="AS1239">
        <v>14.2</v>
      </c>
      <c r="AT1239" t="s">
        <v>317</v>
      </c>
      <c r="AU1239" t="s">
        <v>171</v>
      </c>
    </row>
    <row r="1240" spans="1:48">
      <c r="A1240" s="1">
        <f>HYPERLINK("https://cms.ls-nyc.org/matter/dynamic-profile/view/1898398","19-1898398")</f>
        <v>0</v>
      </c>
      <c r="B1240" t="s">
        <v>131</v>
      </c>
      <c r="C1240" t="s">
        <v>257</v>
      </c>
      <c r="D1240" t="s">
        <v>257</v>
      </c>
      <c r="E1240" t="s">
        <v>651</v>
      </c>
      <c r="F1240" t="s">
        <v>2758</v>
      </c>
      <c r="G1240" t="s">
        <v>4442</v>
      </c>
      <c r="H1240" t="s">
        <v>5348</v>
      </c>
      <c r="I1240" t="s">
        <v>6047</v>
      </c>
      <c r="J1240">
        <v>10467</v>
      </c>
      <c r="K1240" t="s">
        <v>6074</v>
      </c>
      <c r="L1240" t="s">
        <v>6074</v>
      </c>
      <c r="N1240" t="s">
        <v>7278</v>
      </c>
      <c r="O1240" t="s">
        <v>7306</v>
      </c>
      <c r="P1240" t="s">
        <v>7314</v>
      </c>
      <c r="Q1240" t="s">
        <v>7322</v>
      </c>
      <c r="R1240" t="s">
        <v>6076</v>
      </c>
      <c r="S1240" t="s">
        <v>7324</v>
      </c>
      <c r="U1240" t="s">
        <v>257</v>
      </c>
      <c r="V1240">
        <v>1050</v>
      </c>
      <c r="W1240" t="s">
        <v>7365</v>
      </c>
      <c r="X1240" t="s">
        <v>7367</v>
      </c>
      <c r="Y1240" t="s">
        <v>7386</v>
      </c>
      <c r="Z1240" t="s">
        <v>8370</v>
      </c>
      <c r="AB1240" t="s">
        <v>11131</v>
      </c>
      <c r="AC1240">
        <v>67</v>
      </c>
      <c r="AD1240" t="s">
        <v>12422</v>
      </c>
      <c r="AE1240" t="s">
        <v>12434</v>
      </c>
      <c r="AF1240">
        <v>5</v>
      </c>
      <c r="AG1240">
        <v>2</v>
      </c>
      <c r="AH1240">
        <v>1</v>
      </c>
      <c r="AI1240">
        <v>78.2</v>
      </c>
      <c r="AL1240" t="s">
        <v>12461</v>
      </c>
      <c r="AM1240">
        <v>16680</v>
      </c>
      <c r="AS1240">
        <v>0.05</v>
      </c>
      <c r="AT1240" t="s">
        <v>257</v>
      </c>
      <c r="AU1240" t="s">
        <v>13106</v>
      </c>
    </row>
    <row r="1241" spans="1:48">
      <c r="A1241" s="1">
        <f>HYPERLINK("https://cms.ls-nyc.org/matter/dynamic-profile/view/1872321","18-1872321")</f>
        <v>0</v>
      </c>
      <c r="B1241" t="s">
        <v>111</v>
      </c>
      <c r="C1241" t="s">
        <v>394</v>
      </c>
      <c r="D1241" t="s">
        <v>472</v>
      </c>
      <c r="E1241" t="s">
        <v>1300</v>
      </c>
      <c r="F1241" t="s">
        <v>2759</v>
      </c>
      <c r="G1241" t="s">
        <v>4443</v>
      </c>
      <c r="H1241">
        <v>201</v>
      </c>
      <c r="I1241" t="s">
        <v>6047</v>
      </c>
      <c r="J1241">
        <v>10457</v>
      </c>
      <c r="K1241" t="s">
        <v>6074</v>
      </c>
      <c r="L1241" t="s">
        <v>6074</v>
      </c>
      <c r="N1241" t="s">
        <v>6104</v>
      </c>
      <c r="O1241" t="s">
        <v>7306</v>
      </c>
      <c r="P1241" t="s">
        <v>7314</v>
      </c>
      <c r="Q1241" t="s">
        <v>7322</v>
      </c>
      <c r="R1241" t="s">
        <v>6076</v>
      </c>
      <c r="S1241" t="s">
        <v>7324</v>
      </c>
      <c r="U1241" t="s">
        <v>394</v>
      </c>
      <c r="V1241">
        <v>895</v>
      </c>
      <c r="W1241" t="s">
        <v>7363</v>
      </c>
      <c r="X1241" t="s">
        <v>7376</v>
      </c>
      <c r="Y1241" t="s">
        <v>7386</v>
      </c>
      <c r="Z1241" t="s">
        <v>8371</v>
      </c>
      <c r="AB1241" t="s">
        <v>11132</v>
      </c>
      <c r="AC1241">
        <v>3</v>
      </c>
      <c r="AD1241" t="s">
        <v>12422</v>
      </c>
      <c r="AE1241" t="s">
        <v>12434</v>
      </c>
      <c r="AF1241">
        <v>2</v>
      </c>
      <c r="AG1241">
        <v>1</v>
      </c>
      <c r="AH1241">
        <v>0</v>
      </c>
      <c r="AI1241">
        <v>78.39</v>
      </c>
      <c r="AL1241" t="s">
        <v>12460</v>
      </c>
      <c r="AM1241">
        <v>9516</v>
      </c>
      <c r="AS1241">
        <v>1.75</v>
      </c>
      <c r="AT1241" t="s">
        <v>368</v>
      </c>
      <c r="AU1241" t="s">
        <v>13100</v>
      </c>
    </row>
    <row r="1242" spans="1:48">
      <c r="A1242" s="1">
        <f>HYPERLINK("https://cms.ls-nyc.org/matter/dynamic-profile/view/1888071","19-1888071")</f>
        <v>0</v>
      </c>
      <c r="B1242" t="s">
        <v>125</v>
      </c>
      <c r="C1242" t="s">
        <v>466</v>
      </c>
      <c r="E1242" t="s">
        <v>1171</v>
      </c>
      <c r="F1242" t="s">
        <v>2390</v>
      </c>
      <c r="G1242" t="s">
        <v>4174</v>
      </c>
      <c r="H1242" t="s">
        <v>5453</v>
      </c>
      <c r="I1242" t="s">
        <v>6049</v>
      </c>
      <c r="J1242">
        <v>10032</v>
      </c>
      <c r="K1242" t="s">
        <v>6074</v>
      </c>
      <c r="L1242" t="s">
        <v>6074</v>
      </c>
      <c r="O1242" t="s">
        <v>7308</v>
      </c>
      <c r="Q1242" t="s">
        <v>7322</v>
      </c>
      <c r="R1242" t="s">
        <v>6076</v>
      </c>
      <c r="S1242" t="s">
        <v>7324</v>
      </c>
      <c r="U1242" t="s">
        <v>466</v>
      </c>
      <c r="V1242">
        <v>921.22</v>
      </c>
      <c r="W1242" t="s">
        <v>7365</v>
      </c>
      <c r="X1242" t="s">
        <v>7367</v>
      </c>
      <c r="Z1242" t="s">
        <v>8372</v>
      </c>
      <c r="AC1242">
        <v>42</v>
      </c>
      <c r="AD1242" t="s">
        <v>12422</v>
      </c>
      <c r="AE1242" t="s">
        <v>6110</v>
      </c>
      <c r="AF1242">
        <v>0</v>
      </c>
      <c r="AG1242">
        <v>3</v>
      </c>
      <c r="AH1242">
        <v>0</v>
      </c>
      <c r="AI1242">
        <v>78.42</v>
      </c>
      <c r="AL1242" t="s">
        <v>12461</v>
      </c>
      <c r="AM1242">
        <v>16296</v>
      </c>
      <c r="AS1242">
        <v>0</v>
      </c>
      <c r="AU1242" t="s">
        <v>13106</v>
      </c>
    </row>
    <row r="1243" spans="1:48">
      <c r="A1243" s="1">
        <f>HYPERLINK("https://cms.ls-nyc.org/matter/dynamic-profile/view/1894556","19-1894556")</f>
        <v>0</v>
      </c>
      <c r="B1243" t="s">
        <v>113</v>
      </c>
      <c r="C1243" t="s">
        <v>338</v>
      </c>
      <c r="D1243" t="s">
        <v>315</v>
      </c>
      <c r="E1243" t="s">
        <v>1301</v>
      </c>
      <c r="F1243" t="s">
        <v>2760</v>
      </c>
      <c r="G1243" t="s">
        <v>4049</v>
      </c>
      <c r="H1243" t="s">
        <v>5609</v>
      </c>
      <c r="I1243" t="s">
        <v>6047</v>
      </c>
      <c r="J1243">
        <v>10453</v>
      </c>
      <c r="K1243" t="s">
        <v>6074</v>
      </c>
      <c r="L1243" t="s">
        <v>6074</v>
      </c>
      <c r="M1243" t="s">
        <v>6641</v>
      </c>
      <c r="N1243" t="s">
        <v>7276</v>
      </c>
      <c r="O1243" t="s">
        <v>7306</v>
      </c>
      <c r="P1243" t="s">
        <v>7314</v>
      </c>
      <c r="Q1243" t="s">
        <v>7322</v>
      </c>
      <c r="R1243" t="s">
        <v>6076</v>
      </c>
      <c r="S1243" t="s">
        <v>7324</v>
      </c>
      <c r="T1243" t="s">
        <v>7336</v>
      </c>
      <c r="U1243" t="s">
        <v>338</v>
      </c>
      <c r="V1243">
        <v>1583</v>
      </c>
      <c r="W1243" t="s">
        <v>7363</v>
      </c>
      <c r="Y1243" t="s">
        <v>7386</v>
      </c>
      <c r="Z1243" t="s">
        <v>8373</v>
      </c>
      <c r="AB1243" t="s">
        <v>11133</v>
      </c>
      <c r="AC1243">
        <v>0</v>
      </c>
      <c r="AD1243" t="s">
        <v>6322</v>
      </c>
      <c r="AE1243" t="s">
        <v>12435</v>
      </c>
      <c r="AF1243">
        <v>5</v>
      </c>
      <c r="AG1243">
        <v>1</v>
      </c>
      <c r="AH1243">
        <v>2</v>
      </c>
      <c r="AI1243">
        <v>78.73999999999999</v>
      </c>
      <c r="AL1243" t="s">
        <v>12461</v>
      </c>
      <c r="AM1243">
        <v>16796</v>
      </c>
      <c r="AS1243">
        <v>0.1</v>
      </c>
      <c r="AT1243" t="s">
        <v>315</v>
      </c>
      <c r="AU1243" t="s">
        <v>113</v>
      </c>
    </row>
    <row r="1244" spans="1:48">
      <c r="A1244" s="1">
        <f>HYPERLINK("https://cms.ls-nyc.org/matter/dynamic-profile/view/1871525","18-1871525")</f>
        <v>0</v>
      </c>
      <c r="B1244" t="s">
        <v>158</v>
      </c>
      <c r="C1244" t="s">
        <v>374</v>
      </c>
      <c r="E1244" t="s">
        <v>767</v>
      </c>
      <c r="F1244" t="s">
        <v>2258</v>
      </c>
      <c r="G1244" t="s">
        <v>4444</v>
      </c>
      <c r="H1244" t="s">
        <v>5364</v>
      </c>
      <c r="I1244" t="s">
        <v>6047</v>
      </c>
      <c r="J1244">
        <v>10460</v>
      </c>
      <c r="K1244" t="s">
        <v>6074</v>
      </c>
      <c r="L1244" t="s">
        <v>6074</v>
      </c>
      <c r="M1244" t="s">
        <v>6642</v>
      </c>
      <c r="N1244" t="s">
        <v>7276</v>
      </c>
      <c r="O1244" t="s">
        <v>7308</v>
      </c>
      <c r="Q1244" t="s">
        <v>7322</v>
      </c>
      <c r="R1244" t="s">
        <v>6076</v>
      </c>
      <c r="S1244" t="s">
        <v>7324</v>
      </c>
      <c r="T1244" t="s">
        <v>7340</v>
      </c>
      <c r="U1244" t="s">
        <v>374</v>
      </c>
      <c r="V1244">
        <v>1325.9</v>
      </c>
      <c r="W1244" t="s">
        <v>7363</v>
      </c>
      <c r="X1244" t="s">
        <v>7368</v>
      </c>
      <c r="Z1244" t="s">
        <v>8374</v>
      </c>
      <c r="AA1244" t="s">
        <v>10124</v>
      </c>
      <c r="AB1244" t="s">
        <v>11134</v>
      </c>
      <c r="AC1244">
        <v>107</v>
      </c>
      <c r="AD1244" t="s">
        <v>12419</v>
      </c>
      <c r="AE1244" t="s">
        <v>12434</v>
      </c>
      <c r="AF1244">
        <v>20</v>
      </c>
      <c r="AG1244">
        <v>1</v>
      </c>
      <c r="AH1244">
        <v>0</v>
      </c>
      <c r="AI1244">
        <v>78.78</v>
      </c>
      <c r="AL1244" t="s">
        <v>12461</v>
      </c>
      <c r="AM1244">
        <v>9564</v>
      </c>
      <c r="AO1244" t="s">
        <v>12846</v>
      </c>
      <c r="AP1244" t="s">
        <v>12863</v>
      </c>
      <c r="AQ1244" t="s">
        <v>12909</v>
      </c>
      <c r="AR1244" t="s">
        <v>13003</v>
      </c>
      <c r="AS1244">
        <v>18.6</v>
      </c>
      <c r="AT1244" t="s">
        <v>361</v>
      </c>
      <c r="AU1244" t="s">
        <v>13099</v>
      </c>
    </row>
    <row r="1245" spans="1:48">
      <c r="A1245" s="1">
        <f>HYPERLINK("https://cms.ls-nyc.org/matter/dynamic-profile/view/1887014","19-1887014")</f>
        <v>0</v>
      </c>
      <c r="B1245" t="s">
        <v>158</v>
      </c>
      <c r="C1245" t="s">
        <v>410</v>
      </c>
      <c r="E1245" t="s">
        <v>767</v>
      </c>
      <c r="F1245" t="s">
        <v>2258</v>
      </c>
      <c r="G1245" t="s">
        <v>4444</v>
      </c>
      <c r="H1245" t="s">
        <v>5364</v>
      </c>
      <c r="I1245" t="s">
        <v>6047</v>
      </c>
      <c r="J1245">
        <v>10460</v>
      </c>
      <c r="K1245" t="s">
        <v>6074</v>
      </c>
      <c r="L1245" t="s">
        <v>6074</v>
      </c>
      <c r="N1245" t="s">
        <v>7288</v>
      </c>
      <c r="O1245" t="s">
        <v>7309</v>
      </c>
      <c r="Q1245" t="s">
        <v>7322</v>
      </c>
      <c r="R1245" t="s">
        <v>6076</v>
      </c>
      <c r="S1245" t="s">
        <v>7331</v>
      </c>
      <c r="U1245" t="s">
        <v>410</v>
      </c>
      <c r="V1245">
        <v>1325.9</v>
      </c>
      <c r="W1245" t="s">
        <v>7363</v>
      </c>
      <c r="X1245" t="s">
        <v>7368</v>
      </c>
      <c r="Z1245" t="s">
        <v>8374</v>
      </c>
      <c r="AA1245" t="s">
        <v>10124</v>
      </c>
      <c r="AB1245" t="s">
        <v>11134</v>
      </c>
      <c r="AC1245">
        <v>107</v>
      </c>
      <c r="AD1245" t="s">
        <v>12419</v>
      </c>
      <c r="AE1245" t="s">
        <v>12434</v>
      </c>
      <c r="AF1245">
        <v>20</v>
      </c>
      <c r="AG1245">
        <v>1</v>
      </c>
      <c r="AH1245">
        <v>0</v>
      </c>
      <c r="AI1245">
        <v>78.78</v>
      </c>
      <c r="AL1245" t="s">
        <v>12461</v>
      </c>
      <c r="AM1245">
        <v>9564</v>
      </c>
      <c r="AN1245" t="s">
        <v>12607</v>
      </c>
      <c r="AS1245">
        <v>2.2</v>
      </c>
      <c r="AT1245" t="s">
        <v>330</v>
      </c>
      <c r="AU1245" t="s">
        <v>13099</v>
      </c>
    </row>
    <row r="1246" spans="1:48">
      <c r="A1246" s="1">
        <f>HYPERLINK("https://cms.ls-nyc.org/matter/dynamic-profile/view/1876002","18-1876002")</f>
        <v>0</v>
      </c>
      <c r="B1246" t="s">
        <v>71</v>
      </c>
      <c r="C1246" t="s">
        <v>312</v>
      </c>
      <c r="D1246" t="s">
        <v>367</v>
      </c>
      <c r="E1246" t="s">
        <v>828</v>
      </c>
      <c r="F1246" t="s">
        <v>2761</v>
      </c>
      <c r="G1246" t="s">
        <v>4445</v>
      </c>
      <c r="H1246">
        <v>1</v>
      </c>
      <c r="I1246" t="s">
        <v>6043</v>
      </c>
      <c r="J1246">
        <v>11208</v>
      </c>
      <c r="K1246" t="s">
        <v>6074</v>
      </c>
      <c r="L1246" t="s">
        <v>6074</v>
      </c>
      <c r="M1246" t="s">
        <v>6643</v>
      </c>
      <c r="N1246" t="s">
        <v>7274</v>
      </c>
      <c r="O1246" t="s">
        <v>7308</v>
      </c>
      <c r="P1246" t="s">
        <v>7317</v>
      </c>
      <c r="Q1246" t="s">
        <v>7322</v>
      </c>
      <c r="S1246" t="s">
        <v>7324</v>
      </c>
      <c r="U1246" t="s">
        <v>247</v>
      </c>
      <c r="V1246">
        <v>0</v>
      </c>
      <c r="W1246" t="s">
        <v>7362</v>
      </c>
      <c r="X1246" t="s">
        <v>7366</v>
      </c>
      <c r="Y1246" t="s">
        <v>7391</v>
      </c>
      <c r="Z1246" t="s">
        <v>8375</v>
      </c>
      <c r="AB1246" t="s">
        <v>11135</v>
      </c>
      <c r="AC1246">
        <v>2</v>
      </c>
      <c r="AD1246" t="s">
        <v>12419</v>
      </c>
      <c r="AE1246" t="s">
        <v>6110</v>
      </c>
      <c r="AF1246">
        <v>11</v>
      </c>
      <c r="AG1246">
        <v>2</v>
      </c>
      <c r="AH1246">
        <v>0</v>
      </c>
      <c r="AI1246">
        <v>78.98</v>
      </c>
      <c r="AL1246" t="s">
        <v>12460</v>
      </c>
      <c r="AM1246">
        <v>13000</v>
      </c>
      <c r="AS1246">
        <v>1.6</v>
      </c>
      <c r="AT1246" t="s">
        <v>367</v>
      </c>
      <c r="AU1246" t="s">
        <v>13083</v>
      </c>
    </row>
    <row r="1247" spans="1:48">
      <c r="A1247" s="1">
        <f>HYPERLINK("https://cms.ls-nyc.org/matter/dynamic-profile/view/1881098","18-1881098")</f>
        <v>0</v>
      </c>
      <c r="B1247" t="s">
        <v>68</v>
      </c>
      <c r="C1247" t="s">
        <v>464</v>
      </c>
      <c r="E1247" t="s">
        <v>1302</v>
      </c>
      <c r="F1247" t="s">
        <v>2762</v>
      </c>
      <c r="G1247" t="s">
        <v>4446</v>
      </c>
      <c r="H1247" t="s">
        <v>5489</v>
      </c>
      <c r="I1247" t="s">
        <v>6043</v>
      </c>
      <c r="J1247">
        <v>11208</v>
      </c>
      <c r="K1247" t="s">
        <v>6074</v>
      </c>
      <c r="L1247" t="s">
        <v>6074</v>
      </c>
      <c r="M1247" t="s">
        <v>6644</v>
      </c>
      <c r="N1247" t="s">
        <v>7276</v>
      </c>
      <c r="O1247" t="s">
        <v>7308</v>
      </c>
      <c r="Q1247" t="s">
        <v>7322</v>
      </c>
      <c r="S1247" t="s">
        <v>7324</v>
      </c>
      <c r="U1247" t="s">
        <v>337</v>
      </c>
      <c r="V1247">
        <v>1088</v>
      </c>
      <c r="W1247" t="s">
        <v>7362</v>
      </c>
      <c r="X1247" t="s">
        <v>7366</v>
      </c>
      <c r="Z1247" t="s">
        <v>8376</v>
      </c>
      <c r="AA1247" t="s">
        <v>10125</v>
      </c>
      <c r="AB1247" t="s">
        <v>11136</v>
      </c>
      <c r="AC1247">
        <v>6</v>
      </c>
      <c r="AE1247" t="s">
        <v>12434</v>
      </c>
      <c r="AF1247">
        <v>13</v>
      </c>
      <c r="AG1247">
        <v>1</v>
      </c>
      <c r="AH1247">
        <v>1</v>
      </c>
      <c r="AI1247">
        <v>78.98</v>
      </c>
      <c r="AL1247" t="s">
        <v>12460</v>
      </c>
      <c r="AM1247">
        <v>13000</v>
      </c>
      <c r="AS1247">
        <v>18.1</v>
      </c>
      <c r="AT1247" t="s">
        <v>324</v>
      </c>
      <c r="AU1247" t="s">
        <v>13082</v>
      </c>
    </row>
    <row r="1248" spans="1:48">
      <c r="A1248" s="1">
        <f>HYPERLINK("https://cms.ls-nyc.org/matter/dynamic-profile/view/1876713","18-1876713")</f>
        <v>0</v>
      </c>
      <c r="B1248" t="s">
        <v>101</v>
      </c>
      <c r="C1248" t="s">
        <v>243</v>
      </c>
      <c r="E1248" t="s">
        <v>1303</v>
      </c>
      <c r="F1248" t="s">
        <v>2629</v>
      </c>
      <c r="G1248" t="s">
        <v>3939</v>
      </c>
      <c r="I1248" t="s">
        <v>6047</v>
      </c>
      <c r="J1248">
        <v>10456</v>
      </c>
      <c r="K1248" t="s">
        <v>6074</v>
      </c>
      <c r="L1248" t="s">
        <v>6074</v>
      </c>
      <c r="M1248" t="s">
        <v>6305</v>
      </c>
      <c r="N1248" t="s">
        <v>7279</v>
      </c>
      <c r="O1248" t="s">
        <v>7311</v>
      </c>
      <c r="Q1248" t="s">
        <v>7322</v>
      </c>
      <c r="R1248" t="s">
        <v>6074</v>
      </c>
      <c r="S1248" t="s">
        <v>7324</v>
      </c>
      <c r="U1248" t="s">
        <v>243</v>
      </c>
      <c r="V1248">
        <v>1238.23</v>
      </c>
      <c r="W1248" t="s">
        <v>7363</v>
      </c>
      <c r="X1248" t="s">
        <v>7376</v>
      </c>
      <c r="Z1248" t="s">
        <v>8377</v>
      </c>
      <c r="AB1248" t="s">
        <v>11137</v>
      </c>
      <c r="AC1248">
        <v>131</v>
      </c>
      <c r="AD1248" t="s">
        <v>12422</v>
      </c>
      <c r="AE1248" t="s">
        <v>6110</v>
      </c>
      <c r="AF1248">
        <v>10</v>
      </c>
      <c r="AG1248">
        <v>1</v>
      </c>
      <c r="AH1248">
        <v>1</v>
      </c>
      <c r="AI1248">
        <v>78.98</v>
      </c>
      <c r="AL1248" t="s">
        <v>12460</v>
      </c>
      <c r="AM1248">
        <v>13000</v>
      </c>
      <c r="AS1248">
        <v>0</v>
      </c>
      <c r="AU1248" t="s">
        <v>13095</v>
      </c>
    </row>
    <row r="1249" spans="1:48">
      <c r="A1249" s="1">
        <f>HYPERLINK("https://cms.ls-nyc.org/matter/dynamic-profile/view/1886347","18-1886347")</f>
        <v>0</v>
      </c>
      <c r="B1249" t="s">
        <v>101</v>
      </c>
      <c r="C1249" t="s">
        <v>443</v>
      </c>
      <c r="E1249" t="s">
        <v>1303</v>
      </c>
      <c r="F1249" t="s">
        <v>2629</v>
      </c>
      <c r="G1249" t="s">
        <v>3939</v>
      </c>
      <c r="I1249" t="s">
        <v>6047</v>
      </c>
      <c r="J1249">
        <v>10456</v>
      </c>
      <c r="K1249" t="s">
        <v>6074</v>
      </c>
      <c r="L1249" t="s">
        <v>6074</v>
      </c>
      <c r="M1249" t="s">
        <v>6303</v>
      </c>
      <c r="N1249" t="s">
        <v>7279</v>
      </c>
      <c r="O1249" t="s">
        <v>7311</v>
      </c>
      <c r="Q1249" t="s">
        <v>7322</v>
      </c>
      <c r="R1249" t="s">
        <v>6074</v>
      </c>
      <c r="S1249" t="s">
        <v>7324</v>
      </c>
      <c r="U1249" t="s">
        <v>472</v>
      </c>
      <c r="V1249">
        <v>1238.23</v>
      </c>
      <c r="W1249" t="s">
        <v>7363</v>
      </c>
      <c r="X1249" t="s">
        <v>7376</v>
      </c>
      <c r="Z1249" t="s">
        <v>8377</v>
      </c>
      <c r="AB1249" t="s">
        <v>11137</v>
      </c>
      <c r="AC1249">
        <v>131</v>
      </c>
      <c r="AD1249" t="s">
        <v>12422</v>
      </c>
      <c r="AE1249" t="s">
        <v>6110</v>
      </c>
      <c r="AF1249">
        <v>10</v>
      </c>
      <c r="AG1249">
        <v>1</v>
      </c>
      <c r="AH1249">
        <v>1</v>
      </c>
      <c r="AI1249">
        <v>78.98</v>
      </c>
      <c r="AL1249" t="s">
        <v>12460</v>
      </c>
      <c r="AM1249">
        <v>13000</v>
      </c>
      <c r="AS1249">
        <v>0</v>
      </c>
      <c r="AU1249" t="s">
        <v>13095</v>
      </c>
    </row>
    <row r="1250" spans="1:48">
      <c r="A1250" s="1">
        <f>HYPERLINK("https://cms.ls-nyc.org/matter/dynamic-profile/view/1876708","18-1876708")</f>
        <v>0</v>
      </c>
      <c r="B1250" t="s">
        <v>101</v>
      </c>
      <c r="C1250" t="s">
        <v>243</v>
      </c>
      <c r="E1250" t="s">
        <v>1303</v>
      </c>
      <c r="F1250" t="s">
        <v>2629</v>
      </c>
      <c r="G1250" t="s">
        <v>3939</v>
      </c>
      <c r="I1250" t="s">
        <v>6047</v>
      </c>
      <c r="J1250">
        <v>10456</v>
      </c>
      <c r="K1250" t="s">
        <v>6074</v>
      </c>
      <c r="L1250" t="s">
        <v>6074</v>
      </c>
      <c r="M1250" t="s">
        <v>6287</v>
      </c>
      <c r="N1250" t="s">
        <v>7273</v>
      </c>
      <c r="O1250" t="s">
        <v>7308</v>
      </c>
      <c r="Q1250" t="s">
        <v>7322</v>
      </c>
      <c r="R1250" t="s">
        <v>6074</v>
      </c>
      <c r="S1250" t="s">
        <v>7324</v>
      </c>
      <c r="U1250" t="s">
        <v>243</v>
      </c>
      <c r="V1250">
        <v>1238.23</v>
      </c>
      <c r="W1250" t="s">
        <v>7363</v>
      </c>
      <c r="X1250" t="s">
        <v>7376</v>
      </c>
      <c r="Z1250" t="s">
        <v>8377</v>
      </c>
      <c r="AB1250" t="s">
        <v>11137</v>
      </c>
      <c r="AC1250">
        <v>131</v>
      </c>
      <c r="AD1250" t="s">
        <v>12422</v>
      </c>
      <c r="AE1250" t="s">
        <v>6110</v>
      </c>
      <c r="AF1250">
        <v>10</v>
      </c>
      <c r="AG1250">
        <v>1</v>
      </c>
      <c r="AH1250">
        <v>1</v>
      </c>
      <c r="AI1250">
        <v>78.98</v>
      </c>
      <c r="AL1250" t="s">
        <v>12460</v>
      </c>
      <c r="AM1250">
        <v>13000</v>
      </c>
      <c r="AS1250">
        <v>0</v>
      </c>
      <c r="AU1250" t="s">
        <v>13095</v>
      </c>
    </row>
    <row r="1251" spans="1:48">
      <c r="A1251" s="1">
        <f>HYPERLINK("https://cms.ls-nyc.org/matter/dynamic-profile/view/1873470","18-1873470")</f>
        <v>0</v>
      </c>
      <c r="B1251" t="s">
        <v>117</v>
      </c>
      <c r="C1251" t="s">
        <v>231</v>
      </c>
      <c r="D1251" t="s">
        <v>428</v>
      </c>
      <c r="E1251" t="s">
        <v>1304</v>
      </c>
      <c r="F1251" t="s">
        <v>2763</v>
      </c>
      <c r="G1251" t="s">
        <v>3817</v>
      </c>
      <c r="H1251" t="s">
        <v>5470</v>
      </c>
      <c r="I1251" t="s">
        <v>6048</v>
      </c>
      <c r="J1251">
        <v>10304</v>
      </c>
      <c r="K1251" t="s">
        <v>6074</v>
      </c>
      <c r="L1251" t="s">
        <v>6074</v>
      </c>
      <c r="M1251" t="s">
        <v>6204</v>
      </c>
      <c r="N1251" t="s">
        <v>7275</v>
      </c>
      <c r="O1251" t="s">
        <v>7307</v>
      </c>
      <c r="P1251" t="s">
        <v>7315</v>
      </c>
      <c r="Q1251" t="s">
        <v>7322</v>
      </c>
      <c r="R1251" t="s">
        <v>6076</v>
      </c>
      <c r="S1251" t="s">
        <v>7331</v>
      </c>
      <c r="T1251" t="s">
        <v>7336</v>
      </c>
      <c r="U1251" t="s">
        <v>231</v>
      </c>
      <c r="V1251">
        <v>673</v>
      </c>
      <c r="W1251" t="s">
        <v>7364</v>
      </c>
      <c r="X1251" t="s">
        <v>7368</v>
      </c>
      <c r="Y1251" t="s">
        <v>7386</v>
      </c>
      <c r="Z1251" t="s">
        <v>8378</v>
      </c>
      <c r="AB1251" t="s">
        <v>11138</v>
      </c>
      <c r="AC1251">
        <v>150</v>
      </c>
      <c r="AD1251" t="s">
        <v>12420</v>
      </c>
      <c r="AE1251" t="s">
        <v>12434</v>
      </c>
      <c r="AF1251">
        <v>31</v>
      </c>
      <c r="AG1251">
        <v>2</v>
      </c>
      <c r="AH1251">
        <v>0</v>
      </c>
      <c r="AI1251">
        <v>78.98</v>
      </c>
      <c r="AL1251" t="s">
        <v>12460</v>
      </c>
      <c r="AM1251">
        <v>13000</v>
      </c>
      <c r="AS1251">
        <v>2.1</v>
      </c>
      <c r="AT1251" t="s">
        <v>428</v>
      </c>
      <c r="AU1251" t="s">
        <v>210</v>
      </c>
    </row>
    <row r="1252" spans="1:48">
      <c r="A1252" s="1">
        <f>HYPERLINK("https://cms.ls-nyc.org/matter/dynamic-profile/view/1879061","18-1879061")</f>
        <v>0</v>
      </c>
      <c r="B1252" t="s">
        <v>100</v>
      </c>
      <c r="C1252" t="s">
        <v>407</v>
      </c>
      <c r="D1252" t="s">
        <v>268</v>
      </c>
      <c r="E1252" t="s">
        <v>1304</v>
      </c>
      <c r="F1252" t="s">
        <v>2763</v>
      </c>
      <c r="G1252" t="s">
        <v>3817</v>
      </c>
      <c r="H1252" t="s">
        <v>5470</v>
      </c>
      <c r="I1252" t="s">
        <v>6048</v>
      </c>
      <c r="J1252">
        <v>10304</v>
      </c>
      <c r="K1252" t="s">
        <v>6074</v>
      </c>
      <c r="L1252" t="s">
        <v>6074</v>
      </c>
      <c r="M1252" t="s">
        <v>6645</v>
      </c>
      <c r="N1252" t="s">
        <v>7276</v>
      </c>
      <c r="O1252" t="s">
        <v>7308</v>
      </c>
      <c r="P1252" t="s">
        <v>7316</v>
      </c>
      <c r="Q1252" t="s">
        <v>7322</v>
      </c>
      <c r="R1252" t="s">
        <v>6076</v>
      </c>
      <c r="S1252" t="s">
        <v>7324</v>
      </c>
      <c r="T1252" t="s">
        <v>7336</v>
      </c>
      <c r="U1252" t="s">
        <v>407</v>
      </c>
      <c r="V1252">
        <v>1720</v>
      </c>
      <c r="W1252" t="s">
        <v>7364</v>
      </c>
      <c r="X1252" t="s">
        <v>7368</v>
      </c>
      <c r="Y1252" t="s">
        <v>7388</v>
      </c>
      <c r="Z1252" t="s">
        <v>8378</v>
      </c>
      <c r="AB1252" t="s">
        <v>11138</v>
      </c>
      <c r="AC1252">
        <v>150</v>
      </c>
      <c r="AD1252" t="s">
        <v>12420</v>
      </c>
      <c r="AE1252" t="s">
        <v>12434</v>
      </c>
      <c r="AF1252">
        <v>3</v>
      </c>
      <c r="AG1252">
        <v>2</v>
      </c>
      <c r="AH1252">
        <v>0</v>
      </c>
      <c r="AI1252">
        <v>78.98</v>
      </c>
      <c r="AL1252" t="s">
        <v>12460</v>
      </c>
      <c r="AM1252">
        <v>13000</v>
      </c>
      <c r="AS1252">
        <v>30.5</v>
      </c>
      <c r="AT1252" t="s">
        <v>252</v>
      </c>
      <c r="AU1252" t="s">
        <v>117</v>
      </c>
    </row>
    <row r="1253" spans="1:48">
      <c r="A1253" s="1">
        <f>HYPERLINK("https://cms.ls-nyc.org/matter/dynamic-profile/view/1882531","18-1882531")</f>
        <v>0</v>
      </c>
      <c r="B1253" t="s">
        <v>117</v>
      </c>
      <c r="C1253" t="s">
        <v>416</v>
      </c>
      <c r="D1253" t="s">
        <v>252</v>
      </c>
      <c r="E1253" t="s">
        <v>1017</v>
      </c>
      <c r="F1253" t="s">
        <v>2764</v>
      </c>
      <c r="G1253" t="s">
        <v>4447</v>
      </c>
      <c r="H1253" t="s">
        <v>5436</v>
      </c>
      <c r="I1253" t="s">
        <v>6048</v>
      </c>
      <c r="J1253">
        <v>10304</v>
      </c>
      <c r="K1253" t="s">
        <v>6074</v>
      </c>
      <c r="L1253" t="s">
        <v>6074</v>
      </c>
      <c r="M1253" t="s">
        <v>6646</v>
      </c>
      <c r="N1253" t="s">
        <v>7276</v>
      </c>
      <c r="O1253" t="s">
        <v>7308</v>
      </c>
      <c r="P1253" t="s">
        <v>7316</v>
      </c>
      <c r="Q1253" t="s">
        <v>7322</v>
      </c>
      <c r="R1253" t="s">
        <v>6076</v>
      </c>
      <c r="S1253" t="s">
        <v>7324</v>
      </c>
      <c r="T1253" t="s">
        <v>7336</v>
      </c>
      <c r="U1253" t="s">
        <v>416</v>
      </c>
      <c r="V1253">
        <v>226</v>
      </c>
      <c r="W1253" t="s">
        <v>7364</v>
      </c>
      <c r="X1253" t="s">
        <v>7373</v>
      </c>
      <c r="Y1253" t="s">
        <v>7388</v>
      </c>
      <c r="Z1253" t="s">
        <v>8379</v>
      </c>
      <c r="AB1253" t="s">
        <v>11139</v>
      </c>
      <c r="AC1253">
        <v>132</v>
      </c>
      <c r="AD1253" t="s">
        <v>12420</v>
      </c>
      <c r="AE1253" t="s">
        <v>12434</v>
      </c>
      <c r="AF1253">
        <v>8</v>
      </c>
      <c r="AG1253">
        <v>2</v>
      </c>
      <c r="AH1253">
        <v>0</v>
      </c>
      <c r="AI1253">
        <v>78.98</v>
      </c>
      <c r="AL1253" t="s">
        <v>12460</v>
      </c>
      <c r="AM1253">
        <v>13000</v>
      </c>
      <c r="AO1253" t="s">
        <v>12847</v>
      </c>
      <c r="AP1253" t="s">
        <v>12863</v>
      </c>
      <c r="AQ1253" t="s">
        <v>12909</v>
      </c>
      <c r="AR1253" t="s">
        <v>13004</v>
      </c>
      <c r="AS1253">
        <v>25.95</v>
      </c>
      <c r="AT1253" t="s">
        <v>252</v>
      </c>
      <c r="AU1253" t="s">
        <v>13102</v>
      </c>
    </row>
    <row r="1254" spans="1:48">
      <c r="A1254" s="1">
        <f>HYPERLINK("https://cms.ls-nyc.org/matter/dynamic-profile/view/1885515","18-1885515")</f>
        <v>0</v>
      </c>
      <c r="B1254" t="s">
        <v>76</v>
      </c>
      <c r="C1254" t="s">
        <v>429</v>
      </c>
      <c r="D1254" t="s">
        <v>472</v>
      </c>
      <c r="E1254" t="s">
        <v>1305</v>
      </c>
      <c r="F1254" t="s">
        <v>2765</v>
      </c>
      <c r="G1254" t="s">
        <v>4448</v>
      </c>
      <c r="H1254" t="s">
        <v>5681</v>
      </c>
      <c r="I1254" t="s">
        <v>6043</v>
      </c>
      <c r="J1254">
        <v>11212</v>
      </c>
      <c r="K1254" t="s">
        <v>6074</v>
      </c>
      <c r="L1254" t="s">
        <v>6074</v>
      </c>
      <c r="M1254" t="s">
        <v>6647</v>
      </c>
      <c r="N1254" t="s">
        <v>7276</v>
      </c>
      <c r="O1254" t="s">
        <v>7306</v>
      </c>
      <c r="P1254" t="s">
        <v>7314</v>
      </c>
      <c r="Q1254" t="s">
        <v>7322</v>
      </c>
      <c r="S1254" t="s">
        <v>7324</v>
      </c>
      <c r="U1254" t="s">
        <v>269</v>
      </c>
      <c r="V1254">
        <v>1600</v>
      </c>
      <c r="W1254" t="s">
        <v>7362</v>
      </c>
      <c r="X1254" t="s">
        <v>7366</v>
      </c>
      <c r="Y1254" t="s">
        <v>7386</v>
      </c>
      <c r="Z1254" t="s">
        <v>8380</v>
      </c>
      <c r="AB1254" t="s">
        <v>11140</v>
      </c>
      <c r="AC1254">
        <v>0</v>
      </c>
      <c r="AE1254" t="s">
        <v>7305</v>
      </c>
      <c r="AF1254">
        <v>8</v>
      </c>
      <c r="AG1254">
        <v>1</v>
      </c>
      <c r="AH1254">
        <v>1</v>
      </c>
      <c r="AI1254">
        <v>79.01000000000001</v>
      </c>
      <c r="AL1254" t="s">
        <v>12460</v>
      </c>
      <c r="AM1254">
        <v>13005</v>
      </c>
      <c r="AS1254">
        <v>1</v>
      </c>
      <c r="AT1254" t="s">
        <v>389</v>
      </c>
      <c r="AU1254" t="s">
        <v>13085</v>
      </c>
    </row>
    <row r="1255" spans="1:48">
      <c r="A1255" s="1">
        <f>HYPERLINK("https://cms.ls-nyc.org/matter/dynamic-profile/view/1883701","18-1883701")</f>
        <v>0</v>
      </c>
      <c r="B1255" t="s">
        <v>68</v>
      </c>
      <c r="C1255" t="s">
        <v>408</v>
      </c>
      <c r="E1255" t="s">
        <v>828</v>
      </c>
      <c r="F1255" t="s">
        <v>2221</v>
      </c>
      <c r="G1255" t="s">
        <v>4449</v>
      </c>
      <c r="H1255" t="s">
        <v>5438</v>
      </c>
      <c r="I1255" t="s">
        <v>6043</v>
      </c>
      <c r="J1255">
        <v>11233</v>
      </c>
      <c r="K1255" t="s">
        <v>6074</v>
      </c>
      <c r="L1255" t="s">
        <v>6074</v>
      </c>
      <c r="M1255" t="s">
        <v>6648</v>
      </c>
      <c r="N1255" t="s">
        <v>7276</v>
      </c>
      <c r="O1255" t="s">
        <v>7308</v>
      </c>
      <c r="Q1255" t="s">
        <v>7322</v>
      </c>
      <c r="R1255" t="s">
        <v>6076</v>
      </c>
      <c r="S1255" t="s">
        <v>7324</v>
      </c>
      <c r="T1255" t="s">
        <v>7336</v>
      </c>
      <c r="U1255" t="s">
        <v>365</v>
      </c>
      <c r="V1255">
        <v>1400</v>
      </c>
      <c r="W1255" t="s">
        <v>7362</v>
      </c>
      <c r="X1255" t="s">
        <v>7374</v>
      </c>
      <c r="Z1255" t="s">
        <v>8381</v>
      </c>
      <c r="AA1255" t="s">
        <v>10126</v>
      </c>
      <c r="AB1255" t="s">
        <v>11141</v>
      </c>
      <c r="AC1255">
        <v>44</v>
      </c>
      <c r="AD1255" t="s">
        <v>12420</v>
      </c>
      <c r="AE1255" t="s">
        <v>12434</v>
      </c>
      <c r="AF1255">
        <v>32</v>
      </c>
      <c r="AG1255">
        <v>1</v>
      </c>
      <c r="AH1255">
        <v>0</v>
      </c>
      <c r="AI1255">
        <v>79.08</v>
      </c>
      <c r="AL1255" t="s">
        <v>12460</v>
      </c>
      <c r="AM1255">
        <v>9600</v>
      </c>
      <c r="AS1255">
        <v>6.4</v>
      </c>
      <c r="AT1255" t="s">
        <v>7348</v>
      </c>
      <c r="AU1255" t="s">
        <v>218</v>
      </c>
    </row>
    <row r="1256" spans="1:48">
      <c r="A1256" s="1">
        <f>HYPERLINK("https://cms.ls-nyc.org/matter/dynamic-profile/view/1870868","18-1870868")</f>
        <v>0</v>
      </c>
      <c r="B1256" t="s">
        <v>82</v>
      </c>
      <c r="C1256" t="s">
        <v>303</v>
      </c>
      <c r="E1256" t="s">
        <v>1306</v>
      </c>
      <c r="F1256" t="s">
        <v>2329</v>
      </c>
      <c r="G1256" t="s">
        <v>3731</v>
      </c>
      <c r="H1256" t="s">
        <v>5682</v>
      </c>
      <c r="I1256" t="s">
        <v>6043</v>
      </c>
      <c r="J1256">
        <v>11225</v>
      </c>
      <c r="K1256" t="s">
        <v>6074</v>
      </c>
      <c r="L1256" t="s">
        <v>6075</v>
      </c>
      <c r="N1256" t="s">
        <v>7273</v>
      </c>
      <c r="O1256" t="s">
        <v>7310</v>
      </c>
      <c r="Q1256" t="s">
        <v>7322</v>
      </c>
      <c r="R1256" t="s">
        <v>6074</v>
      </c>
      <c r="S1256" t="s">
        <v>7324</v>
      </c>
      <c r="U1256" t="s">
        <v>357</v>
      </c>
      <c r="V1256">
        <v>0</v>
      </c>
      <c r="W1256" t="s">
        <v>7362</v>
      </c>
      <c r="X1256" t="s">
        <v>7376</v>
      </c>
      <c r="Z1256" t="s">
        <v>8382</v>
      </c>
      <c r="AC1256">
        <v>47</v>
      </c>
      <c r="AD1256" t="s">
        <v>12422</v>
      </c>
      <c r="AE1256" t="s">
        <v>6110</v>
      </c>
      <c r="AF1256">
        <v>28</v>
      </c>
      <c r="AG1256">
        <v>1</v>
      </c>
      <c r="AH1256">
        <v>0</v>
      </c>
      <c r="AI1256">
        <v>79.08</v>
      </c>
      <c r="AL1256" t="s">
        <v>12460</v>
      </c>
      <c r="AM1256">
        <v>9600</v>
      </c>
      <c r="AS1256">
        <v>1</v>
      </c>
      <c r="AT1256" t="s">
        <v>402</v>
      </c>
      <c r="AU1256" t="s">
        <v>13087</v>
      </c>
    </row>
    <row r="1257" spans="1:48">
      <c r="A1257" s="1">
        <f>HYPERLINK("https://cms.ls-nyc.org/matter/dynamic-profile/view/1875568","18-1875568")</f>
        <v>0</v>
      </c>
      <c r="B1257" t="s">
        <v>90</v>
      </c>
      <c r="C1257" t="s">
        <v>233</v>
      </c>
      <c r="D1257" t="s">
        <v>496</v>
      </c>
      <c r="E1257" t="s">
        <v>867</v>
      </c>
      <c r="F1257" t="s">
        <v>2766</v>
      </c>
      <c r="G1257" t="s">
        <v>4065</v>
      </c>
      <c r="H1257" t="s">
        <v>5683</v>
      </c>
      <c r="I1257" t="s">
        <v>6043</v>
      </c>
      <c r="J1257">
        <v>11221</v>
      </c>
      <c r="K1257" t="s">
        <v>6074</v>
      </c>
      <c r="L1257" t="s">
        <v>6074</v>
      </c>
      <c r="N1257" t="s">
        <v>6104</v>
      </c>
      <c r="O1257" t="s">
        <v>7307</v>
      </c>
      <c r="P1257" t="s">
        <v>7315</v>
      </c>
      <c r="Q1257" t="s">
        <v>7322</v>
      </c>
      <c r="R1257" t="s">
        <v>6074</v>
      </c>
      <c r="S1257" t="s">
        <v>7324</v>
      </c>
      <c r="U1257" t="s">
        <v>233</v>
      </c>
      <c r="V1257">
        <v>168</v>
      </c>
      <c r="W1257" t="s">
        <v>7362</v>
      </c>
      <c r="X1257" t="s">
        <v>7381</v>
      </c>
      <c r="Y1257" t="s">
        <v>7387</v>
      </c>
      <c r="Z1257" t="s">
        <v>8383</v>
      </c>
      <c r="AB1257" t="s">
        <v>11142</v>
      </c>
      <c r="AC1257">
        <v>54</v>
      </c>
      <c r="AD1257" t="s">
        <v>12422</v>
      </c>
      <c r="AE1257" t="s">
        <v>12434</v>
      </c>
      <c r="AF1257">
        <v>13</v>
      </c>
      <c r="AG1257">
        <v>1</v>
      </c>
      <c r="AH1257">
        <v>0</v>
      </c>
      <c r="AI1257">
        <v>79.08</v>
      </c>
      <c r="AL1257" t="s">
        <v>12460</v>
      </c>
      <c r="AM1257">
        <v>9600</v>
      </c>
      <c r="AN1257" t="s">
        <v>12525</v>
      </c>
      <c r="AS1257">
        <v>56</v>
      </c>
      <c r="AT1257" t="s">
        <v>265</v>
      </c>
      <c r="AU1257" t="s">
        <v>13121</v>
      </c>
    </row>
    <row r="1258" spans="1:48">
      <c r="A1258" s="1">
        <f>HYPERLINK("https://cms.ls-nyc.org/matter/dynamic-profile/view/1875609","18-1875609")</f>
        <v>0</v>
      </c>
      <c r="B1258" t="s">
        <v>92</v>
      </c>
      <c r="C1258" t="s">
        <v>233</v>
      </c>
      <c r="D1258" t="s">
        <v>496</v>
      </c>
      <c r="E1258" t="s">
        <v>831</v>
      </c>
      <c r="F1258" t="s">
        <v>2287</v>
      </c>
      <c r="G1258" t="s">
        <v>4065</v>
      </c>
      <c r="H1258" t="s">
        <v>5684</v>
      </c>
      <c r="I1258" t="s">
        <v>6043</v>
      </c>
      <c r="J1258">
        <v>11221</v>
      </c>
      <c r="K1258" t="s">
        <v>6074</v>
      </c>
      <c r="L1258" t="s">
        <v>6074</v>
      </c>
      <c r="N1258" t="s">
        <v>6104</v>
      </c>
      <c r="O1258" t="s">
        <v>7309</v>
      </c>
      <c r="P1258" t="s">
        <v>7315</v>
      </c>
      <c r="Q1258" t="s">
        <v>7322</v>
      </c>
      <c r="R1258" t="s">
        <v>6074</v>
      </c>
      <c r="S1258" t="s">
        <v>7324</v>
      </c>
      <c r="U1258" t="s">
        <v>406</v>
      </c>
      <c r="V1258">
        <v>538.37</v>
      </c>
      <c r="W1258" t="s">
        <v>7362</v>
      </c>
      <c r="X1258" t="s">
        <v>7381</v>
      </c>
      <c r="Y1258" t="s">
        <v>7387</v>
      </c>
      <c r="Z1258" t="s">
        <v>7545</v>
      </c>
      <c r="AA1258">
        <v>4449660</v>
      </c>
      <c r="AB1258" t="s">
        <v>11143</v>
      </c>
      <c r="AC1258">
        <v>54</v>
      </c>
      <c r="AD1258" t="s">
        <v>12422</v>
      </c>
      <c r="AF1258">
        <v>19</v>
      </c>
      <c r="AG1258">
        <v>1</v>
      </c>
      <c r="AH1258">
        <v>0</v>
      </c>
      <c r="AI1258">
        <v>79.08</v>
      </c>
      <c r="AL1258" t="s">
        <v>12460</v>
      </c>
      <c r="AM1258">
        <v>9600</v>
      </c>
      <c r="AN1258" t="s">
        <v>12491</v>
      </c>
      <c r="AS1258">
        <v>0.1</v>
      </c>
      <c r="AT1258" t="s">
        <v>496</v>
      </c>
      <c r="AU1258" t="s">
        <v>13121</v>
      </c>
      <c r="AV1258" t="s">
        <v>13145</v>
      </c>
    </row>
    <row r="1259" spans="1:48">
      <c r="A1259" s="1">
        <f>HYPERLINK("https://cms.ls-nyc.org/matter/dynamic-profile/view/1875612","18-1875612")</f>
        <v>0</v>
      </c>
      <c r="B1259" t="s">
        <v>92</v>
      </c>
      <c r="C1259" t="s">
        <v>233</v>
      </c>
      <c r="D1259" t="s">
        <v>496</v>
      </c>
      <c r="E1259" t="s">
        <v>1307</v>
      </c>
      <c r="F1259" t="s">
        <v>2767</v>
      </c>
      <c r="G1259" t="s">
        <v>4065</v>
      </c>
      <c r="H1259" t="s">
        <v>5683</v>
      </c>
      <c r="I1259" t="s">
        <v>6043</v>
      </c>
      <c r="J1259">
        <v>11221</v>
      </c>
      <c r="K1259" t="s">
        <v>6074</v>
      </c>
      <c r="L1259" t="s">
        <v>6074</v>
      </c>
      <c r="N1259" t="s">
        <v>6104</v>
      </c>
      <c r="O1259" t="s">
        <v>7307</v>
      </c>
      <c r="P1259" t="s">
        <v>7315</v>
      </c>
      <c r="Q1259" t="s">
        <v>7322</v>
      </c>
      <c r="R1259" t="s">
        <v>6074</v>
      </c>
      <c r="S1259" t="s">
        <v>7324</v>
      </c>
      <c r="U1259" t="s">
        <v>233</v>
      </c>
      <c r="V1259">
        <v>0</v>
      </c>
      <c r="W1259" t="s">
        <v>7362</v>
      </c>
      <c r="X1259" t="s">
        <v>7381</v>
      </c>
      <c r="Y1259" t="s">
        <v>7387</v>
      </c>
      <c r="Z1259" t="s">
        <v>8383</v>
      </c>
      <c r="AB1259" t="s">
        <v>11142</v>
      </c>
      <c r="AC1259">
        <v>54</v>
      </c>
      <c r="AD1259" t="s">
        <v>12422</v>
      </c>
      <c r="AF1259">
        <v>7</v>
      </c>
      <c r="AG1259">
        <v>1</v>
      </c>
      <c r="AH1259">
        <v>0</v>
      </c>
      <c r="AI1259">
        <v>79.08</v>
      </c>
      <c r="AL1259" t="s">
        <v>12460</v>
      </c>
      <c r="AM1259">
        <v>9600</v>
      </c>
      <c r="AN1259" t="s">
        <v>12491</v>
      </c>
      <c r="AS1259">
        <v>0.1</v>
      </c>
      <c r="AT1259" t="s">
        <v>496</v>
      </c>
      <c r="AU1259" t="s">
        <v>13121</v>
      </c>
      <c r="AV1259" t="s">
        <v>13145</v>
      </c>
    </row>
    <row r="1260" spans="1:48">
      <c r="A1260" s="1">
        <f>HYPERLINK("https://cms.ls-nyc.org/matter/dynamic-profile/view/1881171","18-1881171")</f>
        <v>0</v>
      </c>
      <c r="B1260" t="s">
        <v>98</v>
      </c>
      <c r="C1260" t="s">
        <v>240</v>
      </c>
      <c r="D1260" t="s">
        <v>246</v>
      </c>
      <c r="E1260" t="s">
        <v>598</v>
      </c>
      <c r="F1260" t="s">
        <v>2768</v>
      </c>
      <c r="G1260" t="s">
        <v>4450</v>
      </c>
      <c r="H1260" t="s">
        <v>5685</v>
      </c>
      <c r="I1260" t="s">
        <v>6047</v>
      </c>
      <c r="J1260">
        <v>10460</v>
      </c>
      <c r="K1260" t="s">
        <v>6074</v>
      </c>
      <c r="L1260" t="s">
        <v>6074</v>
      </c>
      <c r="M1260" t="s">
        <v>6649</v>
      </c>
      <c r="N1260" t="s">
        <v>7298</v>
      </c>
      <c r="O1260" t="s">
        <v>7306</v>
      </c>
      <c r="P1260" t="s">
        <v>7314</v>
      </c>
      <c r="Q1260" t="s">
        <v>7322</v>
      </c>
      <c r="R1260" t="s">
        <v>6076</v>
      </c>
      <c r="S1260" t="s">
        <v>7324</v>
      </c>
      <c r="U1260" t="s">
        <v>246</v>
      </c>
      <c r="V1260">
        <v>1685</v>
      </c>
      <c r="W1260" t="s">
        <v>7363</v>
      </c>
      <c r="X1260" t="s">
        <v>7367</v>
      </c>
      <c r="Y1260" t="s">
        <v>7386</v>
      </c>
      <c r="Z1260" t="s">
        <v>8384</v>
      </c>
      <c r="AA1260" t="s">
        <v>10127</v>
      </c>
      <c r="AB1260" t="s">
        <v>11144</v>
      </c>
      <c r="AC1260">
        <v>85</v>
      </c>
      <c r="AD1260" t="s">
        <v>12422</v>
      </c>
      <c r="AE1260" t="s">
        <v>12434</v>
      </c>
      <c r="AF1260">
        <v>2</v>
      </c>
      <c r="AG1260">
        <v>1</v>
      </c>
      <c r="AH1260">
        <v>0</v>
      </c>
      <c r="AI1260">
        <v>79.08</v>
      </c>
      <c r="AL1260" t="s">
        <v>12460</v>
      </c>
      <c r="AM1260">
        <v>9600</v>
      </c>
      <c r="AS1260">
        <v>5.3</v>
      </c>
      <c r="AT1260" t="s">
        <v>246</v>
      </c>
      <c r="AU1260" t="s">
        <v>13091</v>
      </c>
    </row>
    <row r="1261" spans="1:48">
      <c r="A1261" s="1">
        <f>HYPERLINK("https://cms.ls-nyc.org/matter/dynamic-profile/view/1871931","18-1871931")</f>
        <v>0</v>
      </c>
      <c r="B1261" t="s">
        <v>96</v>
      </c>
      <c r="C1261" t="s">
        <v>388</v>
      </c>
      <c r="D1261" t="s">
        <v>389</v>
      </c>
      <c r="E1261" t="s">
        <v>633</v>
      </c>
      <c r="F1261" t="s">
        <v>2769</v>
      </c>
      <c r="G1261" t="s">
        <v>4451</v>
      </c>
      <c r="H1261" t="s">
        <v>5436</v>
      </c>
      <c r="I1261" t="s">
        <v>6047</v>
      </c>
      <c r="J1261">
        <v>10460</v>
      </c>
      <c r="K1261" t="s">
        <v>6074</v>
      </c>
      <c r="L1261" t="s">
        <v>6074</v>
      </c>
      <c r="N1261" t="s">
        <v>7278</v>
      </c>
      <c r="O1261" t="s">
        <v>7306</v>
      </c>
      <c r="P1261" t="s">
        <v>7314</v>
      </c>
      <c r="Q1261" t="s">
        <v>7322</v>
      </c>
      <c r="R1261" t="s">
        <v>6076</v>
      </c>
      <c r="S1261" t="s">
        <v>7324</v>
      </c>
      <c r="U1261" t="s">
        <v>388</v>
      </c>
      <c r="V1261">
        <v>350</v>
      </c>
      <c r="W1261" t="s">
        <v>7363</v>
      </c>
      <c r="X1261" t="s">
        <v>7376</v>
      </c>
      <c r="Y1261" t="s">
        <v>7386</v>
      </c>
      <c r="Z1261" t="s">
        <v>8385</v>
      </c>
      <c r="AB1261" t="s">
        <v>11145</v>
      </c>
      <c r="AC1261">
        <v>3</v>
      </c>
      <c r="AD1261" t="s">
        <v>12419</v>
      </c>
      <c r="AE1261" t="s">
        <v>6110</v>
      </c>
      <c r="AF1261">
        <v>2</v>
      </c>
      <c r="AG1261">
        <v>1</v>
      </c>
      <c r="AH1261">
        <v>0</v>
      </c>
      <c r="AI1261">
        <v>79.08</v>
      </c>
      <c r="AL1261" t="s">
        <v>12460</v>
      </c>
      <c r="AM1261">
        <v>9600</v>
      </c>
      <c r="AS1261">
        <v>0.6</v>
      </c>
      <c r="AT1261" t="s">
        <v>240</v>
      </c>
      <c r="AU1261" t="s">
        <v>13092</v>
      </c>
    </row>
    <row r="1262" spans="1:48">
      <c r="A1262" s="1">
        <f>HYPERLINK("https://cms.ls-nyc.org/matter/dynamic-profile/view/1885330","18-1885330")</f>
        <v>0</v>
      </c>
      <c r="B1262" t="s">
        <v>99</v>
      </c>
      <c r="C1262" t="s">
        <v>250</v>
      </c>
      <c r="D1262" t="s">
        <v>472</v>
      </c>
      <c r="E1262" t="s">
        <v>1308</v>
      </c>
      <c r="F1262" t="s">
        <v>2770</v>
      </c>
      <c r="G1262" t="s">
        <v>4452</v>
      </c>
      <c r="I1262" t="s">
        <v>6047</v>
      </c>
      <c r="J1262">
        <v>10456</v>
      </c>
      <c r="K1262" t="s">
        <v>6074</v>
      </c>
      <c r="L1262" t="s">
        <v>6074</v>
      </c>
      <c r="M1262" t="s">
        <v>6650</v>
      </c>
      <c r="N1262" t="s">
        <v>7276</v>
      </c>
      <c r="O1262" t="s">
        <v>7306</v>
      </c>
      <c r="P1262" t="s">
        <v>7314</v>
      </c>
      <c r="Q1262" t="s">
        <v>7322</v>
      </c>
      <c r="R1262" t="s">
        <v>6076</v>
      </c>
      <c r="S1262" t="s">
        <v>7324</v>
      </c>
      <c r="T1262" t="s">
        <v>7336</v>
      </c>
      <c r="U1262" t="s">
        <v>250</v>
      </c>
      <c r="V1262">
        <v>600</v>
      </c>
      <c r="W1262" t="s">
        <v>7363</v>
      </c>
      <c r="X1262" t="s">
        <v>7376</v>
      </c>
      <c r="Y1262" t="s">
        <v>7386</v>
      </c>
      <c r="Z1262" t="s">
        <v>8386</v>
      </c>
      <c r="AB1262" t="s">
        <v>11146</v>
      </c>
      <c r="AC1262">
        <v>0</v>
      </c>
      <c r="AD1262" t="s">
        <v>6322</v>
      </c>
      <c r="AE1262" t="s">
        <v>6110</v>
      </c>
      <c r="AF1262">
        <v>2</v>
      </c>
      <c r="AG1262">
        <v>1</v>
      </c>
      <c r="AH1262">
        <v>0</v>
      </c>
      <c r="AI1262">
        <v>79.08</v>
      </c>
      <c r="AL1262" t="s">
        <v>12460</v>
      </c>
      <c r="AM1262">
        <v>9600</v>
      </c>
      <c r="AS1262">
        <v>1.7</v>
      </c>
      <c r="AT1262" t="s">
        <v>410</v>
      </c>
      <c r="AU1262" t="s">
        <v>99</v>
      </c>
    </row>
    <row r="1263" spans="1:48">
      <c r="A1263" s="1">
        <f>HYPERLINK("https://cms.ls-nyc.org/matter/dynamic-profile/view/1880289","18-1880289")</f>
        <v>0</v>
      </c>
      <c r="B1263" t="s">
        <v>194</v>
      </c>
      <c r="C1263" t="s">
        <v>354</v>
      </c>
      <c r="D1263" t="s">
        <v>443</v>
      </c>
      <c r="E1263" t="s">
        <v>1309</v>
      </c>
      <c r="F1263" t="s">
        <v>2771</v>
      </c>
      <c r="G1263" t="s">
        <v>4453</v>
      </c>
      <c r="H1263">
        <v>1</v>
      </c>
      <c r="I1263" t="s">
        <v>6047</v>
      </c>
      <c r="J1263">
        <v>10456</v>
      </c>
      <c r="K1263" t="s">
        <v>6074</v>
      </c>
      <c r="L1263" t="s">
        <v>6074</v>
      </c>
      <c r="N1263" t="s">
        <v>7278</v>
      </c>
      <c r="O1263" t="s">
        <v>7306</v>
      </c>
      <c r="P1263" t="s">
        <v>7314</v>
      </c>
      <c r="Q1263" t="s">
        <v>7322</v>
      </c>
      <c r="R1263" t="s">
        <v>6076</v>
      </c>
      <c r="S1263" t="s">
        <v>7324</v>
      </c>
      <c r="U1263" t="s">
        <v>350</v>
      </c>
      <c r="V1263">
        <v>800</v>
      </c>
      <c r="W1263" t="s">
        <v>7363</v>
      </c>
      <c r="X1263" t="s">
        <v>7367</v>
      </c>
      <c r="Y1263" t="s">
        <v>7386</v>
      </c>
      <c r="Z1263" t="s">
        <v>8387</v>
      </c>
      <c r="AA1263" t="s">
        <v>10128</v>
      </c>
      <c r="AB1263" t="s">
        <v>11147</v>
      </c>
      <c r="AC1263">
        <v>5</v>
      </c>
      <c r="AD1263" t="s">
        <v>12419</v>
      </c>
      <c r="AE1263" t="s">
        <v>12437</v>
      </c>
      <c r="AF1263">
        <v>1</v>
      </c>
      <c r="AG1263">
        <v>1</v>
      </c>
      <c r="AH1263">
        <v>0</v>
      </c>
      <c r="AI1263">
        <v>79.08</v>
      </c>
      <c r="AL1263" t="s">
        <v>12460</v>
      </c>
      <c r="AM1263">
        <v>9600</v>
      </c>
      <c r="AS1263">
        <v>7.25</v>
      </c>
      <c r="AT1263" t="s">
        <v>326</v>
      </c>
      <c r="AU1263" t="s">
        <v>13077</v>
      </c>
    </row>
    <row r="1264" spans="1:48">
      <c r="A1264" s="1">
        <f>HYPERLINK("https://cms.ls-nyc.org/matter/dynamic-profile/view/1887646","19-1887646")</f>
        <v>0</v>
      </c>
      <c r="B1264" t="s">
        <v>101</v>
      </c>
      <c r="C1264" t="s">
        <v>492</v>
      </c>
      <c r="E1264" t="s">
        <v>1310</v>
      </c>
      <c r="F1264" t="s">
        <v>2772</v>
      </c>
      <c r="G1264" t="s">
        <v>4454</v>
      </c>
      <c r="H1264" t="s">
        <v>5405</v>
      </c>
      <c r="I1264" t="s">
        <v>6047</v>
      </c>
      <c r="J1264">
        <v>10453</v>
      </c>
      <c r="K1264" t="s">
        <v>6074</v>
      </c>
      <c r="L1264" t="s">
        <v>6074</v>
      </c>
      <c r="N1264" t="s">
        <v>7273</v>
      </c>
      <c r="O1264" t="s">
        <v>7308</v>
      </c>
      <c r="Q1264" t="s">
        <v>7322</v>
      </c>
      <c r="R1264" t="s">
        <v>6076</v>
      </c>
      <c r="S1264" t="s">
        <v>7324</v>
      </c>
      <c r="U1264" t="s">
        <v>310</v>
      </c>
      <c r="V1264">
        <v>1039.51</v>
      </c>
      <c r="W1264" t="s">
        <v>7363</v>
      </c>
      <c r="X1264" t="s">
        <v>7376</v>
      </c>
      <c r="Z1264" t="s">
        <v>8388</v>
      </c>
      <c r="AB1264" t="s">
        <v>11148</v>
      </c>
      <c r="AC1264">
        <v>69</v>
      </c>
      <c r="AD1264" t="s">
        <v>12422</v>
      </c>
      <c r="AE1264" t="s">
        <v>6110</v>
      </c>
      <c r="AF1264">
        <v>15</v>
      </c>
      <c r="AG1264">
        <v>1</v>
      </c>
      <c r="AH1264">
        <v>0</v>
      </c>
      <c r="AI1264">
        <v>79.08</v>
      </c>
      <c r="AL1264" t="s">
        <v>3291</v>
      </c>
      <c r="AM1264">
        <v>9600</v>
      </c>
      <c r="AS1264">
        <v>23.45</v>
      </c>
      <c r="AT1264" t="s">
        <v>362</v>
      </c>
      <c r="AU1264" t="s">
        <v>13095</v>
      </c>
    </row>
    <row r="1265" spans="1:48">
      <c r="A1265" s="1">
        <f>HYPERLINK("https://cms.ls-nyc.org/matter/dynamic-profile/view/1878972","18-1878972")</f>
        <v>0</v>
      </c>
      <c r="B1265" t="s">
        <v>99</v>
      </c>
      <c r="C1265" t="s">
        <v>438</v>
      </c>
      <c r="D1265" t="s">
        <v>258</v>
      </c>
      <c r="E1265" t="s">
        <v>586</v>
      </c>
      <c r="F1265" t="s">
        <v>2284</v>
      </c>
      <c r="G1265" t="s">
        <v>4455</v>
      </c>
      <c r="H1265" t="s">
        <v>5495</v>
      </c>
      <c r="I1265" t="s">
        <v>6047</v>
      </c>
      <c r="J1265">
        <v>10452</v>
      </c>
      <c r="K1265" t="s">
        <v>6074</v>
      </c>
      <c r="L1265" t="s">
        <v>6074</v>
      </c>
      <c r="N1265" t="s">
        <v>7274</v>
      </c>
      <c r="O1265" t="s">
        <v>7306</v>
      </c>
      <c r="P1265" t="s">
        <v>7314</v>
      </c>
      <c r="Q1265" t="s">
        <v>7322</v>
      </c>
      <c r="R1265" t="s">
        <v>6076</v>
      </c>
      <c r="S1265" t="s">
        <v>7324</v>
      </c>
      <c r="T1265" t="s">
        <v>7336</v>
      </c>
      <c r="U1265" t="s">
        <v>258</v>
      </c>
      <c r="V1265">
        <v>0</v>
      </c>
      <c r="W1265" t="s">
        <v>7363</v>
      </c>
      <c r="X1265" t="s">
        <v>7376</v>
      </c>
      <c r="Y1265" t="s">
        <v>7386</v>
      </c>
      <c r="Z1265" t="s">
        <v>8389</v>
      </c>
      <c r="AB1265" t="s">
        <v>11149</v>
      </c>
      <c r="AC1265">
        <v>0</v>
      </c>
      <c r="AD1265" t="s">
        <v>6322</v>
      </c>
      <c r="AE1265" t="s">
        <v>6110</v>
      </c>
      <c r="AF1265">
        <v>0</v>
      </c>
      <c r="AG1265">
        <v>1</v>
      </c>
      <c r="AH1265">
        <v>0</v>
      </c>
      <c r="AI1265">
        <v>79.08</v>
      </c>
      <c r="AL1265" t="s">
        <v>12461</v>
      </c>
      <c r="AM1265">
        <v>9600</v>
      </c>
      <c r="AS1265">
        <v>3.9</v>
      </c>
      <c r="AT1265" t="s">
        <v>258</v>
      </c>
      <c r="AU1265" t="s">
        <v>99</v>
      </c>
    </row>
    <row r="1266" spans="1:48">
      <c r="A1266" s="1">
        <f>HYPERLINK("https://cms.ls-nyc.org/matter/dynamic-profile/view/1866214","18-1866214")</f>
        <v>0</v>
      </c>
      <c r="B1266" t="s">
        <v>134</v>
      </c>
      <c r="C1266" t="s">
        <v>449</v>
      </c>
      <c r="E1266" t="s">
        <v>1311</v>
      </c>
      <c r="F1266" t="s">
        <v>2223</v>
      </c>
      <c r="G1266" t="s">
        <v>4456</v>
      </c>
      <c r="H1266">
        <v>3</v>
      </c>
      <c r="I1266" t="s">
        <v>6049</v>
      </c>
      <c r="J1266">
        <v>10035</v>
      </c>
      <c r="K1266" t="s">
        <v>6074</v>
      </c>
      <c r="L1266" t="s">
        <v>6074</v>
      </c>
      <c r="N1266" t="s">
        <v>6104</v>
      </c>
      <c r="O1266" t="s">
        <v>7307</v>
      </c>
      <c r="Q1266" t="s">
        <v>7322</v>
      </c>
      <c r="R1266" t="s">
        <v>6076</v>
      </c>
      <c r="S1266" t="s">
        <v>7331</v>
      </c>
      <c r="U1266" t="s">
        <v>289</v>
      </c>
      <c r="V1266">
        <v>900</v>
      </c>
      <c r="W1266" t="s">
        <v>7365</v>
      </c>
      <c r="X1266" t="s">
        <v>7380</v>
      </c>
      <c r="Z1266" t="s">
        <v>8390</v>
      </c>
      <c r="AB1266" t="s">
        <v>11150</v>
      </c>
      <c r="AC1266">
        <v>6</v>
      </c>
      <c r="AD1266" t="s">
        <v>12422</v>
      </c>
      <c r="AE1266" t="s">
        <v>12434</v>
      </c>
      <c r="AF1266">
        <v>17</v>
      </c>
      <c r="AG1266">
        <v>1</v>
      </c>
      <c r="AH1266">
        <v>0</v>
      </c>
      <c r="AI1266">
        <v>79.08</v>
      </c>
      <c r="AL1266" t="s">
        <v>12460</v>
      </c>
      <c r="AM1266">
        <v>9600</v>
      </c>
      <c r="AS1266">
        <v>24.43</v>
      </c>
      <c r="AT1266" t="s">
        <v>382</v>
      </c>
      <c r="AU1266" t="s">
        <v>13091</v>
      </c>
    </row>
    <row r="1267" spans="1:48">
      <c r="A1267" s="1">
        <f>HYPERLINK("https://cms.ls-nyc.org/matter/dynamic-profile/view/1881117","18-1881117")</f>
        <v>0</v>
      </c>
      <c r="B1267" t="s">
        <v>161</v>
      </c>
      <c r="C1267" t="s">
        <v>464</v>
      </c>
      <c r="D1267" t="s">
        <v>420</v>
      </c>
      <c r="E1267" t="s">
        <v>1312</v>
      </c>
      <c r="F1267" t="s">
        <v>2773</v>
      </c>
      <c r="G1267" t="s">
        <v>4457</v>
      </c>
      <c r="H1267">
        <v>611</v>
      </c>
      <c r="I1267" t="s">
        <v>6049</v>
      </c>
      <c r="J1267">
        <v>10035</v>
      </c>
      <c r="K1267" t="s">
        <v>6074</v>
      </c>
      <c r="L1267" t="s">
        <v>6074</v>
      </c>
      <c r="N1267" t="s">
        <v>6104</v>
      </c>
      <c r="O1267" t="s">
        <v>7306</v>
      </c>
      <c r="P1267" t="s">
        <v>7314</v>
      </c>
      <c r="Q1267" t="s">
        <v>7322</v>
      </c>
      <c r="R1267" t="s">
        <v>6076</v>
      </c>
      <c r="S1267" t="s">
        <v>7324</v>
      </c>
      <c r="T1267" t="s">
        <v>7336</v>
      </c>
      <c r="U1267" t="s">
        <v>320</v>
      </c>
      <c r="V1267">
        <v>0</v>
      </c>
      <c r="W1267" t="s">
        <v>7365</v>
      </c>
      <c r="X1267" t="s">
        <v>7372</v>
      </c>
      <c r="Y1267" t="s">
        <v>7386</v>
      </c>
      <c r="Z1267" t="s">
        <v>8391</v>
      </c>
      <c r="AB1267" t="s">
        <v>11151</v>
      </c>
      <c r="AC1267">
        <v>91</v>
      </c>
      <c r="AD1267" t="s">
        <v>12428</v>
      </c>
      <c r="AE1267" t="s">
        <v>12434</v>
      </c>
      <c r="AF1267">
        <v>2</v>
      </c>
      <c r="AG1267">
        <v>1</v>
      </c>
      <c r="AH1267">
        <v>0</v>
      </c>
      <c r="AI1267">
        <v>79.08</v>
      </c>
      <c r="AL1267" t="s">
        <v>12460</v>
      </c>
      <c r="AM1267">
        <v>9600</v>
      </c>
      <c r="AS1267">
        <v>1</v>
      </c>
      <c r="AT1267" t="s">
        <v>464</v>
      </c>
      <c r="AU1267" t="s">
        <v>13081</v>
      </c>
    </row>
    <row r="1268" spans="1:48">
      <c r="A1268" s="1">
        <f>HYPERLINK("https://cms.ls-nyc.org/matter/dynamic-profile/view/1877169","18-1877169")</f>
        <v>0</v>
      </c>
      <c r="B1268" t="s">
        <v>161</v>
      </c>
      <c r="C1268" t="s">
        <v>273</v>
      </c>
      <c r="D1268" t="s">
        <v>250</v>
      </c>
      <c r="E1268" t="s">
        <v>1313</v>
      </c>
      <c r="F1268" t="s">
        <v>2774</v>
      </c>
      <c r="G1268" t="s">
        <v>4458</v>
      </c>
      <c r="H1268" t="s">
        <v>5686</v>
      </c>
      <c r="I1268" t="s">
        <v>6049</v>
      </c>
      <c r="J1268">
        <v>10029</v>
      </c>
      <c r="K1268" t="s">
        <v>6074</v>
      </c>
      <c r="L1268" t="s">
        <v>6074</v>
      </c>
      <c r="N1268" t="s">
        <v>6104</v>
      </c>
      <c r="O1268" t="s">
        <v>7306</v>
      </c>
      <c r="P1268" t="s">
        <v>7314</v>
      </c>
      <c r="Q1268" t="s">
        <v>7322</v>
      </c>
      <c r="R1268" t="s">
        <v>6076</v>
      </c>
      <c r="S1268" t="s">
        <v>7324</v>
      </c>
      <c r="T1268" t="s">
        <v>7336</v>
      </c>
      <c r="U1268" t="s">
        <v>483</v>
      </c>
      <c r="V1268">
        <v>1280</v>
      </c>
      <c r="W1268" t="s">
        <v>7365</v>
      </c>
      <c r="X1268" t="s">
        <v>7378</v>
      </c>
      <c r="Y1268" t="s">
        <v>7386</v>
      </c>
      <c r="Z1268" t="s">
        <v>8392</v>
      </c>
      <c r="AB1268" t="s">
        <v>11152</v>
      </c>
      <c r="AC1268">
        <v>8</v>
      </c>
      <c r="AD1268" t="s">
        <v>12422</v>
      </c>
      <c r="AE1268" t="s">
        <v>12434</v>
      </c>
      <c r="AF1268">
        <v>18</v>
      </c>
      <c r="AG1268">
        <v>1</v>
      </c>
      <c r="AH1268">
        <v>0</v>
      </c>
      <c r="AI1268">
        <v>79.08</v>
      </c>
      <c r="AL1268" t="s">
        <v>12461</v>
      </c>
      <c r="AM1268">
        <v>9600</v>
      </c>
      <c r="AS1268">
        <v>0.65</v>
      </c>
      <c r="AT1268" t="s">
        <v>271</v>
      </c>
      <c r="AU1268" t="s">
        <v>13090</v>
      </c>
    </row>
    <row r="1269" spans="1:48">
      <c r="A1269" s="1">
        <f>HYPERLINK("https://cms.ls-nyc.org/matter/dynamic-profile/view/1880240","18-1880240")</f>
        <v>0</v>
      </c>
      <c r="B1269" t="s">
        <v>161</v>
      </c>
      <c r="C1269" t="s">
        <v>391</v>
      </c>
      <c r="D1269" t="s">
        <v>337</v>
      </c>
      <c r="E1269" t="s">
        <v>901</v>
      </c>
      <c r="F1269" t="s">
        <v>2174</v>
      </c>
      <c r="G1269" t="s">
        <v>4459</v>
      </c>
      <c r="H1269">
        <v>6</v>
      </c>
      <c r="I1269" t="s">
        <v>6049</v>
      </c>
      <c r="J1269">
        <v>10029</v>
      </c>
      <c r="K1269" t="s">
        <v>6074</v>
      </c>
      <c r="L1269" t="s">
        <v>6074</v>
      </c>
      <c r="M1269" t="s">
        <v>6651</v>
      </c>
      <c r="N1269" t="s">
        <v>7276</v>
      </c>
      <c r="O1269" t="s">
        <v>7308</v>
      </c>
      <c r="P1269" t="s">
        <v>7316</v>
      </c>
      <c r="Q1269" t="s">
        <v>7322</v>
      </c>
      <c r="R1269" t="s">
        <v>6076</v>
      </c>
      <c r="S1269" t="s">
        <v>7324</v>
      </c>
      <c r="T1269" t="s">
        <v>7336</v>
      </c>
      <c r="U1269" t="s">
        <v>271</v>
      </c>
      <c r="V1269">
        <v>550</v>
      </c>
      <c r="W1269" t="s">
        <v>7365</v>
      </c>
      <c r="X1269" t="s">
        <v>7370</v>
      </c>
      <c r="Y1269" t="s">
        <v>7391</v>
      </c>
      <c r="Z1269" t="s">
        <v>8393</v>
      </c>
      <c r="AB1269" t="s">
        <v>11153</v>
      </c>
      <c r="AC1269">
        <v>10</v>
      </c>
      <c r="AD1269" t="s">
        <v>12422</v>
      </c>
      <c r="AE1269" t="s">
        <v>6110</v>
      </c>
      <c r="AF1269">
        <v>8</v>
      </c>
      <c r="AG1269">
        <v>1</v>
      </c>
      <c r="AH1269">
        <v>0</v>
      </c>
      <c r="AI1269">
        <v>79.08</v>
      </c>
      <c r="AL1269" t="s">
        <v>12460</v>
      </c>
      <c r="AM1269">
        <v>9600</v>
      </c>
      <c r="AR1269" t="s">
        <v>13005</v>
      </c>
      <c r="AS1269">
        <v>3</v>
      </c>
      <c r="AT1269" t="s">
        <v>408</v>
      </c>
      <c r="AU1269" t="s">
        <v>13107</v>
      </c>
    </row>
    <row r="1270" spans="1:48">
      <c r="A1270" s="1">
        <f>HYPERLINK("https://cms.ls-nyc.org/matter/dynamic-profile/view/1878828","18-1878828")</f>
        <v>0</v>
      </c>
      <c r="B1270" t="s">
        <v>86</v>
      </c>
      <c r="C1270" t="s">
        <v>282</v>
      </c>
      <c r="E1270" t="s">
        <v>1314</v>
      </c>
      <c r="F1270" t="s">
        <v>2775</v>
      </c>
      <c r="G1270" t="s">
        <v>4460</v>
      </c>
      <c r="H1270" t="s">
        <v>5687</v>
      </c>
      <c r="I1270" t="s">
        <v>6049</v>
      </c>
      <c r="J1270">
        <v>10029</v>
      </c>
      <c r="K1270" t="s">
        <v>6074</v>
      </c>
      <c r="L1270" t="s">
        <v>6074</v>
      </c>
      <c r="N1270" t="s">
        <v>7290</v>
      </c>
      <c r="O1270" t="s">
        <v>7307</v>
      </c>
      <c r="Q1270" t="s">
        <v>7322</v>
      </c>
      <c r="R1270" t="s">
        <v>6076</v>
      </c>
      <c r="S1270" t="s">
        <v>7333</v>
      </c>
      <c r="T1270" t="s">
        <v>7336</v>
      </c>
      <c r="U1270" t="s">
        <v>282</v>
      </c>
      <c r="V1270">
        <v>1146</v>
      </c>
      <c r="W1270" t="s">
        <v>7365</v>
      </c>
      <c r="X1270" t="s">
        <v>7370</v>
      </c>
      <c r="Z1270" t="s">
        <v>8394</v>
      </c>
      <c r="AB1270" t="s">
        <v>9856</v>
      </c>
      <c r="AC1270">
        <v>400</v>
      </c>
      <c r="AD1270" t="s">
        <v>12423</v>
      </c>
      <c r="AE1270" t="s">
        <v>12441</v>
      </c>
      <c r="AF1270">
        <v>41</v>
      </c>
      <c r="AG1270">
        <v>1</v>
      </c>
      <c r="AH1270">
        <v>0</v>
      </c>
      <c r="AI1270">
        <v>79.08</v>
      </c>
      <c r="AL1270" t="s">
        <v>12460</v>
      </c>
      <c r="AM1270">
        <v>9600</v>
      </c>
      <c r="AS1270">
        <v>2.5</v>
      </c>
      <c r="AT1270" t="s">
        <v>282</v>
      </c>
      <c r="AU1270" t="s">
        <v>13107</v>
      </c>
    </row>
    <row r="1271" spans="1:48">
      <c r="A1271" s="1">
        <f>HYPERLINK("https://cms.ls-nyc.org/matter/dynamic-profile/view/1887963","19-1887963")</f>
        <v>0</v>
      </c>
      <c r="B1271" t="s">
        <v>128</v>
      </c>
      <c r="C1271" t="s">
        <v>390</v>
      </c>
      <c r="E1271" t="s">
        <v>1233</v>
      </c>
      <c r="F1271" t="s">
        <v>2352</v>
      </c>
      <c r="G1271" t="s">
        <v>3934</v>
      </c>
      <c r="H1271">
        <v>22</v>
      </c>
      <c r="I1271" t="s">
        <v>6049</v>
      </c>
      <c r="J1271">
        <v>10034</v>
      </c>
      <c r="K1271" t="s">
        <v>6074</v>
      </c>
      <c r="L1271" t="s">
        <v>6074</v>
      </c>
      <c r="M1271" t="s">
        <v>6500</v>
      </c>
      <c r="N1271" t="s">
        <v>7273</v>
      </c>
      <c r="O1271" t="s">
        <v>7308</v>
      </c>
      <c r="Q1271" t="s">
        <v>7322</v>
      </c>
      <c r="R1271" t="s">
        <v>6074</v>
      </c>
      <c r="S1271" t="s">
        <v>7324</v>
      </c>
      <c r="U1271" t="s">
        <v>390</v>
      </c>
      <c r="V1271">
        <v>174.62</v>
      </c>
      <c r="W1271" t="s">
        <v>7365</v>
      </c>
      <c r="X1271" t="s">
        <v>7367</v>
      </c>
      <c r="Z1271" t="s">
        <v>8395</v>
      </c>
      <c r="AA1271">
        <v>81732</v>
      </c>
      <c r="AC1271">
        <v>25</v>
      </c>
      <c r="AD1271" t="s">
        <v>12422</v>
      </c>
      <c r="AE1271" t="s">
        <v>6110</v>
      </c>
      <c r="AF1271">
        <v>40</v>
      </c>
      <c r="AG1271">
        <v>1</v>
      </c>
      <c r="AH1271">
        <v>0</v>
      </c>
      <c r="AI1271">
        <v>79.12</v>
      </c>
      <c r="AL1271" t="s">
        <v>12461</v>
      </c>
      <c r="AM1271">
        <v>9604.799999999999</v>
      </c>
      <c r="AS1271">
        <v>0</v>
      </c>
      <c r="AU1271" t="s">
        <v>13106</v>
      </c>
    </row>
    <row r="1272" spans="1:48">
      <c r="A1272" s="1">
        <f>HYPERLINK("https://cms.ls-nyc.org/matter/dynamic-profile/view/1872100","18-1872100")</f>
        <v>0</v>
      </c>
      <c r="B1272" t="s">
        <v>119</v>
      </c>
      <c r="C1272" t="s">
        <v>394</v>
      </c>
      <c r="D1272" t="s">
        <v>559</v>
      </c>
      <c r="E1272" t="s">
        <v>1315</v>
      </c>
      <c r="F1272" t="s">
        <v>2204</v>
      </c>
      <c r="G1272" t="s">
        <v>4461</v>
      </c>
      <c r="I1272" t="s">
        <v>6048</v>
      </c>
      <c r="J1272">
        <v>10304</v>
      </c>
      <c r="K1272" t="s">
        <v>6074</v>
      </c>
      <c r="L1272" t="s">
        <v>6074</v>
      </c>
      <c r="M1272" t="s">
        <v>6652</v>
      </c>
      <c r="N1272" t="s">
        <v>7276</v>
      </c>
      <c r="O1272" t="s">
        <v>7308</v>
      </c>
      <c r="P1272" t="s">
        <v>7316</v>
      </c>
      <c r="Q1272" t="s">
        <v>7322</v>
      </c>
      <c r="R1272" t="s">
        <v>6076</v>
      </c>
      <c r="S1272" t="s">
        <v>7324</v>
      </c>
      <c r="T1272" t="s">
        <v>7336</v>
      </c>
      <c r="U1272" t="s">
        <v>394</v>
      </c>
      <c r="V1272">
        <v>1800</v>
      </c>
      <c r="W1272" t="s">
        <v>7364</v>
      </c>
      <c r="X1272" t="s">
        <v>7375</v>
      </c>
      <c r="Y1272" t="s">
        <v>7391</v>
      </c>
      <c r="Z1272" t="s">
        <v>8396</v>
      </c>
      <c r="AB1272" t="s">
        <v>11154</v>
      </c>
      <c r="AC1272">
        <v>2</v>
      </c>
      <c r="AD1272" t="s">
        <v>12419</v>
      </c>
      <c r="AE1272" t="s">
        <v>6110</v>
      </c>
      <c r="AF1272">
        <v>3</v>
      </c>
      <c r="AG1272">
        <v>2</v>
      </c>
      <c r="AH1272">
        <v>1</v>
      </c>
      <c r="AI1272">
        <v>79.17</v>
      </c>
      <c r="AL1272" t="s">
        <v>12460</v>
      </c>
      <c r="AM1272">
        <v>16452</v>
      </c>
      <c r="AO1272" t="s">
        <v>12850</v>
      </c>
      <c r="AP1272" t="s">
        <v>7305</v>
      </c>
      <c r="AQ1272" t="s">
        <v>12910</v>
      </c>
      <c r="AR1272" t="s">
        <v>13006</v>
      </c>
      <c r="AS1272">
        <v>11.85</v>
      </c>
      <c r="AT1272" t="s">
        <v>370</v>
      </c>
      <c r="AU1272" t="s">
        <v>13103</v>
      </c>
    </row>
    <row r="1273" spans="1:48">
      <c r="A1273" s="1">
        <f>HYPERLINK("https://cms.ls-nyc.org/matter/dynamic-profile/view/1895895","19-1895895")</f>
        <v>0</v>
      </c>
      <c r="B1273" t="s">
        <v>158</v>
      </c>
      <c r="C1273" t="s">
        <v>270</v>
      </c>
      <c r="D1273" t="s">
        <v>324</v>
      </c>
      <c r="E1273" t="s">
        <v>1316</v>
      </c>
      <c r="F1273" t="s">
        <v>2776</v>
      </c>
      <c r="G1273" t="s">
        <v>4462</v>
      </c>
      <c r="I1273" t="s">
        <v>6047</v>
      </c>
      <c r="J1273">
        <v>10456</v>
      </c>
      <c r="K1273" t="s">
        <v>6074</v>
      </c>
      <c r="L1273" t="s">
        <v>6074</v>
      </c>
      <c r="N1273" t="s">
        <v>6104</v>
      </c>
      <c r="O1273" t="s">
        <v>7306</v>
      </c>
      <c r="P1273" t="s">
        <v>7314</v>
      </c>
      <c r="Q1273" t="s">
        <v>7322</v>
      </c>
      <c r="R1273" t="s">
        <v>6076</v>
      </c>
      <c r="S1273" t="s">
        <v>7324</v>
      </c>
      <c r="U1273" t="s">
        <v>270</v>
      </c>
      <c r="V1273">
        <v>0</v>
      </c>
      <c r="W1273" t="s">
        <v>7363</v>
      </c>
      <c r="X1273" t="s">
        <v>7367</v>
      </c>
      <c r="Y1273" t="s">
        <v>7386</v>
      </c>
      <c r="Z1273" t="s">
        <v>8397</v>
      </c>
      <c r="AB1273" t="s">
        <v>11155</v>
      </c>
      <c r="AC1273">
        <v>0</v>
      </c>
      <c r="AD1273" t="s">
        <v>12430</v>
      </c>
      <c r="AF1273">
        <v>0</v>
      </c>
      <c r="AG1273">
        <v>1</v>
      </c>
      <c r="AH1273">
        <v>0</v>
      </c>
      <c r="AI1273">
        <v>79.26000000000001</v>
      </c>
      <c r="AL1273" t="s">
        <v>12460</v>
      </c>
      <c r="AM1273">
        <v>9900</v>
      </c>
      <c r="AS1273">
        <v>0.5</v>
      </c>
      <c r="AT1273" t="s">
        <v>270</v>
      </c>
      <c r="AU1273" t="s">
        <v>158</v>
      </c>
      <c r="AV1273" t="s">
        <v>13145</v>
      </c>
    </row>
    <row r="1274" spans="1:48">
      <c r="A1274" s="1">
        <f>HYPERLINK("https://cms.ls-nyc.org/matter/dynamic-profile/view/1888323","19-1888323")</f>
        <v>0</v>
      </c>
      <c r="B1274" t="s">
        <v>195</v>
      </c>
      <c r="C1274" t="s">
        <v>370</v>
      </c>
      <c r="D1274" t="s">
        <v>347</v>
      </c>
      <c r="E1274" t="s">
        <v>1317</v>
      </c>
      <c r="F1274" t="s">
        <v>2777</v>
      </c>
      <c r="G1274" t="s">
        <v>4463</v>
      </c>
      <c r="H1274">
        <v>1713</v>
      </c>
      <c r="I1274" t="s">
        <v>6049</v>
      </c>
      <c r="J1274">
        <v>10002</v>
      </c>
      <c r="K1274" t="s">
        <v>6076</v>
      </c>
      <c r="L1274" t="s">
        <v>6076</v>
      </c>
      <c r="N1274" t="s">
        <v>6104</v>
      </c>
      <c r="O1274" t="s">
        <v>7306</v>
      </c>
      <c r="P1274" t="s">
        <v>7314</v>
      </c>
      <c r="Q1274" t="s">
        <v>7322</v>
      </c>
      <c r="S1274" t="s">
        <v>7324</v>
      </c>
      <c r="U1274" t="s">
        <v>347</v>
      </c>
      <c r="V1274">
        <v>800</v>
      </c>
      <c r="W1274" t="s">
        <v>7365</v>
      </c>
      <c r="Y1274" t="s">
        <v>7386</v>
      </c>
      <c r="Z1274" t="s">
        <v>8398</v>
      </c>
      <c r="AB1274" t="s">
        <v>11156</v>
      </c>
      <c r="AC1274">
        <v>0</v>
      </c>
      <c r="AD1274" t="s">
        <v>12431</v>
      </c>
      <c r="AE1274" t="s">
        <v>12434</v>
      </c>
      <c r="AF1274">
        <v>15</v>
      </c>
      <c r="AG1274">
        <v>1</v>
      </c>
      <c r="AH1274">
        <v>0</v>
      </c>
      <c r="AI1274">
        <v>79.26000000000001</v>
      </c>
      <c r="AL1274" t="s">
        <v>12475</v>
      </c>
      <c r="AM1274">
        <v>9900</v>
      </c>
      <c r="AS1274">
        <v>1.6</v>
      </c>
      <c r="AT1274" t="s">
        <v>334</v>
      </c>
      <c r="AU1274" t="s">
        <v>13108</v>
      </c>
    </row>
    <row r="1275" spans="1:48">
      <c r="A1275" s="1">
        <f>HYPERLINK("https://cms.ls-nyc.org/matter/dynamic-profile/view/1882568","18-1882568")</f>
        <v>0</v>
      </c>
      <c r="B1275" t="s">
        <v>128</v>
      </c>
      <c r="C1275" t="s">
        <v>283</v>
      </c>
      <c r="D1275" t="s">
        <v>341</v>
      </c>
      <c r="E1275" t="s">
        <v>1318</v>
      </c>
      <c r="F1275" t="s">
        <v>2556</v>
      </c>
      <c r="G1275" t="s">
        <v>4464</v>
      </c>
      <c r="H1275" t="s">
        <v>5476</v>
      </c>
      <c r="I1275" t="s">
        <v>6049</v>
      </c>
      <c r="J1275">
        <v>10034</v>
      </c>
      <c r="K1275" t="s">
        <v>6074</v>
      </c>
      <c r="L1275" t="s">
        <v>6074</v>
      </c>
      <c r="O1275" t="s">
        <v>7306</v>
      </c>
      <c r="P1275" t="s">
        <v>7314</v>
      </c>
      <c r="Q1275" t="s">
        <v>7322</v>
      </c>
      <c r="R1275" t="s">
        <v>6076</v>
      </c>
      <c r="S1275" t="s">
        <v>7324</v>
      </c>
      <c r="U1275" t="s">
        <v>283</v>
      </c>
      <c r="V1275">
        <v>129</v>
      </c>
      <c r="W1275" t="s">
        <v>7365</v>
      </c>
      <c r="X1275" t="s">
        <v>7367</v>
      </c>
      <c r="Y1275" t="s">
        <v>7386</v>
      </c>
      <c r="Z1275" t="s">
        <v>8399</v>
      </c>
      <c r="AB1275" t="s">
        <v>11157</v>
      </c>
      <c r="AC1275">
        <v>259</v>
      </c>
      <c r="AD1275" t="s">
        <v>12422</v>
      </c>
      <c r="AE1275" t="s">
        <v>12434</v>
      </c>
      <c r="AF1275">
        <v>40</v>
      </c>
      <c r="AG1275">
        <v>1</v>
      </c>
      <c r="AH1275">
        <v>0</v>
      </c>
      <c r="AI1275">
        <v>79.37</v>
      </c>
      <c r="AL1275" t="s">
        <v>12461</v>
      </c>
      <c r="AM1275">
        <v>9636</v>
      </c>
      <c r="AS1275">
        <v>1</v>
      </c>
      <c r="AT1275" t="s">
        <v>414</v>
      </c>
      <c r="AU1275" t="s">
        <v>13106</v>
      </c>
    </row>
    <row r="1276" spans="1:48">
      <c r="A1276" s="1">
        <f>HYPERLINK("https://cms.ls-nyc.org/matter/dynamic-profile/view/1880164","18-1880164")</f>
        <v>0</v>
      </c>
      <c r="B1276" t="s">
        <v>83</v>
      </c>
      <c r="C1276" t="s">
        <v>391</v>
      </c>
      <c r="E1276" t="s">
        <v>1319</v>
      </c>
      <c r="F1276" t="s">
        <v>2093</v>
      </c>
      <c r="G1276" t="s">
        <v>4465</v>
      </c>
      <c r="H1276" t="s">
        <v>5688</v>
      </c>
      <c r="I1276" t="s">
        <v>6043</v>
      </c>
      <c r="J1276">
        <v>11230</v>
      </c>
      <c r="K1276" t="s">
        <v>6074</v>
      </c>
      <c r="L1276" t="s">
        <v>6074</v>
      </c>
      <c r="N1276" t="s">
        <v>7275</v>
      </c>
      <c r="O1276" t="s">
        <v>7309</v>
      </c>
      <c r="Q1276" t="s">
        <v>7322</v>
      </c>
      <c r="R1276" t="s">
        <v>6074</v>
      </c>
      <c r="S1276" t="s">
        <v>7324</v>
      </c>
      <c r="U1276" t="s">
        <v>442</v>
      </c>
      <c r="V1276">
        <v>0</v>
      </c>
      <c r="W1276" t="s">
        <v>7362</v>
      </c>
      <c r="X1276" t="s">
        <v>7376</v>
      </c>
      <c r="Z1276" t="s">
        <v>8400</v>
      </c>
      <c r="AC1276">
        <v>60</v>
      </c>
      <c r="AD1276" t="s">
        <v>12422</v>
      </c>
      <c r="AF1276">
        <v>0</v>
      </c>
      <c r="AG1276">
        <v>2</v>
      </c>
      <c r="AH1276">
        <v>0</v>
      </c>
      <c r="AI1276">
        <v>79.47</v>
      </c>
      <c r="AM1276">
        <v>13080</v>
      </c>
      <c r="AS1276">
        <v>0</v>
      </c>
      <c r="AU1276" t="s">
        <v>83</v>
      </c>
    </row>
    <row r="1277" spans="1:48">
      <c r="A1277" s="1">
        <f>HYPERLINK("https://cms.ls-nyc.org/matter/dynamic-profile/view/1885579","18-1885579")</f>
        <v>0</v>
      </c>
      <c r="B1277" t="s">
        <v>102</v>
      </c>
      <c r="C1277" t="s">
        <v>320</v>
      </c>
      <c r="E1277" t="s">
        <v>698</v>
      </c>
      <c r="F1277" t="s">
        <v>2778</v>
      </c>
      <c r="G1277" t="s">
        <v>3779</v>
      </c>
      <c r="H1277" t="s">
        <v>5689</v>
      </c>
      <c r="I1277" t="s">
        <v>6047</v>
      </c>
      <c r="J1277">
        <v>10460</v>
      </c>
      <c r="K1277" t="s">
        <v>6074</v>
      </c>
      <c r="L1277" t="s">
        <v>6074</v>
      </c>
      <c r="M1277" t="s">
        <v>6182</v>
      </c>
      <c r="N1277" t="s">
        <v>7273</v>
      </c>
      <c r="O1277" t="s">
        <v>7308</v>
      </c>
      <c r="Q1277" t="s">
        <v>7322</v>
      </c>
      <c r="R1277" t="s">
        <v>6074</v>
      </c>
      <c r="S1277" t="s">
        <v>7324</v>
      </c>
      <c r="U1277" t="s">
        <v>457</v>
      </c>
      <c r="V1277">
        <v>1100</v>
      </c>
      <c r="W1277" t="s">
        <v>7363</v>
      </c>
      <c r="X1277" t="s">
        <v>7376</v>
      </c>
      <c r="Z1277" t="s">
        <v>8401</v>
      </c>
      <c r="AB1277" t="s">
        <v>11158</v>
      </c>
      <c r="AC1277">
        <v>169</v>
      </c>
      <c r="AD1277" t="s">
        <v>12422</v>
      </c>
      <c r="AE1277" t="s">
        <v>12440</v>
      </c>
      <c r="AF1277">
        <v>4</v>
      </c>
      <c r="AG1277">
        <v>1</v>
      </c>
      <c r="AH1277">
        <v>0</v>
      </c>
      <c r="AI1277">
        <v>79.47</v>
      </c>
      <c r="AL1277" t="s">
        <v>12460</v>
      </c>
      <c r="AM1277">
        <v>9648</v>
      </c>
      <c r="AS1277">
        <v>0</v>
      </c>
      <c r="AU1277" t="s">
        <v>13095</v>
      </c>
    </row>
    <row r="1278" spans="1:48">
      <c r="A1278" s="1">
        <f>HYPERLINK("https://cms.ls-nyc.org/matter/dynamic-profile/view/1900683","19-1900683")</f>
        <v>0</v>
      </c>
      <c r="B1278" t="s">
        <v>89</v>
      </c>
      <c r="C1278" t="s">
        <v>381</v>
      </c>
      <c r="E1278" t="s">
        <v>1320</v>
      </c>
      <c r="F1278" t="s">
        <v>2779</v>
      </c>
      <c r="G1278" t="s">
        <v>4439</v>
      </c>
      <c r="H1278" t="s">
        <v>5507</v>
      </c>
      <c r="I1278" t="s">
        <v>6043</v>
      </c>
      <c r="J1278">
        <v>11213</v>
      </c>
      <c r="K1278" t="s">
        <v>6074</v>
      </c>
      <c r="L1278" t="s">
        <v>6075</v>
      </c>
      <c r="M1278" t="s">
        <v>6110</v>
      </c>
      <c r="N1278" t="s">
        <v>6104</v>
      </c>
      <c r="O1278" t="s">
        <v>7309</v>
      </c>
      <c r="Q1278" t="s">
        <v>7322</v>
      </c>
      <c r="R1278" t="s">
        <v>6074</v>
      </c>
      <c r="S1278" t="s">
        <v>7324</v>
      </c>
      <c r="T1278" t="s">
        <v>7336</v>
      </c>
      <c r="U1278" t="s">
        <v>263</v>
      </c>
      <c r="V1278">
        <v>606</v>
      </c>
      <c r="W1278" t="s">
        <v>7362</v>
      </c>
      <c r="X1278" t="s">
        <v>7376</v>
      </c>
      <c r="Z1278" t="s">
        <v>8402</v>
      </c>
      <c r="AC1278">
        <v>35</v>
      </c>
      <c r="AD1278" t="s">
        <v>12422</v>
      </c>
      <c r="AE1278" t="s">
        <v>6110</v>
      </c>
      <c r="AF1278">
        <v>5</v>
      </c>
      <c r="AG1278">
        <v>2</v>
      </c>
      <c r="AH1278">
        <v>3</v>
      </c>
      <c r="AI1278">
        <v>79.55</v>
      </c>
      <c r="AL1278" t="s">
        <v>12460</v>
      </c>
      <c r="AM1278">
        <v>24000</v>
      </c>
      <c r="AN1278" t="s">
        <v>12608</v>
      </c>
      <c r="AS1278">
        <v>0</v>
      </c>
      <c r="AU1278" t="s">
        <v>218</v>
      </c>
      <c r="AV1278" t="s">
        <v>13145</v>
      </c>
    </row>
    <row r="1279" spans="1:48">
      <c r="A1279" s="1">
        <f>HYPERLINK("https://cms.ls-nyc.org/matter/dynamic-profile/view/1891154","19-1891154")</f>
        <v>0</v>
      </c>
      <c r="B1279" t="s">
        <v>109</v>
      </c>
      <c r="C1279" t="s">
        <v>371</v>
      </c>
      <c r="E1279" t="s">
        <v>1321</v>
      </c>
      <c r="F1279" t="s">
        <v>2780</v>
      </c>
      <c r="G1279" t="s">
        <v>4466</v>
      </c>
      <c r="H1279" t="s">
        <v>5455</v>
      </c>
      <c r="I1279" t="s">
        <v>6047</v>
      </c>
      <c r="J1279">
        <v>10461</v>
      </c>
      <c r="K1279" t="s">
        <v>6074</v>
      </c>
      <c r="L1279" t="s">
        <v>6074</v>
      </c>
      <c r="N1279" t="s">
        <v>7279</v>
      </c>
      <c r="O1279" t="s">
        <v>7307</v>
      </c>
      <c r="Q1279" t="s">
        <v>7322</v>
      </c>
      <c r="R1279" t="s">
        <v>6074</v>
      </c>
      <c r="S1279" t="s">
        <v>7324</v>
      </c>
      <c r="U1279" t="s">
        <v>257</v>
      </c>
      <c r="V1279">
        <v>800</v>
      </c>
      <c r="W1279" t="s">
        <v>7363</v>
      </c>
      <c r="X1279" t="s">
        <v>7376</v>
      </c>
      <c r="Z1279" t="s">
        <v>8403</v>
      </c>
      <c r="AA1279" t="s">
        <v>10129</v>
      </c>
      <c r="AB1279" t="s">
        <v>11159</v>
      </c>
      <c r="AC1279">
        <v>125</v>
      </c>
      <c r="AD1279" t="s">
        <v>6322</v>
      </c>
      <c r="AE1279" t="s">
        <v>6110</v>
      </c>
      <c r="AF1279">
        <v>14</v>
      </c>
      <c r="AG1279">
        <v>1</v>
      </c>
      <c r="AH1279">
        <v>0</v>
      </c>
      <c r="AI1279">
        <v>79.55</v>
      </c>
      <c r="AL1279" t="s">
        <v>12460</v>
      </c>
      <c r="AM1279">
        <v>9936</v>
      </c>
      <c r="AS1279">
        <v>0</v>
      </c>
      <c r="AU1279" t="s">
        <v>13092</v>
      </c>
    </row>
    <row r="1280" spans="1:48">
      <c r="A1280" s="1">
        <f>HYPERLINK("https://cms.ls-nyc.org/matter/dynamic-profile/view/1900993","19-1900993")</f>
        <v>0</v>
      </c>
      <c r="B1280" t="s">
        <v>133</v>
      </c>
      <c r="C1280" t="s">
        <v>382</v>
      </c>
      <c r="E1280" t="s">
        <v>1294</v>
      </c>
      <c r="F1280" t="s">
        <v>2752</v>
      </c>
      <c r="G1280" t="s">
        <v>4437</v>
      </c>
      <c r="H1280">
        <v>6</v>
      </c>
      <c r="I1280" t="s">
        <v>6049</v>
      </c>
      <c r="J1280">
        <v>10033</v>
      </c>
      <c r="K1280" t="s">
        <v>6074</v>
      </c>
      <c r="L1280" t="s">
        <v>6075</v>
      </c>
      <c r="M1280" t="s">
        <v>6653</v>
      </c>
      <c r="O1280" t="s">
        <v>7306</v>
      </c>
      <c r="Q1280" t="s">
        <v>7322</v>
      </c>
      <c r="R1280" t="s">
        <v>6076</v>
      </c>
      <c r="S1280" t="s">
        <v>7324</v>
      </c>
      <c r="U1280" t="s">
        <v>382</v>
      </c>
      <c r="V1280">
        <v>163</v>
      </c>
      <c r="W1280" t="s">
        <v>7365</v>
      </c>
      <c r="X1280" t="s">
        <v>7367</v>
      </c>
      <c r="Z1280" t="s">
        <v>8361</v>
      </c>
      <c r="AB1280" t="s">
        <v>11125</v>
      </c>
      <c r="AC1280">
        <v>36</v>
      </c>
      <c r="AD1280" t="s">
        <v>12422</v>
      </c>
      <c r="AE1280" t="s">
        <v>6110</v>
      </c>
      <c r="AF1280">
        <v>22</v>
      </c>
      <c r="AG1280">
        <v>1</v>
      </c>
      <c r="AH1280">
        <v>0</v>
      </c>
      <c r="AI1280">
        <v>79.55</v>
      </c>
      <c r="AL1280" t="s">
        <v>12461</v>
      </c>
      <c r="AM1280">
        <v>9936</v>
      </c>
      <c r="AS1280">
        <v>1.1</v>
      </c>
      <c r="AT1280" t="s">
        <v>324</v>
      </c>
      <c r="AU1280" t="s">
        <v>13106</v>
      </c>
      <c r="AV1280" t="s">
        <v>13145</v>
      </c>
    </row>
    <row r="1281" spans="1:48">
      <c r="A1281" s="1">
        <f>HYPERLINK("https://cms.ls-nyc.org/matter/dynamic-profile/view/1875929","18-1875929")</f>
        <v>0</v>
      </c>
      <c r="B1281" t="s">
        <v>97</v>
      </c>
      <c r="C1281" t="s">
        <v>301</v>
      </c>
      <c r="D1281" t="s">
        <v>389</v>
      </c>
      <c r="E1281" t="s">
        <v>1322</v>
      </c>
      <c r="F1281" t="s">
        <v>2059</v>
      </c>
      <c r="G1281" t="s">
        <v>4467</v>
      </c>
      <c r="H1281" t="s">
        <v>5372</v>
      </c>
      <c r="I1281" t="s">
        <v>6047</v>
      </c>
      <c r="J1281">
        <v>10469</v>
      </c>
      <c r="K1281" t="s">
        <v>6074</v>
      </c>
      <c r="L1281" t="s">
        <v>6074</v>
      </c>
      <c r="N1281" t="s">
        <v>6104</v>
      </c>
      <c r="O1281" t="s">
        <v>7306</v>
      </c>
      <c r="P1281" t="s">
        <v>7314</v>
      </c>
      <c r="Q1281" t="s">
        <v>7322</v>
      </c>
      <c r="R1281" t="s">
        <v>6076</v>
      </c>
      <c r="S1281" t="s">
        <v>7324</v>
      </c>
      <c r="U1281" t="s">
        <v>464</v>
      </c>
      <c r="V1281">
        <v>1500</v>
      </c>
      <c r="W1281" t="s">
        <v>7363</v>
      </c>
      <c r="X1281" t="s">
        <v>7367</v>
      </c>
      <c r="Y1281" t="s">
        <v>7386</v>
      </c>
      <c r="Z1281" t="s">
        <v>8404</v>
      </c>
      <c r="AB1281" t="s">
        <v>11160</v>
      </c>
      <c r="AC1281">
        <v>3</v>
      </c>
      <c r="AD1281" t="s">
        <v>12419</v>
      </c>
      <c r="AE1281" t="s">
        <v>6110</v>
      </c>
      <c r="AF1281">
        <v>2</v>
      </c>
      <c r="AG1281">
        <v>1</v>
      </c>
      <c r="AH1281">
        <v>0</v>
      </c>
      <c r="AI1281">
        <v>79.56999999999999</v>
      </c>
      <c r="AL1281" t="s">
        <v>12461</v>
      </c>
      <c r="AM1281">
        <v>9660</v>
      </c>
      <c r="AS1281">
        <v>3.2</v>
      </c>
      <c r="AT1281" t="s">
        <v>389</v>
      </c>
      <c r="AU1281" t="s">
        <v>97</v>
      </c>
    </row>
    <row r="1282" spans="1:48">
      <c r="A1282" s="1">
        <f>HYPERLINK("https://cms.ls-nyc.org/matter/dynamic-profile/view/1885944","18-1885944")</f>
        <v>0</v>
      </c>
      <c r="B1282" t="s">
        <v>102</v>
      </c>
      <c r="C1282" t="s">
        <v>341</v>
      </c>
      <c r="E1282" t="s">
        <v>828</v>
      </c>
      <c r="F1282" t="s">
        <v>2781</v>
      </c>
      <c r="G1282" t="s">
        <v>3779</v>
      </c>
      <c r="H1282" t="s">
        <v>5690</v>
      </c>
      <c r="I1282" t="s">
        <v>6047</v>
      </c>
      <c r="J1282">
        <v>10460</v>
      </c>
      <c r="K1282" t="s">
        <v>6074</v>
      </c>
      <c r="L1282" t="s">
        <v>6074</v>
      </c>
      <c r="M1282" t="s">
        <v>6182</v>
      </c>
      <c r="N1282" t="s">
        <v>7273</v>
      </c>
      <c r="O1282" t="s">
        <v>7308</v>
      </c>
      <c r="Q1282" t="s">
        <v>7322</v>
      </c>
      <c r="R1282" t="s">
        <v>6074</v>
      </c>
      <c r="S1282" t="s">
        <v>7324</v>
      </c>
      <c r="U1282" t="s">
        <v>457</v>
      </c>
      <c r="V1282">
        <v>263</v>
      </c>
      <c r="W1282" t="s">
        <v>7363</v>
      </c>
      <c r="X1282" t="s">
        <v>7376</v>
      </c>
      <c r="Z1282" t="s">
        <v>8405</v>
      </c>
      <c r="AB1282" t="s">
        <v>11161</v>
      </c>
      <c r="AC1282">
        <v>169</v>
      </c>
      <c r="AD1282" t="s">
        <v>12420</v>
      </c>
      <c r="AE1282" t="s">
        <v>12434</v>
      </c>
      <c r="AF1282">
        <v>44</v>
      </c>
      <c r="AG1282">
        <v>1</v>
      </c>
      <c r="AH1282">
        <v>0</v>
      </c>
      <c r="AI1282">
        <v>79.56999999999999</v>
      </c>
      <c r="AL1282" t="s">
        <v>12460</v>
      </c>
      <c r="AM1282">
        <v>9660</v>
      </c>
      <c r="AS1282">
        <v>0</v>
      </c>
      <c r="AU1282" t="s">
        <v>13113</v>
      </c>
    </row>
    <row r="1283" spans="1:48">
      <c r="A1283" s="1">
        <f>HYPERLINK("https://cms.ls-nyc.org/matter/dynamic-profile/view/1855553","18-1855553")</f>
        <v>0</v>
      </c>
      <c r="B1283" t="s">
        <v>185</v>
      </c>
      <c r="C1283" t="s">
        <v>493</v>
      </c>
      <c r="D1283" t="s">
        <v>345</v>
      </c>
      <c r="E1283" t="s">
        <v>1314</v>
      </c>
      <c r="F1283" t="s">
        <v>2775</v>
      </c>
      <c r="G1283" t="s">
        <v>4460</v>
      </c>
      <c r="H1283" t="s">
        <v>5691</v>
      </c>
      <c r="I1283" t="s">
        <v>6049</v>
      </c>
      <c r="J1283">
        <v>10029</v>
      </c>
      <c r="K1283" t="s">
        <v>6074</v>
      </c>
      <c r="L1283" t="s">
        <v>6074</v>
      </c>
      <c r="M1283" t="s">
        <v>6654</v>
      </c>
      <c r="N1283" t="s">
        <v>7276</v>
      </c>
      <c r="O1283" t="s">
        <v>7308</v>
      </c>
      <c r="P1283" t="s">
        <v>7316</v>
      </c>
      <c r="Q1283" t="s">
        <v>7322</v>
      </c>
      <c r="R1283" t="s">
        <v>6076</v>
      </c>
      <c r="S1283" t="s">
        <v>7324</v>
      </c>
      <c r="T1283" t="s">
        <v>7336</v>
      </c>
      <c r="U1283" t="s">
        <v>377</v>
      </c>
      <c r="V1283">
        <v>1146</v>
      </c>
      <c r="W1283" t="s">
        <v>7365</v>
      </c>
      <c r="X1283" t="s">
        <v>7305</v>
      </c>
      <c r="Y1283" t="s">
        <v>7388</v>
      </c>
      <c r="Z1283" t="s">
        <v>8394</v>
      </c>
      <c r="AB1283" t="s">
        <v>9856</v>
      </c>
      <c r="AC1283">
        <v>400</v>
      </c>
      <c r="AD1283" t="s">
        <v>12423</v>
      </c>
      <c r="AE1283" t="s">
        <v>12441</v>
      </c>
      <c r="AF1283">
        <v>41</v>
      </c>
      <c r="AG1283">
        <v>1</v>
      </c>
      <c r="AH1283">
        <v>0</v>
      </c>
      <c r="AI1283">
        <v>79.59999999999999</v>
      </c>
      <c r="AL1283" t="s">
        <v>12460</v>
      </c>
      <c r="AM1283">
        <v>9600</v>
      </c>
      <c r="AN1283" t="s">
        <v>12609</v>
      </c>
      <c r="AS1283">
        <v>30.7</v>
      </c>
      <c r="AT1283" t="s">
        <v>526</v>
      </c>
      <c r="AU1283" t="s">
        <v>13088</v>
      </c>
    </row>
    <row r="1284" spans="1:48">
      <c r="A1284" s="1">
        <f>HYPERLINK("https://cms.ls-nyc.org/matter/dynamic-profile/view/1879512","18-1879512")</f>
        <v>0</v>
      </c>
      <c r="B1284" t="s">
        <v>52</v>
      </c>
      <c r="C1284" t="s">
        <v>239</v>
      </c>
      <c r="D1284" t="s">
        <v>333</v>
      </c>
      <c r="E1284" t="s">
        <v>1323</v>
      </c>
      <c r="F1284" t="s">
        <v>2782</v>
      </c>
      <c r="G1284" t="s">
        <v>4468</v>
      </c>
      <c r="H1284" t="s">
        <v>5692</v>
      </c>
      <c r="I1284" t="s">
        <v>6025</v>
      </c>
      <c r="J1284">
        <v>11691</v>
      </c>
      <c r="K1284" t="s">
        <v>6074</v>
      </c>
      <c r="L1284" t="s">
        <v>6074</v>
      </c>
      <c r="M1284" t="s">
        <v>6655</v>
      </c>
      <c r="N1284" t="s">
        <v>7276</v>
      </c>
      <c r="O1284" t="s">
        <v>7306</v>
      </c>
      <c r="P1284" t="s">
        <v>7314</v>
      </c>
      <c r="Q1284" t="s">
        <v>7322</v>
      </c>
      <c r="R1284" t="s">
        <v>6076</v>
      </c>
      <c r="S1284" t="s">
        <v>7324</v>
      </c>
      <c r="T1284" t="s">
        <v>7340</v>
      </c>
      <c r="U1284" t="s">
        <v>239</v>
      </c>
      <c r="V1284">
        <v>1146</v>
      </c>
      <c r="W1284" t="s">
        <v>7361</v>
      </c>
      <c r="X1284" t="s">
        <v>7366</v>
      </c>
      <c r="Y1284" t="s">
        <v>7386</v>
      </c>
      <c r="Z1284" t="s">
        <v>8406</v>
      </c>
      <c r="AA1284" t="s">
        <v>10130</v>
      </c>
      <c r="AB1284" t="s">
        <v>11162</v>
      </c>
      <c r="AC1284">
        <v>324</v>
      </c>
      <c r="AD1284" t="s">
        <v>12422</v>
      </c>
      <c r="AE1284" t="s">
        <v>6110</v>
      </c>
      <c r="AF1284">
        <v>6</v>
      </c>
      <c r="AG1284">
        <v>1</v>
      </c>
      <c r="AH1284">
        <v>3</v>
      </c>
      <c r="AI1284">
        <v>79.68000000000001</v>
      </c>
      <c r="AL1284" t="s">
        <v>12460</v>
      </c>
      <c r="AM1284">
        <v>20000</v>
      </c>
      <c r="AS1284">
        <v>1.1</v>
      </c>
      <c r="AT1284" t="s">
        <v>256</v>
      </c>
      <c r="AU1284" t="s">
        <v>51</v>
      </c>
    </row>
    <row r="1285" spans="1:48">
      <c r="A1285" s="1">
        <f>HYPERLINK("https://cms.ls-nyc.org/matter/dynamic-profile/view/1878750","18-1878750")</f>
        <v>0</v>
      </c>
      <c r="B1285" t="s">
        <v>54</v>
      </c>
      <c r="C1285" t="s">
        <v>282</v>
      </c>
      <c r="D1285" t="s">
        <v>282</v>
      </c>
      <c r="E1285" t="s">
        <v>585</v>
      </c>
      <c r="F1285" t="s">
        <v>2783</v>
      </c>
      <c r="G1285" t="s">
        <v>4469</v>
      </c>
      <c r="H1285" t="s">
        <v>5693</v>
      </c>
      <c r="I1285" t="s">
        <v>6026</v>
      </c>
      <c r="J1285">
        <v>11436</v>
      </c>
      <c r="K1285" t="s">
        <v>6074</v>
      </c>
      <c r="L1285" t="s">
        <v>6074</v>
      </c>
      <c r="M1285" t="s">
        <v>6656</v>
      </c>
      <c r="N1285" t="s">
        <v>7274</v>
      </c>
      <c r="O1285" t="s">
        <v>7306</v>
      </c>
      <c r="P1285" t="s">
        <v>7314</v>
      </c>
      <c r="Q1285" t="s">
        <v>7322</v>
      </c>
      <c r="R1285" t="s">
        <v>6076</v>
      </c>
      <c r="S1285" t="s">
        <v>7324</v>
      </c>
      <c r="T1285" t="s">
        <v>7336</v>
      </c>
      <c r="U1285" t="s">
        <v>282</v>
      </c>
      <c r="V1285">
        <v>2400</v>
      </c>
      <c r="W1285" t="s">
        <v>7361</v>
      </c>
      <c r="X1285" t="s">
        <v>7366</v>
      </c>
      <c r="Y1285" t="s">
        <v>7386</v>
      </c>
      <c r="Z1285" t="s">
        <v>8407</v>
      </c>
      <c r="AA1285" t="s">
        <v>10131</v>
      </c>
      <c r="AB1285" t="s">
        <v>11163</v>
      </c>
      <c r="AC1285">
        <v>1</v>
      </c>
      <c r="AD1285" t="s">
        <v>12419</v>
      </c>
      <c r="AE1285" t="s">
        <v>6110</v>
      </c>
      <c r="AF1285">
        <v>3</v>
      </c>
      <c r="AG1285">
        <v>3</v>
      </c>
      <c r="AH1285">
        <v>1</v>
      </c>
      <c r="AI1285">
        <v>79.68000000000001</v>
      </c>
      <c r="AL1285" t="s">
        <v>12460</v>
      </c>
      <c r="AM1285">
        <v>20000</v>
      </c>
      <c r="AS1285">
        <v>1.05</v>
      </c>
      <c r="AT1285" t="s">
        <v>282</v>
      </c>
      <c r="AU1285" t="s">
        <v>51</v>
      </c>
    </row>
    <row r="1286" spans="1:48">
      <c r="A1286" s="1">
        <f>HYPERLINK("https://cms.ls-nyc.org/matter/dynamic-profile/view/1879255","18-1879255")</f>
        <v>0</v>
      </c>
      <c r="B1286" t="s">
        <v>89</v>
      </c>
      <c r="C1286" t="s">
        <v>355</v>
      </c>
      <c r="E1286" t="s">
        <v>1296</v>
      </c>
      <c r="F1286" t="s">
        <v>2755</v>
      </c>
      <c r="G1286" t="s">
        <v>4439</v>
      </c>
      <c r="H1286" t="s">
        <v>5439</v>
      </c>
      <c r="I1286" t="s">
        <v>6043</v>
      </c>
      <c r="J1286">
        <v>11213</v>
      </c>
      <c r="K1286" t="s">
        <v>6074</v>
      </c>
      <c r="L1286" t="s">
        <v>6074</v>
      </c>
      <c r="M1286" t="s">
        <v>6657</v>
      </c>
      <c r="N1286" t="s">
        <v>7273</v>
      </c>
      <c r="O1286" t="s">
        <v>7308</v>
      </c>
      <c r="Q1286" t="s">
        <v>7322</v>
      </c>
      <c r="R1286" t="s">
        <v>6074</v>
      </c>
      <c r="S1286" t="s">
        <v>7324</v>
      </c>
      <c r="U1286" t="s">
        <v>273</v>
      </c>
      <c r="V1286">
        <v>1200</v>
      </c>
      <c r="W1286" t="s">
        <v>7362</v>
      </c>
      <c r="Z1286" t="s">
        <v>8365</v>
      </c>
      <c r="AB1286" t="s">
        <v>11126</v>
      </c>
      <c r="AC1286">
        <v>35</v>
      </c>
      <c r="AD1286" t="s">
        <v>12422</v>
      </c>
      <c r="AF1286">
        <v>10</v>
      </c>
      <c r="AG1286">
        <v>3</v>
      </c>
      <c r="AH1286">
        <v>1</v>
      </c>
      <c r="AI1286">
        <v>79.68000000000001</v>
      </c>
      <c r="AL1286" t="s">
        <v>12460</v>
      </c>
      <c r="AM1286">
        <v>20000</v>
      </c>
      <c r="AS1286">
        <v>0.1</v>
      </c>
      <c r="AT1286" t="s">
        <v>260</v>
      </c>
      <c r="AU1286" t="s">
        <v>218</v>
      </c>
      <c r="AV1286" t="s">
        <v>13145</v>
      </c>
    </row>
    <row r="1287" spans="1:48">
      <c r="A1287" s="1">
        <f>HYPERLINK("https://cms.ls-nyc.org/matter/dynamic-profile/view/1883419","18-1883419")</f>
        <v>0</v>
      </c>
      <c r="B1287" t="s">
        <v>109</v>
      </c>
      <c r="C1287" t="s">
        <v>411</v>
      </c>
      <c r="E1287" t="s">
        <v>1297</v>
      </c>
      <c r="F1287" t="s">
        <v>2756</v>
      </c>
      <c r="G1287" t="s">
        <v>3927</v>
      </c>
      <c r="H1287" t="s">
        <v>5354</v>
      </c>
      <c r="I1287" t="s">
        <v>6047</v>
      </c>
      <c r="J1287">
        <v>10452</v>
      </c>
      <c r="K1287" t="s">
        <v>6074</v>
      </c>
      <c r="L1287" t="s">
        <v>6074</v>
      </c>
      <c r="M1287" t="s">
        <v>6658</v>
      </c>
      <c r="N1287" t="s">
        <v>7273</v>
      </c>
      <c r="O1287" t="s">
        <v>7308</v>
      </c>
      <c r="Q1287" t="s">
        <v>7322</v>
      </c>
      <c r="R1287" t="s">
        <v>6074</v>
      </c>
      <c r="S1287" t="s">
        <v>7324</v>
      </c>
      <c r="U1287" t="s">
        <v>472</v>
      </c>
      <c r="V1287">
        <v>1500</v>
      </c>
      <c r="W1287" t="s">
        <v>7363</v>
      </c>
      <c r="X1287" t="s">
        <v>7375</v>
      </c>
      <c r="Z1287" t="s">
        <v>8366</v>
      </c>
      <c r="AB1287" t="s">
        <v>11127</v>
      </c>
      <c r="AC1287">
        <v>41</v>
      </c>
      <c r="AD1287" t="s">
        <v>12419</v>
      </c>
      <c r="AE1287" t="s">
        <v>6110</v>
      </c>
      <c r="AF1287">
        <v>4</v>
      </c>
      <c r="AG1287">
        <v>2</v>
      </c>
      <c r="AH1287">
        <v>2</v>
      </c>
      <c r="AI1287">
        <v>79.68000000000001</v>
      </c>
      <c r="AL1287" t="s">
        <v>12461</v>
      </c>
      <c r="AM1287">
        <v>20000</v>
      </c>
      <c r="AS1287">
        <v>0</v>
      </c>
      <c r="AU1287" t="s">
        <v>13092</v>
      </c>
    </row>
    <row r="1288" spans="1:48">
      <c r="A1288" s="1">
        <f>HYPERLINK("https://cms.ls-nyc.org/matter/dynamic-profile/view/1892361","19-1892361")</f>
        <v>0</v>
      </c>
      <c r="B1288" t="s">
        <v>54</v>
      </c>
      <c r="C1288" t="s">
        <v>337</v>
      </c>
      <c r="D1288" t="s">
        <v>277</v>
      </c>
      <c r="E1288" t="s">
        <v>1088</v>
      </c>
      <c r="F1288" t="s">
        <v>2784</v>
      </c>
      <c r="I1288" t="s">
        <v>6044</v>
      </c>
      <c r="J1288">
        <v>11103</v>
      </c>
      <c r="K1288" t="s">
        <v>6074</v>
      </c>
      <c r="L1288" t="s">
        <v>6074</v>
      </c>
      <c r="M1288" t="s">
        <v>6101</v>
      </c>
      <c r="N1288" t="s">
        <v>6104</v>
      </c>
      <c r="O1288" t="s">
        <v>7306</v>
      </c>
      <c r="P1288" t="s">
        <v>7314</v>
      </c>
      <c r="Q1288" t="s">
        <v>7322</v>
      </c>
      <c r="R1288" t="s">
        <v>6076</v>
      </c>
      <c r="S1288" t="s">
        <v>7324</v>
      </c>
      <c r="U1288" t="s">
        <v>277</v>
      </c>
      <c r="V1288">
        <v>0</v>
      </c>
      <c r="W1288" t="s">
        <v>7361</v>
      </c>
      <c r="Y1288" t="s">
        <v>7386</v>
      </c>
      <c r="Z1288" t="s">
        <v>8408</v>
      </c>
      <c r="AC1288">
        <v>0</v>
      </c>
      <c r="AF1288">
        <v>0</v>
      </c>
      <c r="AG1288">
        <v>3</v>
      </c>
      <c r="AH1288">
        <v>0</v>
      </c>
      <c r="AI1288">
        <v>79.7</v>
      </c>
      <c r="AM1288">
        <v>17000</v>
      </c>
      <c r="AS1288">
        <v>0.05</v>
      </c>
      <c r="AT1288" t="s">
        <v>277</v>
      </c>
      <c r="AU1288" t="s">
        <v>54</v>
      </c>
    </row>
    <row r="1289" spans="1:48">
      <c r="A1289" s="1">
        <f>HYPERLINK("https://cms.ls-nyc.org/matter/dynamic-profile/view/1888148","19-1888148")</f>
        <v>0</v>
      </c>
      <c r="B1289" t="s">
        <v>125</v>
      </c>
      <c r="C1289" t="s">
        <v>370</v>
      </c>
      <c r="E1289" t="s">
        <v>1324</v>
      </c>
      <c r="F1289" t="s">
        <v>2059</v>
      </c>
      <c r="G1289" t="s">
        <v>4174</v>
      </c>
      <c r="H1289" t="s">
        <v>5455</v>
      </c>
      <c r="I1289" t="s">
        <v>6049</v>
      </c>
      <c r="J1289">
        <v>10032</v>
      </c>
      <c r="K1289" t="s">
        <v>6074</v>
      </c>
      <c r="L1289" t="s">
        <v>6074</v>
      </c>
      <c r="O1289" t="s">
        <v>7308</v>
      </c>
      <c r="Q1289" t="s">
        <v>7322</v>
      </c>
      <c r="R1289" t="s">
        <v>6074</v>
      </c>
      <c r="S1289" t="s">
        <v>7324</v>
      </c>
      <c r="U1289" t="s">
        <v>370</v>
      </c>
      <c r="V1289">
        <v>510.85</v>
      </c>
      <c r="W1289" t="s">
        <v>7365</v>
      </c>
      <c r="X1289" t="s">
        <v>7367</v>
      </c>
      <c r="Z1289" t="s">
        <v>8409</v>
      </c>
      <c r="AB1289" t="s">
        <v>11164</v>
      </c>
      <c r="AC1289">
        <v>42</v>
      </c>
      <c r="AD1289" t="s">
        <v>12422</v>
      </c>
      <c r="AE1289" t="s">
        <v>12441</v>
      </c>
      <c r="AF1289">
        <v>32</v>
      </c>
      <c r="AG1289">
        <v>1</v>
      </c>
      <c r="AH1289">
        <v>0</v>
      </c>
      <c r="AI1289">
        <v>79.87</v>
      </c>
      <c r="AL1289" t="s">
        <v>12461</v>
      </c>
      <c r="AM1289">
        <v>9696</v>
      </c>
      <c r="AS1289">
        <v>0</v>
      </c>
      <c r="AU1289" t="s">
        <v>13106</v>
      </c>
    </row>
    <row r="1290" spans="1:48">
      <c r="A1290" s="1">
        <f>HYPERLINK("https://cms.ls-nyc.org/matter/dynamic-profile/view/1883112","18-1883112")</f>
        <v>0</v>
      </c>
      <c r="B1290" t="s">
        <v>70</v>
      </c>
      <c r="C1290" t="s">
        <v>331</v>
      </c>
      <c r="D1290" t="s">
        <v>339</v>
      </c>
      <c r="E1290" t="s">
        <v>1224</v>
      </c>
      <c r="F1290" t="s">
        <v>2785</v>
      </c>
      <c r="G1290" t="s">
        <v>3698</v>
      </c>
      <c r="H1290">
        <v>2</v>
      </c>
      <c r="I1290" t="s">
        <v>6043</v>
      </c>
      <c r="J1290">
        <v>11238</v>
      </c>
      <c r="K1290" t="s">
        <v>6074</v>
      </c>
      <c r="L1290" t="s">
        <v>6074</v>
      </c>
      <c r="M1290" t="s">
        <v>6659</v>
      </c>
      <c r="N1290" t="s">
        <v>7276</v>
      </c>
      <c r="O1290" t="s">
        <v>7308</v>
      </c>
      <c r="P1290" t="s">
        <v>7316</v>
      </c>
      <c r="Q1290" t="s">
        <v>7322</v>
      </c>
      <c r="R1290" t="s">
        <v>6076</v>
      </c>
      <c r="S1290" t="s">
        <v>7324</v>
      </c>
      <c r="T1290" t="s">
        <v>7336</v>
      </c>
      <c r="U1290" t="s">
        <v>412</v>
      </c>
      <c r="V1290">
        <v>909.72</v>
      </c>
      <c r="W1290" t="s">
        <v>7362</v>
      </c>
      <c r="X1290" t="s">
        <v>7368</v>
      </c>
      <c r="Y1290" t="s">
        <v>7388</v>
      </c>
      <c r="Z1290" t="s">
        <v>8410</v>
      </c>
      <c r="AB1290" t="s">
        <v>11165</v>
      </c>
      <c r="AC1290">
        <v>41</v>
      </c>
      <c r="AD1290" t="s">
        <v>12422</v>
      </c>
      <c r="AE1290" t="s">
        <v>6110</v>
      </c>
      <c r="AF1290">
        <v>4</v>
      </c>
      <c r="AG1290">
        <v>2</v>
      </c>
      <c r="AH1290">
        <v>0</v>
      </c>
      <c r="AI1290">
        <v>80.05</v>
      </c>
      <c r="AL1290" t="s">
        <v>12460</v>
      </c>
      <c r="AM1290">
        <v>13176</v>
      </c>
      <c r="AO1290" t="s">
        <v>12846</v>
      </c>
      <c r="AP1290" t="s">
        <v>12863</v>
      </c>
      <c r="AQ1290" t="s">
        <v>12909</v>
      </c>
      <c r="AR1290" t="s">
        <v>12997</v>
      </c>
      <c r="AS1290">
        <v>12.2</v>
      </c>
      <c r="AT1290" t="s">
        <v>339</v>
      </c>
      <c r="AU1290" t="s">
        <v>13082</v>
      </c>
    </row>
    <row r="1291" spans="1:48">
      <c r="A1291" s="1">
        <f>HYPERLINK("https://cms.ls-nyc.org/matter/dynamic-profile/view/1897637","19-1897637")</f>
        <v>0</v>
      </c>
      <c r="B1291" t="s">
        <v>90</v>
      </c>
      <c r="C1291" t="s">
        <v>424</v>
      </c>
      <c r="E1291" t="s">
        <v>1325</v>
      </c>
      <c r="F1291" t="s">
        <v>2786</v>
      </c>
      <c r="G1291" t="s">
        <v>4470</v>
      </c>
      <c r="H1291" t="s">
        <v>5376</v>
      </c>
      <c r="I1291" t="s">
        <v>6043</v>
      </c>
      <c r="J1291">
        <v>11233</v>
      </c>
      <c r="K1291" t="s">
        <v>6074</v>
      </c>
      <c r="L1291" t="s">
        <v>6074</v>
      </c>
      <c r="N1291" t="s">
        <v>7279</v>
      </c>
      <c r="O1291" t="s">
        <v>7311</v>
      </c>
      <c r="Q1291" t="s">
        <v>7322</v>
      </c>
      <c r="S1291" t="s">
        <v>7324</v>
      </c>
      <c r="U1291" t="s">
        <v>424</v>
      </c>
      <c r="V1291">
        <v>606</v>
      </c>
      <c r="W1291" t="s">
        <v>7362</v>
      </c>
      <c r="Z1291" t="s">
        <v>8411</v>
      </c>
      <c r="AB1291" t="s">
        <v>11166</v>
      </c>
      <c r="AC1291">
        <v>6</v>
      </c>
      <c r="AD1291" t="s">
        <v>12422</v>
      </c>
      <c r="AE1291" t="s">
        <v>6110</v>
      </c>
      <c r="AF1291">
        <v>40</v>
      </c>
      <c r="AG1291">
        <v>1</v>
      </c>
      <c r="AH1291">
        <v>0</v>
      </c>
      <c r="AI1291">
        <v>80.06</v>
      </c>
      <c r="AL1291" t="s">
        <v>12460</v>
      </c>
      <c r="AM1291">
        <v>10000</v>
      </c>
      <c r="AS1291">
        <v>0.2</v>
      </c>
      <c r="AT1291" t="s">
        <v>424</v>
      </c>
      <c r="AU1291" t="s">
        <v>90</v>
      </c>
    </row>
    <row r="1292" spans="1:48">
      <c r="A1292" s="1">
        <f>HYPERLINK("https://cms.ls-nyc.org/matter/dynamic-profile/view/1897435","19-1897435")</f>
        <v>0</v>
      </c>
      <c r="B1292" t="s">
        <v>90</v>
      </c>
      <c r="C1292" t="s">
        <v>280</v>
      </c>
      <c r="E1292" t="s">
        <v>1325</v>
      </c>
      <c r="F1292" t="s">
        <v>2786</v>
      </c>
      <c r="G1292" t="s">
        <v>4470</v>
      </c>
      <c r="H1292" t="s">
        <v>5376</v>
      </c>
      <c r="I1292" t="s">
        <v>6043</v>
      </c>
      <c r="J1292">
        <v>11233</v>
      </c>
      <c r="K1292" t="s">
        <v>6074</v>
      </c>
      <c r="L1292" t="s">
        <v>6074</v>
      </c>
      <c r="N1292" t="s">
        <v>7273</v>
      </c>
      <c r="O1292" t="s">
        <v>7308</v>
      </c>
      <c r="Q1292" t="s">
        <v>7322</v>
      </c>
      <c r="R1292" t="s">
        <v>6076</v>
      </c>
      <c r="S1292" t="s">
        <v>7324</v>
      </c>
      <c r="T1292" t="s">
        <v>7336</v>
      </c>
      <c r="U1292" t="s">
        <v>347</v>
      </c>
      <c r="V1292">
        <v>0</v>
      </c>
      <c r="W1292" t="s">
        <v>7362</v>
      </c>
      <c r="Z1292" t="s">
        <v>8411</v>
      </c>
      <c r="AB1292" t="s">
        <v>11166</v>
      </c>
      <c r="AC1292">
        <v>6</v>
      </c>
      <c r="AD1292" t="s">
        <v>12422</v>
      </c>
      <c r="AF1292">
        <v>0</v>
      </c>
      <c r="AG1292">
        <v>1</v>
      </c>
      <c r="AH1292">
        <v>0</v>
      </c>
      <c r="AI1292">
        <v>80.06</v>
      </c>
      <c r="AL1292" t="s">
        <v>12460</v>
      </c>
      <c r="AM1292">
        <v>10000</v>
      </c>
      <c r="AN1292" t="s">
        <v>12610</v>
      </c>
      <c r="AS1292">
        <v>0</v>
      </c>
      <c r="AU1292" t="s">
        <v>218</v>
      </c>
    </row>
    <row r="1293" spans="1:48">
      <c r="A1293" s="1">
        <f>HYPERLINK("https://cms.ls-nyc.org/matter/dynamic-profile/view/1897431","19-1897431")</f>
        <v>0</v>
      </c>
      <c r="B1293" t="s">
        <v>90</v>
      </c>
      <c r="C1293" t="s">
        <v>280</v>
      </c>
      <c r="E1293" t="s">
        <v>1325</v>
      </c>
      <c r="F1293" t="s">
        <v>2786</v>
      </c>
      <c r="G1293" t="s">
        <v>4470</v>
      </c>
      <c r="H1293" t="s">
        <v>5376</v>
      </c>
      <c r="I1293" t="s">
        <v>6043</v>
      </c>
      <c r="J1293">
        <v>11233</v>
      </c>
      <c r="K1293" t="s">
        <v>6074</v>
      </c>
      <c r="L1293" t="s">
        <v>6074</v>
      </c>
      <c r="N1293" t="s">
        <v>7275</v>
      </c>
      <c r="O1293" t="s">
        <v>7307</v>
      </c>
      <c r="Q1293" t="s">
        <v>7322</v>
      </c>
      <c r="R1293" t="s">
        <v>6076</v>
      </c>
      <c r="S1293" t="s">
        <v>7324</v>
      </c>
      <c r="T1293" t="s">
        <v>7336</v>
      </c>
      <c r="U1293" t="s">
        <v>347</v>
      </c>
      <c r="V1293">
        <v>0</v>
      </c>
      <c r="W1293" t="s">
        <v>7362</v>
      </c>
      <c r="X1293" t="s">
        <v>7368</v>
      </c>
      <c r="Z1293" t="s">
        <v>8411</v>
      </c>
      <c r="AB1293" t="s">
        <v>11166</v>
      </c>
      <c r="AC1293">
        <v>6</v>
      </c>
      <c r="AD1293" t="s">
        <v>12422</v>
      </c>
      <c r="AF1293">
        <v>0</v>
      </c>
      <c r="AG1293">
        <v>1</v>
      </c>
      <c r="AH1293">
        <v>0</v>
      </c>
      <c r="AI1293">
        <v>80.06</v>
      </c>
      <c r="AL1293" t="s">
        <v>12460</v>
      </c>
      <c r="AM1293">
        <v>10000</v>
      </c>
      <c r="AS1293">
        <v>21.7</v>
      </c>
      <c r="AT1293" t="s">
        <v>324</v>
      </c>
      <c r="AU1293" t="s">
        <v>218</v>
      </c>
    </row>
    <row r="1294" spans="1:48">
      <c r="A1294" s="1">
        <f>HYPERLINK("https://cms.ls-nyc.org/matter/dynamic-profile/view/1897447","19-1897447")</f>
        <v>0</v>
      </c>
      <c r="B1294" t="s">
        <v>90</v>
      </c>
      <c r="C1294" t="s">
        <v>280</v>
      </c>
      <c r="E1294" t="s">
        <v>1325</v>
      </c>
      <c r="F1294" t="s">
        <v>2786</v>
      </c>
      <c r="G1294" t="s">
        <v>4470</v>
      </c>
      <c r="H1294" t="s">
        <v>5376</v>
      </c>
      <c r="I1294" t="s">
        <v>6043</v>
      </c>
      <c r="J1294">
        <v>11233</v>
      </c>
      <c r="K1294" t="s">
        <v>6074</v>
      </c>
      <c r="L1294" t="s">
        <v>6074</v>
      </c>
      <c r="N1294" t="s">
        <v>7283</v>
      </c>
      <c r="O1294" t="s">
        <v>7307</v>
      </c>
      <c r="Q1294" t="s">
        <v>7322</v>
      </c>
      <c r="R1294" t="s">
        <v>6076</v>
      </c>
      <c r="S1294" t="s">
        <v>7324</v>
      </c>
      <c r="T1294" t="s">
        <v>7336</v>
      </c>
      <c r="U1294" t="s">
        <v>347</v>
      </c>
      <c r="V1294">
        <v>0</v>
      </c>
      <c r="W1294" t="s">
        <v>7362</v>
      </c>
      <c r="Z1294" t="s">
        <v>8411</v>
      </c>
      <c r="AB1294" t="s">
        <v>11166</v>
      </c>
      <c r="AC1294">
        <v>6</v>
      </c>
      <c r="AD1294" t="s">
        <v>12422</v>
      </c>
      <c r="AF1294">
        <v>0</v>
      </c>
      <c r="AG1294">
        <v>1</v>
      </c>
      <c r="AH1294">
        <v>0</v>
      </c>
      <c r="AI1294">
        <v>80.06</v>
      </c>
      <c r="AL1294" t="s">
        <v>12460</v>
      </c>
      <c r="AM1294">
        <v>10000</v>
      </c>
      <c r="AN1294" t="s">
        <v>12610</v>
      </c>
      <c r="AS1294">
        <v>0</v>
      </c>
      <c r="AU1294" t="s">
        <v>218</v>
      </c>
    </row>
    <row r="1295" spans="1:48">
      <c r="A1295" s="1">
        <f>HYPERLINK("https://cms.ls-nyc.org/matter/dynamic-profile/view/1889254","19-1889254")</f>
        <v>0</v>
      </c>
      <c r="B1295" t="s">
        <v>75</v>
      </c>
      <c r="C1295" t="s">
        <v>259</v>
      </c>
      <c r="E1295" t="s">
        <v>1326</v>
      </c>
      <c r="F1295" t="s">
        <v>2441</v>
      </c>
      <c r="G1295" t="s">
        <v>3721</v>
      </c>
      <c r="H1295" t="s">
        <v>5467</v>
      </c>
      <c r="I1295" t="s">
        <v>6043</v>
      </c>
      <c r="J1295">
        <v>11226</v>
      </c>
      <c r="K1295" t="s">
        <v>6076</v>
      </c>
      <c r="L1295" t="s">
        <v>6074</v>
      </c>
      <c r="N1295" t="s">
        <v>7279</v>
      </c>
      <c r="O1295" t="s">
        <v>7309</v>
      </c>
      <c r="Q1295" t="s">
        <v>7322</v>
      </c>
      <c r="R1295" t="s">
        <v>6074</v>
      </c>
      <c r="S1295" t="s">
        <v>7324</v>
      </c>
      <c r="U1295" t="s">
        <v>267</v>
      </c>
      <c r="V1295">
        <v>916</v>
      </c>
      <c r="W1295" t="s">
        <v>7362</v>
      </c>
      <c r="Z1295" t="s">
        <v>429</v>
      </c>
      <c r="AC1295">
        <v>0</v>
      </c>
      <c r="AF1295">
        <v>33</v>
      </c>
      <c r="AG1295">
        <v>1</v>
      </c>
      <c r="AH1295">
        <v>0</v>
      </c>
      <c r="AI1295">
        <v>80.06</v>
      </c>
      <c r="AL1295" t="s">
        <v>12460</v>
      </c>
      <c r="AM1295">
        <v>10000</v>
      </c>
      <c r="AS1295">
        <v>0</v>
      </c>
      <c r="AU1295" t="s">
        <v>88</v>
      </c>
    </row>
    <row r="1296" spans="1:48">
      <c r="A1296" s="1">
        <f>HYPERLINK("https://cms.ls-nyc.org/matter/dynamic-profile/view/1889208","19-1889208")</f>
        <v>0</v>
      </c>
      <c r="B1296" t="s">
        <v>70</v>
      </c>
      <c r="C1296" t="s">
        <v>259</v>
      </c>
      <c r="E1296" t="s">
        <v>1326</v>
      </c>
      <c r="F1296" t="s">
        <v>2441</v>
      </c>
      <c r="G1296" t="s">
        <v>3721</v>
      </c>
      <c r="I1296" t="s">
        <v>6043</v>
      </c>
      <c r="J1296">
        <v>11226</v>
      </c>
      <c r="K1296" t="s">
        <v>6076</v>
      </c>
      <c r="L1296" t="s">
        <v>6074</v>
      </c>
      <c r="O1296" t="s">
        <v>7311</v>
      </c>
      <c r="Q1296" t="s">
        <v>7322</v>
      </c>
      <c r="R1296" t="s">
        <v>6074</v>
      </c>
      <c r="S1296" t="s">
        <v>7324</v>
      </c>
      <c r="U1296" t="s">
        <v>429</v>
      </c>
      <c r="V1296">
        <v>916</v>
      </c>
      <c r="W1296" t="s">
        <v>7362</v>
      </c>
      <c r="Z1296" t="s">
        <v>429</v>
      </c>
      <c r="AC1296">
        <v>0</v>
      </c>
      <c r="AF1296">
        <v>33</v>
      </c>
      <c r="AG1296">
        <v>1</v>
      </c>
      <c r="AH1296">
        <v>0</v>
      </c>
      <c r="AI1296">
        <v>80.06</v>
      </c>
      <c r="AL1296" t="s">
        <v>12460</v>
      </c>
      <c r="AM1296">
        <v>10000</v>
      </c>
      <c r="AS1296">
        <v>0</v>
      </c>
      <c r="AU1296" t="s">
        <v>88</v>
      </c>
    </row>
    <row r="1297" spans="1:48">
      <c r="A1297" s="1">
        <f>HYPERLINK("https://cms.ls-nyc.org/matter/dynamic-profile/view/1892068","19-1892068")</f>
        <v>0</v>
      </c>
      <c r="B1297" t="s">
        <v>196</v>
      </c>
      <c r="C1297" t="s">
        <v>405</v>
      </c>
      <c r="D1297" t="s">
        <v>395</v>
      </c>
      <c r="E1297" t="s">
        <v>1061</v>
      </c>
      <c r="F1297" t="s">
        <v>2528</v>
      </c>
      <c r="G1297" t="s">
        <v>4471</v>
      </c>
      <c r="H1297" t="s">
        <v>5389</v>
      </c>
      <c r="I1297" t="s">
        <v>6043</v>
      </c>
      <c r="J1297">
        <v>11208</v>
      </c>
      <c r="K1297" t="s">
        <v>6074</v>
      </c>
      <c r="L1297" t="s">
        <v>6074</v>
      </c>
      <c r="M1297" t="s">
        <v>6660</v>
      </c>
      <c r="N1297" t="s">
        <v>7274</v>
      </c>
      <c r="O1297" t="s">
        <v>7306</v>
      </c>
      <c r="P1297" t="s">
        <v>7314</v>
      </c>
      <c r="Q1297" t="s">
        <v>7322</v>
      </c>
      <c r="R1297" t="s">
        <v>6076</v>
      </c>
      <c r="S1297" t="s">
        <v>7324</v>
      </c>
      <c r="T1297" t="s">
        <v>7336</v>
      </c>
      <c r="U1297" t="s">
        <v>251</v>
      </c>
      <c r="V1297">
        <v>0</v>
      </c>
      <c r="W1297" t="s">
        <v>7362</v>
      </c>
      <c r="X1297" t="s">
        <v>7366</v>
      </c>
      <c r="Y1297" t="s">
        <v>7386</v>
      </c>
      <c r="Z1297" t="s">
        <v>8412</v>
      </c>
      <c r="AB1297" t="s">
        <v>11167</v>
      </c>
      <c r="AC1297">
        <v>3</v>
      </c>
      <c r="AD1297" t="s">
        <v>12419</v>
      </c>
      <c r="AE1297" t="s">
        <v>6110</v>
      </c>
      <c r="AF1297">
        <v>12</v>
      </c>
      <c r="AG1297">
        <v>1</v>
      </c>
      <c r="AH1297">
        <v>0</v>
      </c>
      <c r="AI1297">
        <v>80.06</v>
      </c>
      <c r="AL1297" t="s">
        <v>12460</v>
      </c>
      <c r="AM1297">
        <v>10000</v>
      </c>
      <c r="AS1297">
        <v>1</v>
      </c>
      <c r="AT1297" t="s">
        <v>395</v>
      </c>
      <c r="AU1297" t="s">
        <v>13085</v>
      </c>
    </row>
    <row r="1298" spans="1:48">
      <c r="A1298" s="1">
        <f>HYPERLINK("https://cms.ls-nyc.org/matter/dynamic-profile/view/1895755","19-1895755")</f>
        <v>0</v>
      </c>
      <c r="B1298" t="s">
        <v>126</v>
      </c>
      <c r="C1298" t="s">
        <v>315</v>
      </c>
      <c r="E1298" t="s">
        <v>812</v>
      </c>
      <c r="F1298" t="s">
        <v>2787</v>
      </c>
      <c r="G1298" t="s">
        <v>4472</v>
      </c>
      <c r="H1298" t="s">
        <v>5462</v>
      </c>
      <c r="I1298" t="s">
        <v>6049</v>
      </c>
      <c r="J1298">
        <v>10035</v>
      </c>
      <c r="K1298" t="s">
        <v>6074</v>
      </c>
      <c r="L1298" t="s">
        <v>6074</v>
      </c>
      <c r="N1298" t="s">
        <v>6104</v>
      </c>
      <c r="O1298" t="s">
        <v>7307</v>
      </c>
      <c r="Q1298" t="s">
        <v>7322</v>
      </c>
      <c r="R1298" t="s">
        <v>6076</v>
      </c>
      <c r="S1298" t="s">
        <v>7324</v>
      </c>
      <c r="T1298" t="s">
        <v>7336</v>
      </c>
      <c r="U1298" t="s">
        <v>315</v>
      </c>
      <c r="V1298">
        <v>858.95</v>
      </c>
      <c r="W1298" t="s">
        <v>7365</v>
      </c>
      <c r="X1298" t="s">
        <v>7368</v>
      </c>
      <c r="Z1298" t="s">
        <v>8413</v>
      </c>
      <c r="AB1298" t="s">
        <v>11168</v>
      </c>
      <c r="AC1298">
        <v>35</v>
      </c>
      <c r="AD1298" t="s">
        <v>12422</v>
      </c>
      <c r="AE1298" t="s">
        <v>6110</v>
      </c>
      <c r="AF1298">
        <v>24</v>
      </c>
      <c r="AG1298">
        <v>1</v>
      </c>
      <c r="AH1298">
        <v>0</v>
      </c>
      <c r="AI1298">
        <v>80.06</v>
      </c>
      <c r="AL1298" t="s">
        <v>12461</v>
      </c>
      <c r="AM1298">
        <v>10000</v>
      </c>
      <c r="AS1298">
        <v>0</v>
      </c>
      <c r="AU1298" t="s">
        <v>13107</v>
      </c>
    </row>
    <row r="1299" spans="1:48">
      <c r="A1299" s="1">
        <f>HYPERLINK("https://cms.ls-nyc.org/matter/dynamic-profile/view/1899749","19-1899749")</f>
        <v>0</v>
      </c>
      <c r="B1299" t="s">
        <v>132</v>
      </c>
      <c r="C1299" t="s">
        <v>316</v>
      </c>
      <c r="E1299" t="s">
        <v>684</v>
      </c>
      <c r="F1299" t="s">
        <v>2788</v>
      </c>
      <c r="G1299" t="s">
        <v>4193</v>
      </c>
      <c r="H1299" t="s">
        <v>5373</v>
      </c>
      <c r="I1299" t="s">
        <v>6049</v>
      </c>
      <c r="J1299">
        <v>10034</v>
      </c>
      <c r="K1299" t="s">
        <v>6074</v>
      </c>
      <c r="L1299" t="s">
        <v>6075</v>
      </c>
      <c r="N1299" t="s">
        <v>7276</v>
      </c>
      <c r="O1299" t="s">
        <v>7306</v>
      </c>
      <c r="Q1299" t="s">
        <v>7322</v>
      </c>
      <c r="R1299" t="s">
        <v>6074</v>
      </c>
      <c r="S1299" t="s">
        <v>7324</v>
      </c>
      <c r="U1299" t="s">
        <v>316</v>
      </c>
      <c r="V1299">
        <v>1270</v>
      </c>
      <c r="W1299" t="s">
        <v>7365</v>
      </c>
      <c r="X1299" t="s">
        <v>7367</v>
      </c>
      <c r="Z1299" t="s">
        <v>8414</v>
      </c>
      <c r="AA1299" t="s">
        <v>10132</v>
      </c>
      <c r="AB1299" t="s">
        <v>11169</v>
      </c>
      <c r="AC1299">
        <v>44</v>
      </c>
      <c r="AD1299" t="s">
        <v>12422</v>
      </c>
      <c r="AE1299" t="s">
        <v>6110</v>
      </c>
      <c r="AF1299">
        <v>5</v>
      </c>
      <c r="AG1299">
        <v>1</v>
      </c>
      <c r="AH1299">
        <v>0</v>
      </c>
      <c r="AI1299">
        <v>80.06</v>
      </c>
      <c r="AL1299" t="s">
        <v>12460</v>
      </c>
      <c r="AM1299">
        <v>10000</v>
      </c>
      <c r="AS1299">
        <v>0</v>
      </c>
      <c r="AU1299" t="s">
        <v>13106</v>
      </c>
      <c r="AV1299" t="s">
        <v>13145</v>
      </c>
    </row>
    <row r="1300" spans="1:48">
      <c r="A1300" s="1">
        <f>HYPERLINK("https://cms.ls-nyc.org/matter/dynamic-profile/view/1900474","19-1900474")</f>
        <v>0</v>
      </c>
      <c r="B1300" t="s">
        <v>128</v>
      </c>
      <c r="C1300" t="s">
        <v>241</v>
      </c>
      <c r="E1300" t="s">
        <v>1327</v>
      </c>
      <c r="F1300" t="s">
        <v>2236</v>
      </c>
      <c r="G1300" t="s">
        <v>4473</v>
      </c>
      <c r="H1300" t="s">
        <v>5694</v>
      </c>
      <c r="I1300" t="s">
        <v>6049</v>
      </c>
      <c r="J1300">
        <v>10034</v>
      </c>
      <c r="K1300" t="s">
        <v>6074</v>
      </c>
      <c r="L1300" t="s">
        <v>6075</v>
      </c>
      <c r="O1300" t="s">
        <v>7306</v>
      </c>
      <c r="Q1300" t="s">
        <v>7322</v>
      </c>
      <c r="R1300" t="s">
        <v>6076</v>
      </c>
      <c r="S1300" t="s">
        <v>7324</v>
      </c>
      <c r="U1300" t="s">
        <v>241</v>
      </c>
      <c r="V1300">
        <v>215.56</v>
      </c>
      <c r="W1300" t="s">
        <v>7365</v>
      </c>
      <c r="X1300" t="s">
        <v>7368</v>
      </c>
      <c r="Z1300" t="s">
        <v>8415</v>
      </c>
      <c r="AB1300" t="s">
        <v>11170</v>
      </c>
      <c r="AC1300">
        <v>21</v>
      </c>
      <c r="AD1300" t="s">
        <v>12422</v>
      </c>
      <c r="AE1300" t="s">
        <v>12441</v>
      </c>
      <c r="AF1300">
        <v>25</v>
      </c>
      <c r="AG1300">
        <v>1</v>
      </c>
      <c r="AH1300">
        <v>0</v>
      </c>
      <c r="AI1300">
        <v>80.22</v>
      </c>
      <c r="AL1300" t="s">
        <v>12461</v>
      </c>
      <c r="AM1300">
        <v>10020</v>
      </c>
      <c r="AS1300">
        <v>3.2</v>
      </c>
      <c r="AT1300" t="s">
        <v>501</v>
      </c>
      <c r="AU1300" t="s">
        <v>13106</v>
      </c>
      <c r="AV1300" t="s">
        <v>13145</v>
      </c>
    </row>
    <row r="1301" spans="1:48">
      <c r="A1301" s="1">
        <f>HYPERLINK("https://cms.ls-nyc.org/matter/dynamic-profile/view/1882807","18-1882807")</f>
        <v>0</v>
      </c>
      <c r="B1301" t="s">
        <v>78</v>
      </c>
      <c r="C1301" t="s">
        <v>246</v>
      </c>
      <c r="D1301" t="s">
        <v>375</v>
      </c>
      <c r="E1301" t="s">
        <v>1298</v>
      </c>
      <c r="F1301" t="s">
        <v>2757</v>
      </c>
      <c r="G1301" t="s">
        <v>3748</v>
      </c>
      <c r="I1301" t="s">
        <v>6043</v>
      </c>
      <c r="J1301">
        <v>11208</v>
      </c>
      <c r="K1301" t="s">
        <v>6074</v>
      </c>
      <c r="L1301" t="s">
        <v>6074</v>
      </c>
      <c r="M1301" t="s">
        <v>6385</v>
      </c>
      <c r="N1301" t="s">
        <v>7274</v>
      </c>
      <c r="O1301" t="s">
        <v>7308</v>
      </c>
      <c r="P1301" t="s">
        <v>7314</v>
      </c>
      <c r="Q1301" t="s">
        <v>7322</v>
      </c>
      <c r="R1301" t="s">
        <v>6074</v>
      </c>
      <c r="S1301" t="s">
        <v>7324</v>
      </c>
      <c r="T1301" t="s">
        <v>7336</v>
      </c>
      <c r="U1301" t="s">
        <v>238</v>
      </c>
      <c r="V1301">
        <v>320</v>
      </c>
      <c r="W1301" t="s">
        <v>7362</v>
      </c>
      <c r="Y1301" t="s">
        <v>7391</v>
      </c>
      <c r="Z1301" t="s">
        <v>8367</v>
      </c>
      <c r="AB1301" t="s">
        <v>11128</v>
      </c>
      <c r="AC1301">
        <v>7</v>
      </c>
      <c r="AF1301">
        <v>4</v>
      </c>
      <c r="AG1301">
        <v>1</v>
      </c>
      <c r="AH1301">
        <v>0</v>
      </c>
      <c r="AI1301">
        <v>80.26000000000001</v>
      </c>
      <c r="AL1301" t="s">
        <v>12477</v>
      </c>
      <c r="AM1301">
        <v>9744</v>
      </c>
      <c r="AN1301" t="s">
        <v>12611</v>
      </c>
      <c r="AS1301">
        <v>3.7</v>
      </c>
      <c r="AT1301" t="s">
        <v>279</v>
      </c>
      <c r="AU1301" t="s">
        <v>218</v>
      </c>
    </row>
    <row r="1302" spans="1:48">
      <c r="A1302" s="1">
        <f>HYPERLINK("https://cms.ls-nyc.org/matter/dynamic-profile/view/1882438","18-1882438")</f>
        <v>0</v>
      </c>
      <c r="B1302" t="s">
        <v>92</v>
      </c>
      <c r="C1302" t="s">
        <v>468</v>
      </c>
      <c r="D1302" t="s">
        <v>457</v>
      </c>
      <c r="E1302" t="s">
        <v>1298</v>
      </c>
      <c r="F1302" t="s">
        <v>2757</v>
      </c>
      <c r="G1302" t="s">
        <v>3748</v>
      </c>
      <c r="I1302" t="s">
        <v>6043</v>
      </c>
      <c r="J1302">
        <v>11208</v>
      </c>
      <c r="K1302" t="s">
        <v>6074</v>
      </c>
      <c r="L1302" t="s">
        <v>6074</v>
      </c>
      <c r="M1302" t="s">
        <v>6661</v>
      </c>
      <c r="N1302" t="s">
        <v>7273</v>
      </c>
      <c r="O1302" t="s">
        <v>7308</v>
      </c>
      <c r="P1302" t="s">
        <v>7316</v>
      </c>
      <c r="Q1302" t="s">
        <v>7322</v>
      </c>
      <c r="R1302" t="s">
        <v>6074</v>
      </c>
      <c r="S1302" t="s">
        <v>7324</v>
      </c>
      <c r="U1302" t="s">
        <v>7347</v>
      </c>
      <c r="V1302">
        <v>320</v>
      </c>
      <c r="W1302" t="s">
        <v>7362</v>
      </c>
      <c r="Y1302" t="s">
        <v>7386</v>
      </c>
      <c r="Z1302" t="s">
        <v>8367</v>
      </c>
      <c r="AB1302" t="s">
        <v>11128</v>
      </c>
      <c r="AC1302">
        <v>7</v>
      </c>
      <c r="AD1302" t="s">
        <v>12419</v>
      </c>
      <c r="AF1302">
        <v>4</v>
      </c>
      <c r="AG1302">
        <v>1</v>
      </c>
      <c r="AH1302">
        <v>0</v>
      </c>
      <c r="AI1302">
        <v>80.26000000000001</v>
      </c>
      <c r="AL1302" t="s">
        <v>12477</v>
      </c>
      <c r="AM1302">
        <v>9744</v>
      </c>
      <c r="AP1302" t="s">
        <v>12889</v>
      </c>
      <c r="AS1302">
        <v>0.5</v>
      </c>
      <c r="AT1302" t="s">
        <v>313</v>
      </c>
      <c r="AU1302" t="s">
        <v>92</v>
      </c>
    </row>
    <row r="1303" spans="1:48">
      <c r="A1303" s="1">
        <f>HYPERLINK("https://cms.ls-nyc.org/matter/dynamic-profile/view/1872507","18-1872507")</f>
        <v>0</v>
      </c>
      <c r="B1303" t="s">
        <v>118</v>
      </c>
      <c r="C1303" t="s">
        <v>467</v>
      </c>
      <c r="E1303" t="s">
        <v>985</v>
      </c>
      <c r="F1303" t="s">
        <v>2789</v>
      </c>
      <c r="G1303" t="s">
        <v>4474</v>
      </c>
      <c r="I1303" t="s">
        <v>6048</v>
      </c>
      <c r="J1303">
        <v>10312</v>
      </c>
      <c r="K1303" t="s">
        <v>6074</v>
      </c>
      <c r="L1303" t="s">
        <v>6074</v>
      </c>
      <c r="M1303" t="s">
        <v>6662</v>
      </c>
      <c r="N1303" t="s">
        <v>7274</v>
      </c>
      <c r="O1303" t="s">
        <v>7308</v>
      </c>
      <c r="Q1303" t="s">
        <v>7323</v>
      </c>
      <c r="R1303" t="s">
        <v>6076</v>
      </c>
      <c r="S1303" t="s">
        <v>7324</v>
      </c>
      <c r="T1303" t="s">
        <v>7336</v>
      </c>
      <c r="U1303" t="s">
        <v>467</v>
      </c>
      <c r="V1303">
        <v>0</v>
      </c>
      <c r="W1303" t="s">
        <v>7364</v>
      </c>
      <c r="X1303" t="s">
        <v>7369</v>
      </c>
      <c r="Z1303" t="s">
        <v>8416</v>
      </c>
      <c r="AB1303" t="s">
        <v>11171</v>
      </c>
      <c r="AC1303">
        <v>44</v>
      </c>
      <c r="AD1303" t="s">
        <v>12419</v>
      </c>
      <c r="AE1303" t="s">
        <v>6110</v>
      </c>
      <c r="AF1303">
        <v>4</v>
      </c>
      <c r="AG1303">
        <v>1</v>
      </c>
      <c r="AH1303">
        <v>0</v>
      </c>
      <c r="AI1303">
        <v>80.26000000000001</v>
      </c>
      <c r="AJ1303" t="s">
        <v>12443</v>
      </c>
      <c r="AK1303" t="s">
        <v>12455</v>
      </c>
      <c r="AL1303" t="s">
        <v>12460</v>
      </c>
      <c r="AM1303">
        <v>9744</v>
      </c>
      <c r="AO1303" t="s">
        <v>12846</v>
      </c>
      <c r="AP1303" t="s">
        <v>7305</v>
      </c>
      <c r="AS1303">
        <v>5.9</v>
      </c>
      <c r="AT1303" t="s">
        <v>317</v>
      </c>
      <c r="AU1303" t="s">
        <v>123</v>
      </c>
      <c r="AV1303" t="s">
        <v>13145</v>
      </c>
    </row>
    <row r="1304" spans="1:48">
      <c r="A1304" s="1">
        <f>HYPERLINK("https://cms.ls-nyc.org/matter/dynamic-profile/view/1885059","18-1885059")</f>
        <v>0</v>
      </c>
      <c r="B1304" t="s">
        <v>171</v>
      </c>
      <c r="C1304" t="s">
        <v>435</v>
      </c>
      <c r="E1304" t="s">
        <v>1299</v>
      </c>
      <c r="F1304" t="s">
        <v>2139</v>
      </c>
      <c r="G1304" t="s">
        <v>4441</v>
      </c>
      <c r="H1304" t="s">
        <v>5444</v>
      </c>
      <c r="I1304" t="s">
        <v>6043</v>
      </c>
      <c r="J1304">
        <v>11212</v>
      </c>
      <c r="K1304" t="s">
        <v>6074</v>
      </c>
      <c r="L1304" t="s">
        <v>6074</v>
      </c>
      <c r="M1304" t="s">
        <v>6663</v>
      </c>
      <c r="N1304" t="s">
        <v>7276</v>
      </c>
      <c r="O1304" t="s">
        <v>7308</v>
      </c>
      <c r="Q1304" t="s">
        <v>7322</v>
      </c>
      <c r="R1304" t="s">
        <v>6076</v>
      </c>
      <c r="S1304" t="s">
        <v>7324</v>
      </c>
      <c r="T1304" t="s">
        <v>7336</v>
      </c>
      <c r="U1304" t="s">
        <v>435</v>
      </c>
      <c r="V1304">
        <v>0</v>
      </c>
      <c r="W1304" t="s">
        <v>7362</v>
      </c>
      <c r="X1304" t="s">
        <v>7376</v>
      </c>
      <c r="Z1304" t="s">
        <v>8369</v>
      </c>
      <c r="AA1304" t="s">
        <v>9871</v>
      </c>
      <c r="AB1304" t="s">
        <v>11130</v>
      </c>
      <c r="AC1304">
        <v>96</v>
      </c>
      <c r="AD1304" t="s">
        <v>12422</v>
      </c>
      <c r="AE1304" t="s">
        <v>12441</v>
      </c>
      <c r="AF1304">
        <v>35</v>
      </c>
      <c r="AG1304">
        <v>1</v>
      </c>
      <c r="AH1304">
        <v>0</v>
      </c>
      <c r="AI1304">
        <v>80.36</v>
      </c>
      <c r="AL1304" t="s">
        <v>12460</v>
      </c>
      <c r="AM1304">
        <v>9756</v>
      </c>
      <c r="AN1304" t="s">
        <v>12612</v>
      </c>
      <c r="AS1304">
        <v>37.2</v>
      </c>
      <c r="AT1304" t="s">
        <v>423</v>
      </c>
      <c r="AU1304" t="s">
        <v>218</v>
      </c>
    </row>
    <row r="1305" spans="1:48">
      <c r="A1305" s="1">
        <f>HYPERLINK("https://cms.ls-nyc.org/matter/dynamic-profile/view/1878390","18-1878390")</f>
        <v>0</v>
      </c>
      <c r="B1305" t="s">
        <v>135</v>
      </c>
      <c r="C1305" t="s">
        <v>373</v>
      </c>
      <c r="E1305" t="s">
        <v>1328</v>
      </c>
      <c r="F1305" t="s">
        <v>2790</v>
      </c>
      <c r="G1305" t="s">
        <v>4475</v>
      </c>
      <c r="H1305" t="s">
        <v>5695</v>
      </c>
      <c r="I1305" t="s">
        <v>6049</v>
      </c>
      <c r="J1305">
        <v>10029</v>
      </c>
      <c r="K1305" t="s">
        <v>6074</v>
      </c>
      <c r="L1305" t="s">
        <v>6074</v>
      </c>
      <c r="M1305" t="s">
        <v>6664</v>
      </c>
      <c r="N1305" t="s">
        <v>7276</v>
      </c>
      <c r="O1305" t="s">
        <v>7308</v>
      </c>
      <c r="Q1305" t="s">
        <v>7322</v>
      </c>
      <c r="R1305" t="s">
        <v>6074</v>
      </c>
      <c r="S1305" t="s">
        <v>7324</v>
      </c>
      <c r="T1305" t="s">
        <v>7336</v>
      </c>
      <c r="U1305" t="s">
        <v>391</v>
      </c>
      <c r="V1305">
        <v>3958</v>
      </c>
      <c r="W1305" t="s">
        <v>7365</v>
      </c>
      <c r="X1305" t="s">
        <v>7375</v>
      </c>
      <c r="Z1305" t="s">
        <v>8417</v>
      </c>
      <c r="AB1305" t="s">
        <v>11172</v>
      </c>
      <c r="AC1305">
        <v>758</v>
      </c>
      <c r="AD1305" t="s">
        <v>12420</v>
      </c>
      <c r="AE1305" t="s">
        <v>12434</v>
      </c>
      <c r="AF1305">
        <v>38</v>
      </c>
      <c r="AG1305">
        <v>1</v>
      </c>
      <c r="AH1305">
        <v>0</v>
      </c>
      <c r="AI1305">
        <v>80.45999999999999</v>
      </c>
      <c r="AL1305" t="s">
        <v>12460</v>
      </c>
      <c r="AM1305">
        <v>9768</v>
      </c>
      <c r="AS1305">
        <v>26.25</v>
      </c>
      <c r="AT1305" t="s">
        <v>343</v>
      </c>
      <c r="AU1305" t="s">
        <v>13080</v>
      </c>
    </row>
    <row r="1306" spans="1:48">
      <c r="A1306" s="1">
        <f>HYPERLINK("https://cms.ls-nyc.org/matter/dynamic-profile/view/1884756","18-1884756")</f>
        <v>0</v>
      </c>
      <c r="B1306" t="s">
        <v>70</v>
      </c>
      <c r="C1306" t="s">
        <v>413</v>
      </c>
      <c r="D1306" t="s">
        <v>260</v>
      </c>
      <c r="E1306" t="s">
        <v>746</v>
      </c>
      <c r="F1306" t="s">
        <v>2132</v>
      </c>
      <c r="G1306" t="s">
        <v>4476</v>
      </c>
      <c r="H1306" t="s">
        <v>5398</v>
      </c>
      <c r="I1306" t="s">
        <v>6043</v>
      </c>
      <c r="J1306">
        <v>11210</v>
      </c>
      <c r="K1306" t="s">
        <v>6074</v>
      </c>
      <c r="L1306" t="s">
        <v>6074</v>
      </c>
      <c r="M1306" t="s">
        <v>6665</v>
      </c>
      <c r="N1306" t="s">
        <v>7276</v>
      </c>
      <c r="O1306" t="s">
        <v>7308</v>
      </c>
      <c r="P1306" t="s">
        <v>7316</v>
      </c>
      <c r="Q1306" t="s">
        <v>7322</v>
      </c>
      <c r="R1306" t="s">
        <v>6074</v>
      </c>
      <c r="S1306" t="s">
        <v>7324</v>
      </c>
      <c r="T1306" t="s">
        <v>7336</v>
      </c>
      <c r="U1306" t="s">
        <v>395</v>
      </c>
      <c r="V1306">
        <v>993.5</v>
      </c>
      <c r="W1306" t="s">
        <v>7362</v>
      </c>
      <c r="X1306" t="s">
        <v>7368</v>
      </c>
      <c r="Y1306" t="s">
        <v>7388</v>
      </c>
      <c r="Z1306" t="s">
        <v>8418</v>
      </c>
      <c r="AA1306" t="s">
        <v>10133</v>
      </c>
      <c r="AB1306" t="s">
        <v>11173</v>
      </c>
      <c r="AC1306">
        <v>42</v>
      </c>
      <c r="AD1306" t="s">
        <v>12422</v>
      </c>
      <c r="AE1306" t="s">
        <v>12440</v>
      </c>
      <c r="AF1306">
        <v>19</v>
      </c>
      <c r="AG1306">
        <v>1</v>
      </c>
      <c r="AH1306">
        <v>0</v>
      </c>
      <c r="AI1306">
        <v>80.53</v>
      </c>
      <c r="AL1306" t="s">
        <v>12460</v>
      </c>
      <c r="AM1306">
        <v>9776</v>
      </c>
      <c r="AO1306" t="s">
        <v>12846</v>
      </c>
      <c r="AP1306" t="s">
        <v>12863</v>
      </c>
      <c r="AQ1306" t="s">
        <v>12909</v>
      </c>
      <c r="AR1306" t="s">
        <v>13007</v>
      </c>
      <c r="AS1306">
        <v>30.95</v>
      </c>
      <c r="AT1306" t="s">
        <v>260</v>
      </c>
      <c r="AU1306" t="s">
        <v>69</v>
      </c>
      <c r="AV1306" t="s">
        <v>13145</v>
      </c>
    </row>
    <row r="1307" spans="1:48">
      <c r="A1307" s="1">
        <f>HYPERLINK("https://cms.ls-nyc.org/matter/dynamic-profile/view/1880540","18-1880540")</f>
        <v>0</v>
      </c>
      <c r="B1307" t="s">
        <v>108</v>
      </c>
      <c r="C1307" t="s">
        <v>360</v>
      </c>
      <c r="E1307" t="s">
        <v>1329</v>
      </c>
      <c r="F1307" t="s">
        <v>2791</v>
      </c>
      <c r="G1307" t="s">
        <v>3805</v>
      </c>
      <c r="H1307" t="s">
        <v>5394</v>
      </c>
      <c r="I1307" t="s">
        <v>6047</v>
      </c>
      <c r="J1307">
        <v>10452</v>
      </c>
      <c r="K1307" t="s">
        <v>6074</v>
      </c>
      <c r="L1307" t="s">
        <v>6074</v>
      </c>
      <c r="M1307" t="s">
        <v>6382</v>
      </c>
      <c r="N1307" t="s">
        <v>7273</v>
      </c>
      <c r="O1307" t="s">
        <v>7308</v>
      </c>
      <c r="Q1307" t="s">
        <v>7322</v>
      </c>
      <c r="R1307" t="s">
        <v>6074</v>
      </c>
      <c r="S1307" t="s">
        <v>7324</v>
      </c>
      <c r="U1307" t="s">
        <v>472</v>
      </c>
      <c r="V1307">
        <v>1042</v>
      </c>
      <c r="W1307" t="s">
        <v>7363</v>
      </c>
      <c r="X1307" t="s">
        <v>7376</v>
      </c>
      <c r="Z1307" t="s">
        <v>8419</v>
      </c>
      <c r="AB1307" t="s">
        <v>11174</v>
      </c>
      <c r="AC1307">
        <v>149</v>
      </c>
      <c r="AD1307" t="s">
        <v>12422</v>
      </c>
      <c r="AE1307" t="s">
        <v>6110</v>
      </c>
      <c r="AF1307">
        <v>14</v>
      </c>
      <c r="AG1307">
        <v>1</v>
      </c>
      <c r="AH1307">
        <v>0</v>
      </c>
      <c r="AI1307">
        <v>80.53</v>
      </c>
      <c r="AL1307" t="s">
        <v>12460</v>
      </c>
      <c r="AM1307">
        <v>9776</v>
      </c>
      <c r="AS1307">
        <v>0</v>
      </c>
      <c r="AU1307" t="s">
        <v>13099</v>
      </c>
    </row>
    <row r="1308" spans="1:48">
      <c r="A1308" s="1">
        <f>HYPERLINK("https://cms.ls-nyc.org/matter/dynamic-profile/view/1885146","18-1885146")</f>
        <v>0</v>
      </c>
      <c r="B1308" t="s">
        <v>125</v>
      </c>
      <c r="C1308" t="s">
        <v>435</v>
      </c>
      <c r="D1308" t="s">
        <v>339</v>
      </c>
      <c r="E1308" t="s">
        <v>743</v>
      </c>
      <c r="F1308" t="s">
        <v>2792</v>
      </c>
      <c r="G1308" t="s">
        <v>4477</v>
      </c>
      <c r="H1308" t="s">
        <v>5350</v>
      </c>
      <c r="I1308" t="s">
        <v>6049</v>
      </c>
      <c r="J1308">
        <v>10034</v>
      </c>
      <c r="K1308" t="s">
        <v>6074</v>
      </c>
      <c r="L1308" t="s">
        <v>6074</v>
      </c>
      <c r="N1308" t="s">
        <v>7278</v>
      </c>
      <c r="O1308" t="s">
        <v>7306</v>
      </c>
      <c r="P1308" t="s">
        <v>7314</v>
      </c>
      <c r="Q1308" t="s">
        <v>7322</v>
      </c>
      <c r="R1308" t="s">
        <v>6076</v>
      </c>
      <c r="S1308" t="s">
        <v>7324</v>
      </c>
      <c r="U1308" t="s">
        <v>435</v>
      </c>
      <c r="V1308">
        <v>776</v>
      </c>
      <c r="W1308" t="s">
        <v>7365</v>
      </c>
      <c r="X1308" t="s">
        <v>7367</v>
      </c>
      <c r="Y1308" t="s">
        <v>7386</v>
      </c>
      <c r="Z1308" t="s">
        <v>8420</v>
      </c>
      <c r="AC1308">
        <v>0</v>
      </c>
      <c r="AD1308" t="s">
        <v>12422</v>
      </c>
      <c r="AE1308" t="s">
        <v>6110</v>
      </c>
      <c r="AF1308">
        <v>36</v>
      </c>
      <c r="AG1308">
        <v>1</v>
      </c>
      <c r="AH1308">
        <v>0</v>
      </c>
      <c r="AI1308">
        <v>80.56</v>
      </c>
      <c r="AL1308" t="s">
        <v>12460</v>
      </c>
      <c r="AM1308">
        <v>9780</v>
      </c>
      <c r="AS1308">
        <v>2.7</v>
      </c>
      <c r="AT1308" t="s">
        <v>422</v>
      </c>
      <c r="AU1308" t="s">
        <v>13106</v>
      </c>
    </row>
    <row r="1309" spans="1:48">
      <c r="A1309" s="1">
        <f>HYPERLINK("https://cms.ls-nyc.org/matter/dynamic-profile/view/1884424","18-1884424")</f>
        <v>0</v>
      </c>
      <c r="B1309" t="s">
        <v>130</v>
      </c>
      <c r="C1309" t="s">
        <v>345</v>
      </c>
      <c r="D1309" t="s">
        <v>379</v>
      </c>
      <c r="E1309" t="s">
        <v>1330</v>
      </c>
      <c r="F1309" t="s">
        <v>2508</v>
      </c>
      <c r="G1309" t="s">
        <v>4478</v>
      </c>
      <c r="H1309">
        <v>24</v>
      </c>
      <c r="I1309" t="s">
        <v>6049</v>
      </c>
      <c r="J1309">
        <v>10034</v>
      </c>
      <c r="K1309" t="s">
        <v>6074</v>
      </c>
      <c r="L1309" t="s">
        <v>6074</v>
      </c>
      <c r="N1309" t="s">
        <v>7276</v>
      </c>
      <c r="O1309" t="s">
        <v>7306</v>
      </c>
      <c r="P1309" t="s">
        <v>7314</v>
      </c>
      <c r="Q1309" t="s">
        <v>7322</v>
      </c>
      <c r="R1309" t="s">
        <v>6076</v>
      </c>
      <c r="S1309" t="s">
        <v>7324</v>
      </c>
      <c r="U1309" t="s">
        <v>345</v>
      </c>
      <c r="V1309">
        <v>730.5599999999999</v>
      </c>
      <c r="W1309" t="s">
        <v>7365</v>
      </c>
      <c r="X1309" t="s">
        <v>7367</v>
      </c>
      <c r="Y1309" t="s">
        <v>7386</v>
      </c>
      <c r="Z1309" t="s">
        <v>8421</v>
      </c>
      <c r="AB1309" t="s">
        <v>11175</v>
      </c>
      <c r="AC1309">
        <v>30</v>
      </c>
      <c r="AD1309" t="s">
        <v>12422</v>
      </c>
      <c r="AE1309" t="s">
        <v>6110</v>
      </c>
      <c r="AF1309">
        <v>40</v>
      </c>
      <c r="AG1309">
        <v>1</v>
      </c>
      <c r="AH1309">
        <v>0</v>
      </c>
      <c r="AI1309">
        <v>80.66</v>
      </c>
      <c r="AL1309" t="s">
        <v>12460</v>
      </c>
      <c r="AM1309">
        <v>9792</v>
      </c>
      <c r="AS1309">
        <v>1.6</v>
      </c>
      <c r="AT1309" t="s">
        <v>379</v>
      </c>
      <c r="AU1309" t="s">
        <v>13106</v>
      </c>
    </row>
    <row r="1310" spans="1:48">
      <c r="A1310" s="1">
        <f>HYPERLINK("https://cms.ls-nyc.org/matter/dynamic-profile/view/1888678","19-1888678")</f>
        <v>0</v>
      </c>
      <c r="B1310" t="s">
        <v>128</v>
      </c>
      <c r="C1310" t="s">
        <v>339</v>
      </c>
      <c r="E1310" t="s">
        <v>1331</v>
      </c>
      <c r="F1310" t="s">
        <v>2793</v>
      </c>
      <c r="G1310" t="s">
        <v>3934</v>
      </c>
      <c r="H1310">
        <v>43</v>
      </c>
      <c r="I1310" t="s">
        <v>6049</v>
      </c>
      <c r="J1310">
        <v>10034</v>
      </c>
      <c r="K1310" t="s">
        <v>6074</v>
      </c>
      <c r="L1310" t="s">
        <v>6074</v>
      </c>
      <c r="M1310" t="s">
        <v>6500</v>
      </c>
      <c r="N1310" t="s">
        <v>7273</v>
      </c>
      <c r="O1310" t="s">
        <v>7308</v>
      </c>
      <c r="Q1310" t="s">
        <v>7322</v>
      </c>
      <c r="R1310" t="s">
        <v>6074</v>
      </c>
      <c r="S1310" t="s">
        <v>7324</v>
      </c>
      <c r="U1310" t="s">
        <v>339</v>
      </c>
      <c r="V1310">
        <v>1547</v>
      </c>
      <c r="W1310" t="s">
        <v>7365</v>
      </c>
      <c r="X1310" t="s">
        <v>7367</v>
      </c>
      <c r="Z1310" t="s">
        <v>8422</v>
      </c>
      <c r="AB1310" t="s">
        <v>11176</v>
      </c>
      <c r="AC1310">
        <v>25</v>
      </c>
      <c r="AD1310" t="s">
        <v>12422</v>
      </c>
      <c r="AE1310" t="s">
        <v>6110</v>
      </c>
      <c r="AF1310">
        <v>8</v>
      </c>
      <c r="AG1310">
        <v>2</v>
      </c>
      <c r="AH1310">
        <v>2</v>
      </c>
      <c r="AI1310">
        <v>80.78</v>
      </c>
      <c r="AL1310" t="s">
        <v>12461</v>
      </c>
      <c r="AM1310">
        <v>20800</v>
      </c>
      <c r="AS1310">
        <v>0.5</v>
      </c>
      <c r="AT1310" t="s">
        <v>339</v>
      </c>
      <c r="AU1310" t="s">
        <v>13106</v>
      </c>
    </row>
    <row r="1311" spans="1:48">
      <c r="A1311" s="1">
        <f>HYPERLINK("https://cms.ls-nyc.org/matter/dynamic-profile/view/1897751","19-1897751")</f>
        <v>0</v>
      </c>
      <c r="B1311" t="s">
        <v>126</v>
      </c>
      <c r="C1311" t="s">
        <v>263</v>
      </c>
      <c r="E1311" t="s">
        <v>1332</v>
      </c>
      <c r="F1311" t="s">
        <v>2794</v>
      </c>
      <c r="G1311" t="s">
        <v>4479</v>
      </c>
      <c r="H1311" t="s">
        <v>5378</v>
      </c>
      <c r="I1311" t="s">
        <v>6049</v>
      </c>
      <c r="J1311">
        <v>10035</v>
      </c>
      <c r="K1311" t="s">
        <v>6074</v>
      </c>
      <c r="L1311" t="s">
        <v>6074</v>
      </c>
      <c r="N1311" t="s">
        <v>6104</v>
      </c>
      <c r="O1311" t="s">
        <v>7307</v>
      </c>
      <c r="Q1311" t="s">
        <v>7322</v>
      </c>
      <c r="R1311" t="s">
        <v>6074</v>
      </c>
      <c r="S1311" t="s">
        <v>7324</v>
      </c>
      <c r="T1311" t="s">
        <v>7336</v>
      </c>
      <c r="U1311" t="s">
        <v>279</v>
      </c>
      <c r="V1311">
        <v>2500</v>
      </c>
      <c r="W1311" t="s">
        <v>7365</v>
      </c>
      <c r="X1311" t="s">
        <v>7378</v>
      </c>
      <c r="Z1311" t="s">
        <v>8423</v>
      </c>
      <c r="AB1311" t="s">
        <v>11177</v>
      </c>
      <c r="AC1311">
        <v>60</v>
      </c>
      <c r="AD1311" t="s">
        <v>12422</v>
      </c>
      <c r="AE1311" t="s">
        <v>12434</v>
      </c>
      <c r="AF1311">
        <v>14</v>
      </c>
      <c r="AG1311">
        <v>1</v>
      </c>
      <c r="AH1311">
        <v>0</v>
      </c>
      <c r="AI1311">
        <v>80.8</v>
      </c>
      <c r="AL1311" t="s">
        <v>12461</v>
      </c>
      <c r="AM1311">
        <v>10092</v>
      </c>
      <c r="AS1311">
        <v>0</v>
      </c>
      <c r="AU1311" t="s">
        <v>13107</v>
      </c>
    </row>
    <row r="1312" spans="1:48">
      <c r="A1312" s="1">
        <f>HYPERLINK("https://cms.ls-nyc.org/matter/dynamic-profile/view/1853639","17-1853639")</f>
        <v>0</v>
      </c>
      <c r="B1312" t="s">
        <v>119</v>
      </c>
      <c r="C1312" t="s">
        <v>494</v>
      </c>
      <c r="D1312" t="s">
        <v>318</v>
      </c>
      <c r="E1312" t="s">
        <v>956</v>
      </c>
      <c r="F1312" t="s">
        <v>2300</v>
      </c>
      <c r="G1312" t="s">
        <v>4480</v>
      </c>
      <c r="H1312" t="s">
        <v>5696</v>
      </c>
      <c r="I1312" t="s">
        <v>6048</v>
      </c>
      <c r="J1312">
        <v>10304</v>
      </c>
      <c r="K1312" t="s">
        <v>6074</v>
      </c>
      <c r="L1312" t="s">
        <v>6074</v>
      </c>
      <c r="M1312" t="s">
        <v>6666</v>
      </c>
      <c r="N1312" t="s">
        <v>7276</v>
      </c>
      <c r="O1312" t="s">
        <v>7308</v>
      </c>
      <c r="P1312" t="s">
        <v>7316</v>
      </c>
      <c r="Q1312" t="s">
        <v>7322</v>
      </c>
      <c r="R1312" t="s">
        <v>6076</v>
      </c>
      <c r="S1312" t="s">
        <v>7324</v>
      </c>
      <c r="T1312" t="s">
        <v>7336</v>
      </c>
      <c r="U1312" t="s">
        <v>559</v>
      </c>
      <c r="V1312">
        <v>1900</v>
      </c>
      <c r="W1312" t="s">
        <v>7364</v>
      </c>
      <c r="X1312" t="s">
        <v>7368</v>
      </c>
      <c r="Y1312" t="s">
        <v>7388</v>
      </c>
      <c r="Z1312" t="s">
        <v>8424</v>
      </c>
      <c r="AB1312" t="s">
        <v>11178</v>
      </c>
      <c r="AC1312">
        <v>3</v>
      </c>
      <c r="AD1312" t="s">
        <v>12419</v>
      </c>
      <c r="AF1312">
        <v>5</v>
      </c>
      <c r="AG1312">
        <v>2</v>
      </c>
      <c r="AH1312">
        <v>0</v>
      </c>
      <c r="AI1312">
        <v>80.91</v>
      </c>
      <c r="AL1312" t="s">
        <v>12460</v>
      </c>
      <c r="AM1312">
        <v>13140</v>
      </c>
      <c r="AO1312" t="s">
        <v>12846</v>
      </c>
      <c r="AP1312" t="s">
        <v>7305</v>
      </c>
      <c r="AQ1312" t="s">
        <v>12910</v>
      </c>
      <c r="AR1312" t="s">
        <v>13008</v>
      </c>
      <c r="AS1312">
        <v>3.3</v>
      </c>
      <c r="AT1312" t="s">
        <v>559</v>
      </c>
      <c r="AU1312" t="s">
        <v>13102</v>
      </c>
    </row>
    <row r="1313" spans="1:48">
      <c r="A1313" s="1">
        <f>HYPERLINK("https://cms.ls-nyc.org/matter/dynamic-profile/view/1891647","19-1891647")</f>
        <v>0</v>
      </c>
      <c r="B1313" t="s">
        <v>52</v>
      </c>
      <c r="C1313" t="s">
        <v>364</v>
      </c>
      <c r="D1313" t="s">
        <v>265</v>
      </c>
      <c r="E1313" t="s">
        <v>732</v>
      </c>
      <c r="F1313" t="s">
        <v>2795</v>
      </c>
      <c r="G1313" t="s">
        <v>4481</v>
      </c>
      <c r="H1313" t="s">
        <v>5489</v>
      </c>
      <c r="I1313" t="s">
        <v>6040</v>
      </c>
      <c r="J1313">
        <v>11354</v>
      </c>
      <c r="K1313" t="s">
        <v>6074</v>
      </c>
      <c r="L1313" t="s">
        <v>6074</v>
      </c>
      <c r="M1313" t="s">
        <v>6110</v>
      </c>
      <c r="N1313" t="s">
        <v>6104</v>
      </c>
      <c r="O1313" t="s">
        <v>7307</v>
      </c>
      <c r="P1313" t="s">
        <v>7315</v>
      </c>
      <c r="Q1313" t="s">
        <v>7322</v>
      </c>
      <c r="R1313" t="s">
        <v>6076</v>
      </c>
      <c r="S1313" t="s">
        <v>7324</v>
      </c>
      <c r="T1313" t="s">
        <v>7336</v>
      </c>
      <c r="U1313" t="s">
        <v>364</v>
      </c>
      <c r="V1313">
        <v>1214</v>
      </c>
      <c r="W1313" t="s">
        <v>7361</v>
      </c>
      <c r="X1313" t="s">
        <v>7368</v>
      </c>
      <c r="Y1313" t="s">
        <v>7390</v>
      </c>
      <c r="Z1313" t="s">
        <v>8425</v>
      </c>
      <c r="AA1313" t="s">
        <v>10134</v>
      </c>
      <c r="AB1313" t="s">
        <v>11179</v>
      </c>
      <c r="AC1313">
        <v>8</v>
      </c>
      <c r="AD1313" t="s">
        <v>12419</v>
      </c>
      <c r="AE1313" t="s">
        <v>12437</v>
      </c>
      <c r="AF1313">
        <v>6</v>
      </c>
      <c r="AG1313">
        <v>1</v>
      </c>
      <c r="AH1313">
        <v>0</v>
      </c>
      <c r="AI1313">
        <v>80.98999999999999</v>
      </c>
      <c r="AL1313" t="s">
        <v>12460</v>
      </c>
      <c r="AM1313">
        <v>10116</v>
      </c>
      <c r="AP1313" t="s">
        <v>7305</v>
      </c>
      <c r="AQ1313" t="s">
        <v>12909</v>
      </c>
      <c r="AR1313" t="s">
        <v>12988</v>
      </c>
      <c r="AS1313">
        <v>2.15</v>
      </c>
      <c r="AT1313" t="s">
        <v>367</v>
      </c>
      <c r="AU1313" t="s">
        <v>52</v>
      </c>
      <c r="AV1313" t="s">
        <v>13145</v>
      </c>
    </row>
    <row r="1314" spans="1:48">
      <c r="A1314" s="1">
        <f>HYPERLINK("https://cms.ls-nyc.org/matter/dynamic-profile/view/1863498","18-1863498")</f>
        <v>0</v>
      </c>
      <c r="B1314" t="s">
        <v>82</v>
      </c>
      <c r="C1314" t="s">
        <v>308</v>
      </c>
      <c r="E1314" t="s">
        <v>1005</v>
      </c>
      <c r="F1314" t="s">
        <v>1424</v>
      </c>
      <c r="G1314" t="s">
        <v>3728</v>
      </c>
      <c r="H1314" t="s">
        <v>5354</v>
      </c>
      <c r="I1314" t="s">
        <v>6043</v>
      </c>
      <c r="J1314">
        <v>11226</v>
      </c>
      <c r="K1314" t="s">
        <v>6074</v>
      </c>
      <c r="L1314" t="s">
        <v>6074</v>
      </c>
      <c r="N1314" t="s">
        <v>7278</v>
      </c>
      <c r="O1314" t="s">
        <v>7309</v>
      </c>
      <c r="Q1314" t="s">
        <v>7322</v>
      </c>
      <c r="R1314" t="s">
        <v>6074</v>
      </c>
      <c r="S1314" t="s">
        <v>7324</v>
      </c>
      <c r="U1314" t="s">
        <v>333</v>
      </c>
      <c r="V1314">
        <v>1825</v>
      </c>
      <c r="W1314" t="s">
        <v>7362</v>
      </c>
      <c r="X1314" t="s">
        <v>7368</v>
      </c>
      <c r="Z1314" t="s">
        <v>8426</v>
      </c>
      <c r="AA1314" t="s">
        <v>10135</v>
      </c>
      <c r="AC1314">
        <v>65</v>
      </c>
      <c r="AE1314" t="s">
        <v>12434</v>
      </c>
      <c r="AF1314">
        <v>31</v>
      </c>
      <c r="AG1314">
        <v>1</v>
      </c>
      <c r="AH1314">
        <v>2</v>
      </c>
      <c r="AI1314">
        <v>81.02</v>
      </c>
      <c r="AL1314" t="s">
        <v>12460</v>
      </c>
      <c r="AM1314">
        <v>22512</v>
      </c>
      <c r="AS1314">
        <v>0.5</v>
      </c>
      <c r="AT1314" t="s">
        <v>308</v>
      </c>
      <c r="AU1314" t="s">
        <v>13087</v>
      </c>
    </row>
    <row r="1315" spans="1:48">
      <c r="A1315" s="1">
        <f>HYPERLINK("https://cms.ls-nyc.org/matter/dynamic-profile/view/1885507","18-1885507")</f>
        <v>0</v>
      </c>
      <c r="B1315" t="s">
        <v>113</v>
      </c>
      <c r="C1315" t="s">
        <v>429</v>
      </c>
      <c r="E1315" t="s">
        <v>1152</v>
      </c>
      <c r="F1315" t="s">
        <v>2735</v>
      </c>
      <c r="G1315" t="s">
        <v>4482</v>
      </c>
      <c r="H1315" t="s">
        <v>5697</v>
      </c>
      <c r="I1315" t="s">
        <v>6047</v>
      </c>
      <c r="J1315">
        <v>10452</v>
      </c>
      <c r="K1315" t="s">
        <v>6074</v>
      </c>
      <c r="L1315" t="s">
        <v>6074</v>
      </c>
      <c r="M1315" t="s">
        <v>6667</v>
      </c>
      <c r="N1315" t="s">
        <v>7273</v>
      </c>
      <c r="O1315" t="s">
        <v>7308</v>
      </c>
      <c r="Q1315" t="s">
        <v>7322</v>
      </c>
      <c r="R1315" t="s">
        <v>6074</v>
      </c>
      <c r="S1315" t="s">
        <v>7324</v>
      </c>
      <c r="U1315" t="s">
        <v>436</v>
      </c>
      <c r="V1315">
        <v>1063</v>
      </c>
      <c r="W1315" t="s">
        <v>7363</v>
      </c>
      <c r="X1315" t="s">
        <v>7368</v>
      </c>
      <c r="Z1315" t="s">
        <v>8427</v>
      </c>
      <c r="AB1315" t="s">
        <v>11180</v>
      </c>
      <c r="AC1315">
        <v>63</v>
      </c>
      <c r="AD1315" t="s">
        <v>12422</v>
      </c>
      <c r="AE1315" t="s">
        <v>12437</v>
      </c>
      <c r="AF1315">
        <v>22</v>
      </c>
      <c r="AG1315">
        <v>1</v>
      </c>
      <c r="AH1315">
        <v>0</v>
      </c>
      <c r="AI1315">
        <v>81.05</v>
      </c>
      <c r="AL1315" t="s">
        <v>12461</v>
      </c>
      <c r="AM1315">
        <v>9840</v>
      </c>
      <c r="AS1315">
        <v>29.1</v>
      </c>
      <c r="AT1315" t="s">
        <v>469</v>
      </c>
      <c r="AU1315" t="s">
        <v>13095</v>
      </c>
    </row>
    <row r="1316" spans="1:48">
      <c r="A1316" s="1">
        <f>HYPERLINK("https://cms.ls-nyc.org/matter/dynamic-profile/view/1876050","18-1876050")</f>
        <v>0</v>
      </c>
      <c r="B1316" t="s">
        <v>117</v>
      </c>
      <c r="C1316" t="s">
        <v>312</v>
      </c>
      <c r="D1316" t="s">
        <v>373</v>
      </c>
      <c r="E1316" t="s">
        <v>1250</v>
      </c>
      <c r="F1316" t="s">
        <v>2796</v>
      </c>
      <c r="G1316" t="s">
        <v>4322</v>
      </c>
      <c r="H1316" t="s">
        <v>5698</v>
      </c>
      <c r="I1316" t="s">
        <v>6048</v>
      </c>
      <c r="J1316">
        <v>10301</v>
      </c>
      <c r="K1316" t="s">
        <v>6074</v>
      </c>
      <c r="L1316" t="s">
        <v>6074</v>
      </c>
      <c r="M1316" t="s">
        <v>6204</v>
      </c>
      <c r="N1316" t="s">
        <v>7281</v>
      </c>
      <c r="O1316" t="s">
        <v>7307</v>
      </c>
      <c r="P1316" t="s">
        <v>7315</v>
      </c>
      <c r="Q1316" t="s">
        <v>7322</v>
      </c>
      <c r="R1316" t="s">
        <v>6076</v>
      </c>
      <c r="S1316" t="s">
        <v>7324</v>
      </c>
      <c r="T1316" t="s">
        <v>7336</v>
      </c>
      <c r="U1316" t="s">
        <v>312</v>
      </c>
      <c r="V1316">
        <v>1995.5</v>
      </c>
      <c r="W1316" t="s">
        <v>7364</v>
      </c>
      <c r="X1316" t="s">
        <v>7378</v>
      </c>
      <c r="Y1316" t="s">
        <v>7386</v>
      </c>
      <c r="Z1316" t="s">
        <v>8428</v>
      </c>
      <c r="AB1316" t="s">
        <v>11181</v>
      </c>
      <c r="AC1316">
        <v>227</v>
      </c>
      <c r="AD1316" t="s">
        <v>12419</v>
      </c>
      <c r="AE1316" t="s">
        <v>12434</v>
      </c>
      <c r="AF1316">
        <v>27</v>
      </c>
      <c r="AG1316">
        <v>1</v>
      </c>
      <c r="AH1316">
        <v>0</v>
      </c>
      <c r="AI1316">
        <v>81.05</v>
      </c>
      <c r="AL1316" t="s">
        <v>12460</v>
      </c>
      <c r="AM1316">
        <v>9840</v>
      </c>
      <c r="AS1316">
        <v>3.3</v>
      </c>
      <c r="AT1316" t="s">
        <v>408</v>
      </c>
      <c r="AU1316" t="s">
        <v>13081</v>
      </c>
    </row>
    <row r="1317" spans="1:48">
      <c r="A1317" s="1">
        <f>HYPERLINK("https://cms.ls-nyc.org/matter/dynamic-profile/view/1879909","18-1879909")</f>
        <v>0</v>
      </c>
      <c r="B1317" t="s">
        <v>133</v>
      </c>
      <c r="C1317" t="s">
        <v>271</v>
      </c>
      <c r="E1317" t="s">
        <v>593</v>
      </c>
      <c r="F1317" t="s">
        <v>2077</v>
      </c>
      <c r="G1317" t="s">
        <v>4128</v>
      </c>
      <c r="H1317" t="s">
        <v>5491</v>
      </c>
      <c r="I1317" t="s">
        <v>6049</v>
      </c>
      <c r="J1317">
        <v>10040</v>
      </c>
      <c r="K1317" t="s">
        <v>6074</v>
      </c>
      <c r="L1317" t="s">
        <v>6076</v>
      </c>
      <c r="N1317" t="s">
        <v>7279</v>
      </c>
      <c r="O1317" t="s">
        <v>7308</v>
      </c>
      <c r="Q1317" t="s">
        <v>7322</v>
      </c>
      <c r="R1317" t="s">
        <v>6074</v>
      </c>
      <c r="S1317" t="s">
        <v>7324</v>
      </c>
      <c r="U1317" t="s">
        <v>271</v>
      </c>
      <c r="V1317">
        <v>959</v>
      </c>
      <c r="W1317" t="s">
        <v>7365</v>
      </c>
      <c r="X1317" t="s">
        <v>7368</v>
      </c>
      <c r="Z1317" t="s">
        <v>8429</v>
      </c>
      <c r="AB1317" t="s">
        <v>11182</v>
      </c>
      <c r="AC1317">
        <v>88</v>
      </c>
      <c r="AD1317" t="s">
        <v>12422</v>
      </c>
      <c r="AE1317" t="s">
        <v>12441</v>
      </c>
      <c r="AF1317">
        <v>37</v>
      </c>
      <c r="AG1317">
        <v>1</v>
      </c>
      <c r="AH1317">
        <v>0</v>
      </c>
      <c r="AI1317">
        <v>81.05</v>
      </c>
      <c r="AL1317" t="s">
        <v>12461</v>
      </c>
      <c r="AM1317">
        <v>9840</v>
      </c>
      <c r="AS1317">
        <v>0</v>
      </c>
      <c r="AU1317" t="s">
        <v>13106</v>
      </c>
    </row>
    <row r="1318" spans="1:48">
      <c r="A1318" s="1">
        <f>HYPERLINK("https://cms.ls-nyc.org/matter/dynamic-profile/view/1885153","18-1885153")</f>
        <v>0</v>
      </c>
      <c r="B1318" t="s">
        <v>125</v>
      </c>
      <c r="C1318" t="s">
        <v>435</v>
      </c>
      <c r="D1318" t="s">
        <v>339</v>
      </c>
      <c r="E1318" t="s">
        <v>586</v>
      </c>
      <c r="F1318" t="s">
        <v>2592</v>
      </c>
      <c r="G1318" t="s">
        <v>4483</v>
      </c>
      <c r="H1318" t="s">
        <v>5390</v>
      </c>
      <c r="I1318" t="s">
        <v>6049</v>
      </c>
      <c r="J1318">
        <v>10034</v>
      </c>
      <c r="K1318" t="s">
        <v>6074</v>
      </c>
      <c r="L1318" t="s">
        <v>6074</v>
      </c>
      <c r="N1318" t="s">
        <v>6104</v>
      </c>
      <c r="O1318" t="s">
        <v>7306</v>
      </c>
      <c r="P1318" t="s">
        <v>7314</v>
      </c>
      <c r="Q1318" t="s">
        <v>7322</v>
      </c>
      <c r="R1318" t="s">
        <v>6076</v>
      </c>
      <c r="S1318" t="s">
        <v>7324</v>
      </c>
      <c r="U1318" t="s">
        <v>435</v>
      </c>
      <c r="V1318">
        <v>1208.23</v>
      </c>
      <c r="W1318" t="s">
        <v>7365</v>
      </c>
      <c r="X1318" t="s">
        <v>7367</v>
      </c>
      <c r="Y1318" t="s">
        <v>7386</v>
      </c>
      <c r="Z1318" t="s">
        <v>8430</v>
      </c>
      <c r="AC1318">
        <v>0</v>
      </c>
      <c r="AD1318" t="s">
        <v>12422</v>
      </c>
      <c r="AE1318" t="s">
        <v>6110</v>
      </c>
      <c r="AF1318">
        <v>12</v>
      </c>
      <c r="AG1318">
        <v>1</v>
      </c>
      <c r="AH1318">
        <v>0</v>
      </c>
      <c r="AI1318">
        <v>81.05</v>
      </c>
      <c r="AL1318" t="s">
        <v>12460</v>
      </c>
      <c r="AM1318">
        <v>9840</v>
      </c>
      <c r="AS1318">
        <v>1.6</v>
      </c>
      <c r="AT1318" t="s">
        <v>326</v>
      </c>
      <c r="AU1318" t="s">
        <v>13106</v>
      </c>
    </row>
    <row r="1319" spans="1:48">
      <c r="A1319" s="1">
        <f>HYPERLINK("https://cms.ls-nyc.org/matter/dynamic-profile/view/1872358","18-1872358")</f>
        <v>0</v>
      </c>
      <c r="B1319" t="s">
        <v>137</v>
      </c>
      <c r="C1319" t="s">
        <v>394</v>
      </c>
      <c r="D1319" t="s">
        <v>300</v>
      </c>
      <c r="E1319" t="s">
        <v>1333</v>
      </c>
      <c r="F1319" t="s">
        <v>2133</v>
      </c>
      <c r="G1319" t="s">
        <v>4484</v>
      </c>
      <c r="H1319">
        <v>8</v>
      </c>
      <c r="I1319" t="s">
        <v>6049</v>
      </c>
      <c r="J1319">
        <v>10029</v>
      </c>
      <c r="K1319" t="s">
        <v>6074</v>
      </c>
      <c r="L1319" t="s">
        <v>6074</v>
      </c>
      <c r="M1319" t="s">
        <v>6668</v>
      </c>
      <c r="N1319" t="s">
        <v>7276</v>
      </c>
      <c r="O1319" t="s">
        <v>7307</v>
      </c>
      <c r="P1319" t="s">
        <v>7315</v>
      </c>
      <c r="Q1319" t="s">
        <v>7322</v>
      </c>
      <c r="R1319" t="s">
        <v>6076</v>
      </c>
      <c r="S1319" t="s">
        <v>7324</v>
      </c>
      <c r="T1319" t="s">
        <v>7336</v>
      </c>
      <c r="U1319" t="s">
        <v>399</v>
      </c>
      <c r="V1319">
        <v>1250</v>
      </c>
      <c r="W1319" t="s">
        <v>7365</v>
      </c>
      <c r="X1319" t="s">
        <v>7366</v>
      </c>
      <c r="Y1319" t="s">
        <v>7387</v>
      </c>
      <c r="Z1319" t="s">
        <v>8431</v>
      </c>
      <c r="AB1319" t="s">
        <v>11183</v>
      </c>
      <c r="AC1319">
        <v>25</v>
      </c>
      <c r="AD1319" t="s">
        <v>6322</v>
      </c>
      <c r="AE1319" t="s">
        <v>12434</v>
      </c>
      <c r="AF1319">
        <v>16</v>
      </c>
      <c r="AG1319">
        <v>1</v>
      </c>
      <c r="AH1319">
        <v>0</v>
      </c>
      <c r="AI1319">
        <v>81.05</v>
      </c>
      <c r="AL1319" t="s">
        <v>12460</v>
      </c>
      <c r="AM1319">
        <v>9840</v>
      </c>
      <c r="AS1319">
        <v>2.65</v>
      </c>
      <c r="AT1319" t="s">
        <v>255</v>
      </c>
      <c r="AU1319" t="s">
        <v>13111</v>
      </c>
    </row>
    <row r="1320" spans="1:48">
      <c r="A1320" s="1">
        <f>HYPERLINK("https://cms.ls-nyc.org/matter/dynamic-profile/view/1890347","19-1890347")</f>
        <v>0</v>
      </c>
      <c r="B1320" t="s">
        <v>97</v>
      </c>
      <c r="C1320" t="s">
        <v>358</v>
      </c>
      <c r="E1320" t="s">
        <v>1334</v>
      </c>
      <c r="F1320" t="s">
        <v>2797</v>
      </c>
      <c r="G1320" t="s">
        <v>4485</v>
      </c>
      <c r="H1320" t="s">
        <v>5465</v>
      </c>
      <c r="I1320" t="s">
        <v>6047</v>
      </c>
      <c r="J1320">
        <v>10452</v>
      </c>
      <c r="K1320" t="s">
        <v>6074</v>
      </c>
      <c r="L1320" t="s">
        <v>6074</v>
      </c>
      <c r="N1320" t="s">
        <v>6104</v>
      </c>
      <c r="O1320" t="s">
        <v>7307</v>
      </c>
      <c r="Q1320" t="s">
        <v>7322</v>
      </c>
      <c r="R1320" t="s">
        <v>6076</v>
      </c>
      <c r="S1320" t="s">
        <v>7324</v>
      </c>
      <c r="U1320" t="s">
        <v>358</v>
      </c>
      <c r="V1320">
        <v>1743.88</v>
      </c>
      <c r="W1320" t="s">
        <v>7363</v>
      </c>
      <c r="X1320" t="s">
        <v>7376</v>
      </c>
      <c r="Z1320" t="s">
        <v>7473</v>
      </c>
      <c r="AC1320">
        <v>63</v>
      </c>
      <c r="AD1320" t="s">
        <v>12422</v>
      </c>
      <c r="AE1320" t="s">
        <v>12434</v>
      </c>
      <c r="AF1320">
        <v>28</v>
      </c>
      <c r="AG1320">
        <v>1</v>
      </c>
      <c r="AH1320">
        <v>0</v>
      </c>
      <c r="AI1320">
        <v>81.09</v>
      </c>
      <c r="AL1320" t="s">
        <v>12461</v>
      </c>
      <c r="AM1320">
        <v>10128</v>
      </c>
      <c r="AS1320">
        <v>1.2</v>
      </c>
      <c r="AT1320" t="s">
        <v>251</v>
      </c>
      <c r="AU1320" t="s">
        <v>97</v>
      </c>
    </row>
    <row r="1321" spans="1:48">
      <c r="A1321" s="1">
        <f>HYPERLINK("https://cms.ls-nyc.org/matter/dynamic-profile/view/1891702","19-1891702")</f>
        <v>0</v>
      </c>
      <c r="B1321" t="s">
        <v>72</v>
      </c>
      <c r="C1321" t="s">
        <v>364</v>
      </c>
      <c r="E1321" t="s">
        <v>636</v>
      </c>
      <c r="F1321" t="s">
        <v>2798</v>
      </c>
      <c r="G1321" t="s">
        <v>3700</v>
      </c>
      <c r="H1321" t="s">
        <v>5699</v>
      </c>
      <c r="I1321" t="s">
        <v>6043</v>
      </c>
      <c r="J1321">
        <v>11233</v>
      </c>
      <c r="K1321" t="s">
        <v>6074</v>
      </c>
      <c r="L1321" t="s">
        <v>6074</v>
      </c>
      <c r="M1321" t="s">
        <v>6110</v>
      </c>
      <c r="N1321" t="s">
        <v>7275</v>
      </c>
      <c r="O1321" t="s">
        <v>7307</v>
      </c>
      <c r="Q1321" t="s">
        <v>7322</v>
      </c>
      <c r="R1321" t="s">
        <v>6074</v>
      </c>
      <c r="S1321" t="s">
        <v>7324</v>
      </c>
      <c r="T1321" t="s">
        <v>7336</v>
      </c>
      <c r="U1321" t="s">
        <v>287</v>
      </c>
      <c r="V1321">
        <v>995.08</v>
      </c>
      <c r="W1321" t="s">
        <v>7362</v>
      </c>
      <c r="Z1321" t="s">
        <v>8029</v>
      </c>
      <c r="AA1321" t="s">
        <v>10136</v>
      </c>
      <c r="AB1321" t="s">
        <v>11184</v>
      </c>
      <c r="AC1321">
        <v>359</v>
      </c>
      <c r="AD1321" t="s">
        <v>12422</v>
      </c>
      <c r="AF1321">
        <v>16</v>
      </c>
      <c r="AG1321">
        <v>2</v>
      </c>
      <c r="AH1321">
        <v>0</v>
      </c>
      <c r="AI1321">
        <v>81.15000000000001</v>
      </c>
      <c r="AL1321" t="s">
        <v>12460</v>
      </c>
      <c r="AM1321">
        <v>13722.36</v>
      </c>
      <c r="AN1321" t="s">
        <v>12613</v>
      </c>
      <c r="AS1321">
        <v>99.59999999999999</v>
      </c>
      <c r="AT1321" t="s">
        <v>501</v>
      </c>
      <c r="AU1321" t="s">
        <v>218</v>
      </c>
    </row>
    <row r="1322" spans="1:48">
      <c r="A1322" s="1">
        <f>HYPERLINK("https://cms.ls-nyc.org/matter/dynamic-profile/view/1885148","18-1885148")</f>
        <v>0</v>
      </c>
      <c r="B1322" t="s">
        <v>125</v>
      </c>
      <c r="C1322" t="s">
        <v>435</v>
      </c>
      <c r="D1322" t="s">
        <v>420</v>
      </c>
      <c r="E1322" t="s">
        <v>1096</v>
      </c>
      <c r="F1322" t="s">
        <v>2360</v>
      </c>
      <c r="G1322" t="s">
        <v>4486</v>
      </c>
      <c r="H1322">
        <v>1</v>
      </c>
      <c r="I1322" t="s">
        <v>6049</v>
      </c>
      <c r="J1322">
        <v>10033</v>
      </c>
      <c r="K1322" t="s">
        <v>6074</v>
      </c>
      <c r="L1322" t="s">
        <v>6074</v>
      </c>
      <c r="N1322" t="s">
        <v>6104</v>
      </c>
      <c r="O1322" t="s">
        <v>7306</v>
      </c>
      <c r="P1322" t="s">
        <v>7314</v>
      </c>
      <c r="Q1322" t="s">
        <v>7322</v>
      </c>
      <c r="R1322" t="s">
        <v>6076</v>
      </c>
      <c r="S1322" t="s">
        <v>7324</v>
      </c>
      <c r="U1322" t="s">
        <v>435</v>
      </c>
      <c r="V1322">
        <v>600</v>
      </c>
      <c r="W1322" t="s">
        <v>7365</v>
      </c>
      <c r="X1322" t="s">
        <v>7367</v>
      </c>
      <c r="Y1322" t="s">
        <v>7386</v>
      </c>
      <c r="Z1322" t="s">
        <v>8432</v>
      </c>
      <c r="AB1322" t="s">
        <v>11185</v>
      </c>
      <c r="AC1322">
        <v>0</v>
      </c>
      <c r="AD1322" t="s">
        <v>12422</v>
      </c>
      <c r="AE1322" t="s">
        <v>6110</v>
      </c>
      <c r="AF1322">
        <v>10</v>
      </c>
      <c r="AG1322">
        <v>2</v>
      </c>
      <c r="AH1322">
        <v>2</v>
      </c>
      <c r="AI1322">
        <v>81.20999999999999</v>
      </c>
      <c r="AL1322" t="s">
        <v>12460</v>
      </c>
      <c r="AM1322">
        <v>20384</v>
      </c>
      <c r="AS1322">
        <v>0.7</v>
      </c>
      <c r="AT1322" t="s">
        <v>462</v>
      </c>
      <c r="AU1322" t="s">
        <v>13106</v>
      </c>
    </row>
    <row r="1323" spans="1:48">
      <c r="A1323" s="1">
        <f>HYPERLINK("https://cms.ls-nyc.org/matter/dynamic-profile/view/1876453","18-1876453")</f>
        <v>0</v>
      </c>
      <c r="B1323" t="s">
        <v>96</v>
      </c>
      <c r="C1323" t="s">
        <v>336</v>
      </c>
      <c r="E1323" t="s">
        <v>1335</v>
      </c>
      <c r="F1323" t="s">
        <v>2799</v>
      </c>
      <c r="G1323" t="s">
        <v>4152</v>
      </c>
      <c r="H1323" t="s">
        <v>5504</v>
      </c>
      <c r="I1323" t="s">
        <v>6047</v>
      </c>
      <c r="J1323">
        <v>10456</v>
      </c>
      <c r="K1323" t="s">
        <v>6074</v>
      </c>
      <c r="L1323" t="s">
        <v>6074</v>
      </c>
      <c r="M1323" t="s">
        <v>6623</v>
      </c>
      <c r="N1323" t="s">
        <v>7279</v>
      </c>
      <c r="O1323" t="s">
        <v>7311</v>
      </c>
      <c r="Q1323" t="s">
        <v>7322</v>
      </c>
      <c r="R1323" t="s">
        <v>6074</v>
      </c>
      <c r="S1323" t="s">
        <v>7324</v>
      </c>
      <c r="U1323" t="s">
        <v>502</v>
      </c>
      <c r="V1323">
        <v>1243.51</v>
      </c>
      <c r="W1323" t="s">
        <v>7363</v>
      </c>
      <c r="X1323" t="s">
        <v>7376</v>
      </c>
      <c r="Z1323" t="s">
        <v>8433</v>
      </c>
      <c r="AA1323" t="s">
        <v>10137</v>
      </c>
      <c r="AB1323" t="s">
        <v>11186</v>
      </c>
      <c r="AC1323">
        <v>61</v>
      </c>
      <c r="AD1323" t="s">
        <v>12422</v>
      </c>
      <c r="AE1323" t="s">
        <v>12434</v>
      </c>
      <c r="AF1323">
        <v>22</v>
      </c>
      <c r="AG1323">
        <v>1</v>
      </c>
      <c r="AH1323">
        <v>0</v>
      </c>
      <c r="AI1323">
        <v>81.25</v>
      </c>
      <c r="AL1323" t="s">
        <v>12460</v>
      </c>
      <c r="AM1323">
        <v>9864</v>
      </c>
      <c r="AS1323">
        <v>14.3</v>
      </c>
      <c r="AT1323" t="s">
        <v>387</v>
      </c>
      <c r="AU1323" t="s">
        <v>13095</v>
      </c>
    </row>
    <row r="1324" spans="1:48">
      <c r="A1324" s="1">
        <f>HYPERLINK("https://cms.ls-nyc.org/matter/dynamic-profile/view/1880585","18-1880585")</f>
        <v>0</v>
      </c>
      <c r="B1324" t="s">
        <v>96</v>
      </c>
      <c r="C1324" t="s">
        <v>360</v>
      </c>
      <c r="E1324" t="s">
        <v>1335</v>
      </c>
      <c r="F1324" t="s">
        <v>2799</v>
      </c>
      <c r="G1324" t="s">
        <v>4152</v>
      </c>
      <c r="H1324" t="s">
        <v>5504</v>
      </c>
      <c r="I1324" t="s">
        <v>6047</v>
      </c>
      <c r="J1324">
        <v>10456</v>
      </c>
      <c r="K1324" t="s">
        <v>6074</v>
      </c>
      <c r="L1324" t="s">
        <v>6074</v>
      </c>
      <c r="M1324" t="s">
        <v>6498</v>
      </c>
      <c r="N1324" t="s">
        <v>7279</v>
      </c>
      <c r="O1324" t="s">
        <v>7311</v>
      </c>
      <c r="Q1324" t="s">
        <v>7322</v>
      </c>
      <c r="R1324" t="s">
        <v>6074</v>
      </c>
      <c r="S1324" t="s">
        <v>7324</v>
      </c>
      <c r="U1324" t="s">
        <v>424</v>
      </c>
      <c r="V1324">
        <v>1243.51</v>
      </c>
      <c r="W1324" t="s">
        <v>7363</v>
      </c>
      <c r="X1324" t="s">
        <v>7376</v>
      </c>
      <c r="Z1324" t="s">
        <v>8433</v>
      </c>
      <c r="AA1324" t="s">
        <v>10137</v>
      </c>
      <c r="AB1324" t="s">
        <v>11186</v>
      </c>
      <c r="AC1324">
        <v>61</v>
      </c>
      <c r="AD1324" t="s">
        <v>12422</v>
      </c>
      <c r="AE1324" t="s">
        <v>12434</v>
      </c>
      <c r="AF1324">
        <v>22</v>
      </c>
      <c r="AG1324">
        <v>1</v>
      </c>
      <c r="AH1324">
        <v>0</v>
      </c>
      <c r="AI1324">
        <v>81.25</v>
      </c>
      <c r="AL1324" t="s">
        <v>12460</v>
      </c>
      <c r="AM1324">
        <v>9864</v>
      </c>
      <c r="AS1324">
        <v>9.199999999999999</v>
      </c>
      <c r="AT1324" t="s">
        <v>456</v>
      </c>
      <c r="AU1324" t="s">
        <v>13092</v>
      </c>
    </row>
    <row r="1325" spans="1:48">
      <c r="A1325" s="1">
        <f>HYPERLINK("https://cms.ls-nyc.org/matter/dynamic-profile/view/1881884","18-1881884")</f>
        <v>0</v>
      </c>
      <c r="B1325" t="s">
        <v>69</v>
      </c>
      <c r="C1325" t="s">
        <v>258</v>
      </c>
      <c r="D1325" t="s">
        <v>375</v>
      </c>
      <c r="E1325" t="s">
        <v>1336</v>
      </c>
      <c r="F1325" t="s">
        <v>2800</v>
      </c>
      <c r="G1325" t="s">
        <v>4487</v>
      </c>
      <c r="H1325" t="s">
        <v>5436</v>
      </c>
      <c r="I1325" t="s">
        <v>6043</v>
      </c>
      <c r="J1325">
        <v>11225</v>
      </c>
      <c r="K1325" t="s">
        <v>6075</v>
      </c>
      <c r="L1325" t="s">
        <v>6075</v>
      </c>
      <c r="P1325" t="s">
        <v>7314</v>
      </c>
      <c r="Q1325" t="s">
        <v>7322</v>
      </c>
      <c r="S1325" t="s">
        <v>7324</v>
      </c>
      <c r="U1325" t="s">
        <v>258</v>
      </c>
      <c r="V1325">
        <v>0</v>
      </c>
      <c r="W1325" t="s">
        <v>7362</v>
      </c>
      <c r="Y1325" t="s">
        <v>7386</v>
      </c>
      <c r="Z1325" t="s">
        <v>7859</v>
      </c>
      <c r="AB1325" t="s">
        <v>11187</v>
      </c>
      <c r="AC1325">
        <v>0</v>
      </c>
      <c r="AF1325">
        <v>0</v>
      </c>
      <c r="AG1325">
        <v>1</v>
      </c>
      <c r="AH1325">
        <v>3</v>
      </c>
      <c r="AI1325">
        <v>81.27</v>
      </c>
      <c r="AL1325" t="s">
        <v>12460</v>
      </c>
      <c r="AM1325">
        <v>20400</v>
      </c>
      <c r="AS1325">
        <v>0.5</v>
      </c>
      <c r="AT1325" t="s">
        <v>375</v>
      </c>
      <c r="AU1325" t="s">
        <v>69</v>
      </c>
    </row>
    <row r="1326" spans="1:48">
      <c r="A1326" s="1">
        <f>HYPERLINK("https://cms.ls-nyc.org/matter/dynamic-profile/view/1883370","18-1883370")</f>
        <v>0</v>
      </c>
      <c r="B1326" t="s">
        <v>97</v>
      </c>
      <c r="C1326" t="s">
        <v>403</v>
      </c>
      <c r="D1326" t="s">
        <v>443</v>
      </c>
      <c r="E1326" t="s">
        <v>616</v>
      </c>
      <c r="F1326" t="s">
        <v>2801</v>
      </c>
      <c r="G1326" t="s">
        <v>4488</v>
      </c>
      <c r="H1326" t="s">
        <v>5700</v>
      </c>
      <c r="I1326" t="s">
        <v>6047</v>
      </c>
      <c r="J1326">
        <v>10467</v>
      </c>
      <c r="K1326" t="s">
        <v>6074</v>
      </c>
      <c r="L1326" t="s">
        <v>6074</v>
      </c>
      <c r="N1326" t="s">
        <v>6104</v>
      </c>
      <c r="O1326" t="s">
        <v>7307</v>
      </c>
      <c r="P1326" t="s">
        <v>7315</v>
      </c>
      <c r="Q1326" t="s">
        <v>7322</v>
      </c>
      <c r="R1326" t="s">
        <v>6076</v>
      </c>
      <c r="S1326" t="s">
        <v>7324</v>
      </c>
      <c r="U1326" t="s">
        <v>403</v>
      </c>
      <c r="V1326">
        <v>1246</v>
      </c>
      <c r="W1326" t="s">
        <v>7363</v>
      </c>
      <c r="X1326" t="s">
        <v>7376</v>
      </c>
      <c r="Y1326" t="s">
        <v>7387</v>
      </c>
      <c r="Z1326" t="s">
        <v>8434</v>
      </c>
      <c r="AB1326" t="s">
        <v>11188</v>
      </c>
      <c r="AC1326">
        <v>1</v>
      </c>
      <c r="AD1326" t="s">
        <v>6322</v>
      </c>
      <c r="AE1326" t="s">
        <v>6110</v>
      </c>
      <c r="AF1326">
        <v>1</v>
      </c>
      <c r="AG1326">
        <v>2</v>
      </c>
      <c r="AH1326">
        <v>0</v>
      </c>
      <c r="AI1326">
        <v>81.34999999999999</v>
      </c>
      <c r="AL1326" t="s">
        <v>12460</v>
      </c>
      <c r="AM1326">
        <v>13390.8</v>
      </c>
      <c r="AS1326">
        <v>2.7</v>
      </c>
      <c r="AT1326" t="s">
        <v>443</v>
      </c>
      <c r="AU1326" t="s">
        <v>97</v>
      </c>
    </row>
    <row r="1327" spans="1:48">
      <c r="A1327" s="1">
        <f>HYPERLINK("https://cms.ls-nyc.org/matter/dynamic-profile/view/1882312","18-1882312")</f>
        <v>0</v>
      </c>
      <c r="B1327" t="s">
        <v>81</v>
      </c>
      <c r="C1327" t="s">
        <v>403</v>
      </c>
      <c r="E1327" t="s">
        <v>860</v>
      </c>
      <c r="F1327" t="s">
        <v>2565</v>
      </c>
      <c r="G1327" t="s">
        <v>4247</v>
      </c>
      <c r="H1327" t="s">
        <v>5387</v>
      </c>
      <c r="I1327" t="s">
        <v>6043</v>
      </c>
      <c r="J1327">
        <v>11220</v>
      </c>
      <c r="K1327" t="s">
        <v>6074</v>
      </c>
      <c r="L1327" t="s">
        <v>6074</v>
      </c>
      <c r="N1327" t="s">
        <v>7279</v>
      </c>
      <c r="O1327" t="s">
        <v>7311</v>
      </c>
      <c r="Q1327" t="s">
        <v>7322</v>
      </c>
      <c r="R1327" t="s">
        <v>6074</v>
      </c>
      <c r="S1327" t="s">
        <v>7324</v>
      </c>
      <c r="U1327" t="s">
        <v>403</v>
      </c>
      <c r="V1327">
        <v>0</v>
      </c>
      <c r="W1327" t="s">
        <v>7362</v>
      </c>
      <c r="Z1327" t="s">
        <v>8435</v>
      </c>
      <c r="AB1327" t="s">
        <v>11189</v>
      </c>
      <c r="AC1327">
        <v>28</v>
      </c>
      <c r="AF1327">
        <v>0</v>
      </c>
      <c r="AG1327">
        <v>1</v>
      </c>
      <c r="AH1327">
        <v>0</v>
      </c>
      <c r="AI1327">
        <v>81.45</v>
      </c>
      <c r="AL1327" t="s">
        <v>12461</v>
      </c>
      <c r="AM1327">
        <v>9888</v>
      </c>
      <c r="AS1327">
        <v>1.2</v>
      </c>
      <c r="AT1327" t="s">
        <v>403</v>
      </c>
      <c r="AU1327" t="s">
        <v>13129</v>
      </c>
    </row>
    <row r="1328" spans="1:48">
      <c r="A1328" s="1">
        <f>HYPERLINK("https://cms.ls-nyc.org/matter/dynamic-profile/view/1888883","19-1888883")</f>
        <v>0</v>
      </c>
      <c r="B1328" t="s">
        <v>122</v>
      </c>
      <c r="C1328" t="s">
        <v>456</v>
      </c>
      <c r="E1328" t="s">
        <v>1337</v>
      </c>
      <c r="F1328" t="s">
        <v>2409</v>
      </c>
      <c r="G1328" t="s">
        <v>4489</v>
      </c>
      <c r="H1328" t="s">
        <v>5347</v>
      </c>
      <c r="I1328" t="s">
        <v>6048</v>
      </c>
      <c r="J1328">
        <v>10304</v>
      </c>
      <c r="K1328" t="s">
        <v>6074</v>
      </c>
      <c r="L1328" t="s">
        <v>6074</v>
      </c>
      <c r="M1328" t="s">
        <v>6110</v>
      </c>
      <c r="N1328" t="s">
        <v>7274</v>
      </c>
      <c r="O1328" t="s">
        <v>7309</v>
      </c>
      <c r="Q1328" t="s">
        <v>7322</v>
      </c>
      <c r="R1328" t="s">
        <v>6076</v>
      </c>
      <c r="S1328" t="s">
        <v>7324</v>
      </c>
      <c r="T1328" t="s">
        <v>7336</v>
      </c>
      <c r="U1328" t="s">
        <v>278</v>
      </c>
      <c r="V1328">
        <v>1060</v>
      </c>
      <c r="W1328" t="s">
        <v>7364</v>
      </c>
      <c r="Z1328" t="s">
        <v>8436</v>
      </c>
      <c r="AB1328" t="s">
        <v>11190</v>
      </c>
      <c r="AC1328">
        <v>2</v>
      </c>
      <c r="AD1328" t="s">
        <v>12421</v>
      </c>
      <c r="AE1328" t="s">
        <v>12440</v>
      </c>
      <c r="AF1328">
        <v>4</v>
      </c>
      <c r="AG1328">
        <v>1</v>
      </c>
      <c r="AH1328">
        <v>0</v>
      </c>
      <c r="AI1328">
        <v>81.47</v>
      </c>
      <c r="AL1328" t="s">
        <v>12460</v>
      </c>
      <c r="AM1328">
        <v>10176</v>
      </c>
      <c r="AS1328">
        <v>8.4</v>
      </c>
      <c r="AT1328" t="s">
        <v>294</v>
      </c>
      <c r="AU1328" t="s">
        <v>13088</v>
      </c>
    </row>
    <row r="1329" spans="1:48">
      <c r="A1329" s="1">
        <f>HYPERLINK("https://cms.ls-nyc.org/matter/dynamic-profile/view/1885402","18-1885402")</f>
        <v>0</v>
      </c>
      <c r="B1329" t="s">
        <v>115</v>
      </c>
      <c r="C1329" t="s">
        <v>250</v>
      </c>
      <c r="E1329" t="s">
        <v>880</v>
      </c>
      <c r="F1329" t="s">
        <v>2059</v>
      </c>
      <c r="G1329" t="s">
        <v>4132</v>
      </c>
      <c r="H1329" t="s">
        <v>5393</v>
      </c>
      <c r="I1329" t="s">
        <v>6047</v>
      </c>
      <c r="J1329">
        <v>10463</v>
      </c>
      <c r="K1329" t="s">
        <v>6074</v>
      </c>
      <c r="L1329" t="s">
        <v>6074</v>
      </c>
      <c r="M1329" t="s">
        <v>6430</v>
      </c>
      <c r="N1329" t="s">
        <v>7273</v>
      </c>
      <c r="O1329" t="s">
        <v>7308</v>
      </c>
      <c r="Q1329" t="s">
        <v>7322</v>
      </c>
      <c r="R1329" t="s">
        <v>6074</v>
      </c>
      <c r="S1329" t="s">
        <v>7324</v>
      </c>
      <c r="U1329" t="s">
        <v>472</v>
      </c>
      <c r="V1329">
        <v>644</v>
      </c>
      <c r="W1329" t="s">
        <v>7363</v>
      </c>
      <c r="X1329" t="s">
        <v>7376</v>
      </c>
      <c r="Z1329" t="s">
        <v>8437</v>
      </c>
      <c r="AB1329" t="s">
        <v>11191</v>
      </c>
      <c r="AC1329">
        <v>55</v>
      </c>
      <c r="AD1329" t="s">
        <v>12425</v>
      </c>
      <c r="AE1329" t="s">
        <v>12441</v>
      </c>
      <c r="AF1329">
        <v>23</v>
      </c>
      <c r="AG1329">
        <v>1</v>
      </c>
      <c r="AH1329">
        <v>0</v>
      </c>
      <c r="AI1329">
        <v>81.55</v>
      </c>
      <c r="AL1329" t="s">
        <v>12461</v>
      </c>
      <c r="AM1329">
        <v>9900</v>
      </c>
      <c r="AS1329">
        <v>0</v>
      </c>
      <c r="AU1329" t="s">
        <v>13099</v>
      </c>
    </row>
    <row r="1330" spans="1:48">
      <c r="A1330" s="1">
        <f>HYPERLINK("https://cms.ls-nyc.org/matter/dynamic-profile/view/1887528","19-1887528")</f>
        <v>0</v>
      </c>
      <c r="B1330" t="s">
        <v>96</v>
      </c>
      <c r="C1330" t="s">
        <v>340</v>
      </c>
      <c r="E1330" t="s">
        <v>871</v>
      </c>
      <c r="F1330" t="s">
        <v>1977</v>
      </c>
      <c r="G1330" t="s">
        <v>3791</v>
      </c>
      <c r="H1330">
        <v>53</v>
      </c>
      <c r="I1330" t="s">
        <v>6047</v>
      </c>
      <c r="J1330">
        <v>10453</v>
      </c>
      <c r="K1330" t="s">
        <v>6074</v>
      </c>
      <c r="L1330" t="s">
        <v>6074</v>
      </c>
      <c r="M1330" t="s">
        <v>6192</v>
      </c>
      <c r="N1330" t="s">
        <v>7279</v>
      </c>
      <c r="O1330" t="s">
        <v>7311</v>
      </c>
      <c r="Q1330" t="s">
        <v>7322</v>
      </c>
      <c r="R1330" t="s">
        <v>6074</v>
      </c>
      <c r="S1330" t="s">
        <v>7324</v>
      </c>
      <c r="U1330" t="s">
        <v>457</v>
      </c>
      <c r="V1330">
        <v>761.16</v>
      </c>
      <c r="W1330" t="s">
        <v>7363</v>
      </c>
      <c r="X1330" t="s">
        <v>7375</v>
      </c>
      <c r="Z1330" t="s">
        <v>8438</v>
      </c>
      <c r="AB1330" t="s">
        <v>11192</v>
      </c>
      <c r="AC1330">
        <v>46</v>
      </c>
      <c r="AD1330" t="s">
        <v>12425</v>
      </c>
      <c r="AE1330" t="s">
        <v>12441</v>
      </c>
      <c r="AF1330">
        <v>38</v>
      </c>
      <c r="AG1330">
        <v>1</v>
      </c>
      <c r="AH1330">
        <v>0</v>
      </c>
      <c r="AI1330">
        <v>81.55</v>
      </c>
      <c r="AM1330">
        <v>9900</v>
      </c>
      <c r="AS1330">
        <v>0</v>
      </c>
      <c r="AU1330" t="s">
        <v>13099</v>
      </c>
    </row>
    <row r="1331" spans="1:48">
      <c r="A1331" s="1">
        <f>HYPERLINK("https://cms.ls-nyc.org/matter/dynamic-profile/view/1882154","18-1882154")</f>
        <v>0</v>
      </c>
      <c r="B1331" t="s">
        <v>89</v>
      </c>
      <c r="C1331" t="s">
        <v>442</v>
      </c>
      <c r="E1331" t="s">
        <v>1320</v>
      </c>
      <c r="F1331" t="s">
        <v>2779</v>
      </c>
      <c r="G1331" t="s">
        <v>4439</v>
      </c>
      <c r="H1331" t="s">
        <v>5507</v>
      </c>
      <c r="I1331" t="s">
        <v>6043</v>
      </c>
      <c r="J1331">
        <v>11213</v>
      </c>
      <c r="K1331" t="s">
        <v>6074</v>
      </c>
      <c r="L1331" t="s">
        <v>6074</v>
      </c>
      <c r="N1331" t="s">
        <v>7273</v>
      </c>
      <c r="O1331" t="s">
        <v>7308</v>
      </c>
      <c r="Q1331" t="s">
        <v>7322</v>
      </c>
      <c r="R1331" t="s">
        <v>6074</v>
      </c>
      <c r="S1331" t="s">
        <v>7324</v>
      </c>
      <c r="T1331" t="s">
        <v>7336</v>
      </c>
      <c r="U1331" t="s">
        <v>7350</v>
      </c>
      <c r="V1331">
        <v>606</v>
      </c>
      <c r="W1331" t="s">
        <v>7362</v>
      </c>
      <c r="X1331" t="s">
        <v>7376</v>
      </c>
      <c r="Z1331" t="s">
        <v>8402</v>
      </c>
      <c r="AC1331">
        <v>35</v>
      </c>
      <c r="AD1331" t="s">
        <v>12422</v>
      </c>
      <c r="AE1331" t="s">
        <v>6110</v>
      </c>
      <c r="AF1331">
        <v>5</v>
      </c>
      <c r="AG1331">
        <v>2</v>
      </c>
      <c r="AH1331">
        <v>3</v>
      </c>
      <c r="AI1331">
        <v>81.58</v>
      </c>
      <c r="AK1331" t="s">
        <v>12458</v>
      </c>
      <c r="AL1331" t="s">
        <v>12460</v>
      </c>
      <c r="AM1331">
        <v>24000</v>
      </c>
      <c r="AS1331">
        <v>0.1</v>
      </c>
      <c r="AT1331" t="s">
        <v>260</v>
      </c>
      <c r="AU1331" t="s">
        <v>218</v>
      </c>
      <c r="AV1331" t="s">
        <v>13145</v>
      </c>
    </row>
    <row r="1332" spans="1:48">
      <c r="A1332" s="1">
        <f>HYPERLINK("https://cms.ls-nyc.org/matter/dynamic-profile/view/1873452","18-1873452")</f>
        <v>0</v>
      </c>
      <c r="B1332" t="s">
        <v>77</v>
      </c>
      <c r="C1332" t="s">
        <v>495</v>
      </c>
      <c r="E1332" t="s">
        <v>1338</v>
      </c>
      <c r="F1332" t="s">
        <v>2802</v>
      </c>
      <c r="G1332" t="s">
        <v>4490</v>
      </c>
      <c r="H1332" t="s">
        <v>5453</v>
      </c>
      <c r="I1332" t="s">
        <v>6043</v>
      </c>
      <c r="J1332">
        <v>11208</v>
      </c>
      <c r="K1332" t="s">
        <v>6074</v>
      </c>
      <c r="L1332" t="s">
        <v>6074</v>
      </c>
      <c r="M1332" t="s">
        <v>6669</v>
      </c>
      <c r="N1332" t="s">
        <v>7276</v>
      </c>
      <c r="O1332" t="s">
        <v>7308</v>
      </c>
      <c r="Q1332" t="s">
        <v>7322</v>
      </c>
      <c r="S1332" t="s">
        <v>7324</v>
      </c>
      <c r="U1332" t="s">
        <v>231</v>
      </c>
      <c r="V1332">
        <v>1020</v>
      </c>
      <c r="W1332" t="s">
        <v>7362</v>
      </c>
      <c r="X1332" t="s">
        <v>7379</v>
      </c>
      <c r="Z1332" t="s">
        <v>8439</v>
      </c>
      <c r="AA1332" t="s">
        <v>10138</v>
      </c>
      <c r="AB1332" t="s">
        <v>11193</v>
      </c>
      <c r="AC1332">
        <v>20</v>
      </c>
      <c r="AE1332" t="s">
        <v>6110</v>
      </c>
      <c r="AF1332">
        <v>12</v>
      </c>
      <c r="AG1332">
        <v>4</v>
      </c>
      <c r="AH1332">
        <v>1</v>
      </c>
      <c r="AI1332">
        <v>81.58</v>
      </c>
      <c r="AL1332" t="s">
        <v>12460</v>
      </c>
      <c r="AM1332">
        <v>24000</v>
      </c>
      <c r="AS1332">
        <v>24.35</v>
      </c>
      <c r="AT1332" t="s">
        <v>332</v>
      </c>
      <c r="AU1332" t="s">
        <v>13085</v>
      </c>
    </row>
    <row r="1333" spans="1:48">
      <c r="A1333" s="1">
        <f>HYPERLINK("https://cms.ls-nyc.org/matter/dynamic-profile/view/1885922","18-1885922")</f>
        <v>0</v>
      </c>
      <c r="B1333" t="s">
        <v>102</v>
      </c>
      <c r="C1333" t="s">
        <v>412</v>
      </c>
      <c r="E1333" t="s">
        <v>800</v>
      </c>
      <c r="F1333" t="s">
        <v>2803</v>
      </c>
      <c r="G1333" t="s">
        <v>3779</v>
      </c>
      <c r="H1333" t="s">
        <v>5701</v>
      </c>
      <c r="I1333" t="s">
        <v>6047</v>
      </c>
      <c r="J1333">
        <v>10460</v>
      </c>
      <c r="K1333" t="s">
        <v>6074</v>
      </c>
      <c r="L1333" t="s">
        <v>6074</v>
      </c>
      <c r="M1333" t="s">
        <v>6182</v>
      </c>
      <c r="N1333" t="s">
        <v>7273</v>
      </c>
      <c r="O1333" t="s">
        <v>7308</v>
      </c>
      <c r="Q1333" t="s">
        <v>7322</v>
      </c>
      <c r="R1333" t="s">
        <v>6074</v>
      </c>
      <c r="S1333" t="s">
        <v>7324</v>
      </c>
      <c r="U1333" t="s">
        <v>457</v>
      </c>
      <c r="V1333">
        <v>238</v>
      </c>
      <c r="W1333" t="s">
        <v>7363</v>
      </c>
      <c r="X1333" t="s">
        <v>7376</v>
      </c>
      <c r="Z1333" t="s">
        <v>8440</v>
      </c>
      <c r="AA1333" t="s">
        <v>10139</v>
      </c>
      <c r="AB1333" t="s">
        <v>11194</v>
      </c>
      <c r="AC1333">
        <v>169</v>
      </c>
      <c r="AD1333" t="s">
        <v>12426</v>
      </c>
      <c r="AE1333" t="s">
        <v>12434</v>
      </c>
      <c r="AF1333">
        <v>24</v>
      </c>
      <c r="AG1333">
        <v>1</v>
      </c>
      <c r="AH1333">
        <v>0</v>
      </c>
      <c r="AI1333">
        <v>81.65000000000001</v>
      </c>
      <c r="AL1333" t="s">
        <v>12460</v>
      </c>
      <c r="AM1333">
        <v>9912</v>
      </c>
      <c r="AS1333">
        <v>0.5</v>
      </c>
      <c r="AT1333" t="s">
        <v>358</v>
      </c>
      <c r="AU1333" t="s">
        <v>13113</v>
      </c>
    </row>
    <row r="1334" spans="1:48">
      <c r="A1334" s="1">
        <f>HYPERLINK("https://cms.ls-nyc.org/matter/dynamic-profile/view/1893447","19-1893447")</f>
        <v>0</v>
      </c>
      <c r="B1334" t="s">
        <v>171</v>
      </c>
      <c r="C1334" t="s">
        <v>313</v>
      </c>
      <c r="E1334" t="s">
        <v>636</v>
      </c>
      <c r="F1334" t="s">
        <v>2287</v>
      </c>
      <c r="G1334" t="s">
        <v>4491</v>
      </c>
      <c r="H1334" t="s">
        <v>5702</v>
      </c>
      <c r="I1334" t="s">
        <v>6043</v>
      </c>
      <c r="J1334">
        <v>11208</v>
      </c>
      <c r="K1334" t="s">
        <v>6074</v>
      </c>
      <c r="L1334" t="s">
        <v>6074</v>
      </c>
      <c r="N1334" t="s">
        <v>7275</v>
      </c>
      <c r="O1334" t="s">
        <v>7307</v>
      </c>
      <c r="Q1334" t="s">
        <v>7322</v>
      </c>
      <c r="R1334" t="s">
        <v>6074</v>
      </c>
      <c r="S1334" t="s">
        <v>7324</v>
      </c>
      <c r="U1334" t="s">
        <v>416</v>
      </c>
      <c r="V1334">
        <v>400</v>
      </c>
      <c r="W1334" t="s">
        <v>7362</v>
      </c>
      <c r="X1334" t="s">
        <v>7305</v>
      </c>
      <c r="Z1334" t="s">
        <v>8441</v>
      </c>
      <c r="AB1334" t="s">
        <v>11195</v>
      </c>
      <c r="AC1334">
        <v>9</v>
      </c>
      <c r="AE1334" t="s">
        <v>6110</v>
      </c>
      <c r="AF1334">
        <v>0</v>
      </c>
      <c r="AG1334">
        <v>1</v>
      </c>
      <c r="AH1334">
        <v>0</v>
      </c>
      <c r="AI1334">
        <v>81.67</v>
      </c>
      <c r="AL1334" t="s">
        <v>12460</v>
      </c>
      <c r="AM1334">
        <v>10200</v>
      </c>
      <c r="AS1334">
        <v>4.8</v>
      </c>
      <c r="AT1334" t="s">
        <v>381</v>
      </c>
      <c r="AU1334" t="s">
        <v>180</v>
      </c>
    </row>
    <row r="1335" spans="1:48">
      <c r="A1335" s="1">
        <f>HYPERLINK("https://cms.ls-nyc.org/matter/dynamic-profile/view/1893451","19-1893451")</f>
        <v>0</v>
      </c>
      <c r="B1335" t="s">
        <v>171</v>
      </c>
      <c r="C1335" t="s">
        <v>313</v>
      </c>
      <c r="E1335" t="s">
        <v>946</v>
      </c>
      <c r="F1335" t="s">
        <v>2083</v>
      </c>
      <c r="G1335" t="s">
        <v>4492</v>
      </c>
      <c r="I1335" t="s">
        <v>6043</v>
      </c>
      <c r="J1335">
        <v>11208</v>
      </c>
      <c r="K1335" t="s">
        <v>6074</v>
      </c>
      <c r="L1335" t="s">
        <v>6074</v>
      </c>
      <c r="N1335" t="s">
        <v>7275</v>
      </c>
      <c r="O1335" t="s">
        <v>7307</v>
      </c>
      <c r="Q1335" t="s">
        <v>7322</v>
      </c>
      <c r="R1335" t="s">
        <v>6074</v>
      </c>
      <c r="S1335" t="s">
        <v>7324</v>
      </c>
      <c r="U1335" t="s">
        <v>416</v>
      </c>
      <c r="V1335">
        <v>0</v>
      </c>
      <c r="W1335" t="s">
        <v>7362</v>
      </c>
      <c r="Z1335" t="s">
        <v>8442</v>
      </c>
      <c r="AC1335">
        <v>9</v>
      </c>
      <c r="AF1335">
        <v>0</v>
      </c>
      <c r="AG1335">
        <v>1</v>
      </c>
      <c r="AH1335">
        <v>0</v>
      </c>
      <c r="AI1335">
        <v>81.67</v>
      </c>
      <c r="AL1335" t="s">
        <v>12460</v>
      </c>
      <c r="AM1335">
        <v>10200</v>
      </c>
      <c r="AS1335">
        <v>0</v>
      </c>
      <c r="AU1335" t="s">
        <v>180</v>
      </c>
    </row>
    <row r="1336" spans="1:48">
      <c r="A1336" s="1">
        <f>HYPERLINK("https://cms.ls-nyc.org/matter/dynamic-profile/view/1891409","19-1891409")</f>
        <v>0</v>
      </c>
      <c r="B1336" t="s">
        <v>96</v>
      </c>
      <c r="C1336" t="s">
        <v>366</v>
      </c>
      <c r="E1336" t="s">
        <v>1339</v>
      </c>
      <c r="F1336" t="s">
        <v>2804</v>
      </c>
      <c r="G1336" t="s">
        <v>3792</v>
      </c>
      <c r="H1336" t="s">
        <v>5698</v>
      </c>
      <c r="I1336" t="s">
        <v>6047</v>
      </c>
      <c r="J1336">
        <v>10453</v>
      </c>
      <c r="K1336" t="s">
        <v>6074</v>
      </c>
      <c r="L1336" t="s">
        <v>6074</v>
      </c>
      <c r="M1336" t="s">
        <v>6259</v>
      </c>
      <c r="N1336" t="s">
        <v>7273</v>
      </c>
      <c r="O1336" t="s">
        <v>7308</v>
      </c>
      <c r="Q1336" t="s">
        <v>7322</v>
      </c>
      <c r="R1336" t="s">
        <v>6074</v>
      </c>
      <c r="S1336" t="s">
        <v>7324</v>
      </c>
      <c r="U1336" t="s">
        <v>457</v>
      </c>
      <c r="V1336">
        <v>97</v>
      </c>
      <c r="W1336" t="s">
        <v>7363</v>
      </c>
      <c r="X1336" t="s">
        <v>7376</v>
      </c>
      <c r="Z1336" t="s">
        <v>8443</v>
      </c>
      <c r="AB1336" t="s">
        <v>11196</v>
      </c>
      <c r="AC1336">
        <v>170</v>
      </c>
      <c r="AD1336" t="s">
        <v>12422</v>
      </c>
      <c r="AE1336" t="s">
        <v>12434</v>
      </c>
      <c r="AF1336">
        <v>35</v>
      </c>
      <c r="AG1336">
        <v>1</v>
      </c>
      <c r="AH1336">
        <v>0</v>
      </c>
      <c r="AI1336">
        <v>81.67</v>
      </c>
      <c r="AL1336" t="s">
        <v>12461</v>
      </c>
      <c r="AM1336">
        <v>10200</v>
      </c>
      <c r="AS1336">
        <v>0</v>
      </c>
      <c r="AU1336" t="s">
        <v>13095</v>
      </c>
    </row>
    <row r="1337" spans="1:48">
      <c r="A1337" s="1">
        <f>HYPERLINK("https://cms.ls-nyc.org/matter/dynamic-profile/view/1898061","19-1898061")</f>
        <v>0</v>
      </c>
      <c r="B1337" t="s">
        <v>52</v>
      </c>
      <c r="C1337" t="s">
        <v>418</v>
      </c>
      <c r="E1337" t="s">
        <v>901</v>
      </c>
      <c r="F1337" t="s">
        <v>2805</v>
      </c>
      <c r="G1337" t="s">
        <v>4493</v>
      </c>
      <c r="I1337" t="s">
        <v>6038</v>
      </c>
      <c r="J1337">
        <v>11369</v>
      </c>
      <c r="K1337" t="s">
        <v>6074</v>
      </c>
      <c r="L1337" t="s">
        <v>6074</v>
      </c>
      <c r="M1337" t="s">
        <v>6670</v>
      </c>
      <c r="N1337" t="s">
        <v>7274</v>
      </c>
      <c r="O1337" t="s">
        <v>7308</v>
      </c>
      <c r="Q1337" t="s">
        <v>7322</v>
      </c>
      <c r="R1337" t="s">
        <v>6076</v>
      </c>
      <c r="S1337" t="s">
        <v>7324</v>
      </c>
      <c r="T1337" t="s">
        <v>7336</v>
      </c>
      <c r="U1337" t="s">
        <v>418</v>
      </c>
      <c r="V1337">
        <v>800</v>
      </c>
      <c r="W1337" t="s">
        <v>7361</v>
      </c>
      <c r="X1337" t="s">
        <v>7366</v>
      </c>
      <c r="Z1337" t="s">
        <v>8444</v>
      </c>
      <c r="AB1337" t="s">
        <v>11197</v>
      </c>
      <c r="AC1337">
        <v>0</v>
      </c>
      <c r="AF1337">
        <v>10</v>
      </c>
      <c r="AG1337">
        <v>1</v>
      </c>
      <c r="AH1337">
        <v>0</v>
      </c>
      <c r="AI1337">
        <v>81.76000000000001</v>
      </c>
      <c r="AL1337" t="s">
        <v>12461</v>
      </c>
      <c r="AM1337">
        <v>10212</v>
      </c>
      <c r="AS1337">
        <v>8.800000000000001</v>
      </c>
      <c r="AT1337" t="s">
        <v>564</v>
      </c>
      <c r="AU1337" t="s">
        <v>13078</v>
      </c>
    </row>
    <row r="1338" spans="1:48">
      <c r="A1338" s="1">
        <f>HYPERLINK("https://cms.ls-nyc.org/matter/dynamic-profile/view/1893170","19-1893170")</f>
        <v>0</v>
      </c>
      <c r="B1338" t="s">
        <v>132</v>
      </c>
      <c r="C1338" t="s">
        <v>293</v>
      </c>
      <c r="E1338" t="s">
        <v>1308</v>
      </c>
      <c r="F1338" t="s">
        <v>2806</v>
      </c>
      <c r="G1338" t="s">
        <v>4091</v>
      </c>
      <c r="H1338" t="s">
        <v>5436</v>
      </c>
      <c r="I1338" t="s">
        <v>6049</v>
      </c>
      <c r="J1338">
        <v>10033</v>
      </c>
      <c r="K1338" t="s">
        <v>6074</v>
      </c>
      <c r="L1338" t="s">
        <v>6074</v>
      </c>
      <c r="O1338" t="s">
        <v>7308</v>
      </c>
      <c r="Q1338" t="s">
        <v>7322</v>
      </c>
      <c r="R1338" t="s">
        <v>6076</v>
      </c>
      <c r="S1338" t="s">
        <v>7324</v>
      </c>
      <c r="U1338" t="s">
        <v>293</v>
      </c>
      <c r="V1338">
        <v>798</v>
      </c>
      <c r="W1338" t="s">
        <v>7365</v>
      </c>
      <c r="X1338" t="s">
        <v>7367</v>
      </c>
      <c r="Z1338" t="s">
        <v>8445</v>
      </c>
      <c r="AB1338" t="s">
        <v>11198</v>
      </c>
      <c r="AC1338">
        <v>41</v>
      </c>
      <c r="AD1338" t="s">
        <v>12422</v>
      </c>
      <c r="AE1338" t="s">
        <v>6110</v>
      </c>
      <c r="AF1338">
        <v>43</v>
      </c>
      <c r="AG1338">
        <v>1</v>
      </c>
      <c r="AH1338">
        <v>0</v>
      </c>
      <c r="AI1338">
        <v>81.76000000000001</v>
      </c>
      <c r="AL1338" t="s">
        <v>12460</v>
      </c>
      <c r="AM1338">
        <v>10212</v>
      </c>
      <c r="AS1338">
        <v>29.6</v>
      </c>
      <c r="AT1338" t="s">
        <v>381</v>
      </c>
      <c r="AU1338" t="s">
        <v>13106</v>
      </c>
    </row>
    <row r="1339" spans="1:48">
      <c r="A1339" s="1">
        <f>HYPERLINK("https://cms.ls-nyc.org/matter/dynamic-profile/view/1879584","18-1879584")</f>
        <v>0</v>
      </c>
      <c r="B1339" t="s">
        <v>92</v>
      </c>
      <c r="C1339" t="s">
        <v>239</v>
      </c>
      <c r="D1339" t="s">
        <v>496</v>
      </c>
      <c r="E1339" t="s">
        <v>768</v>
      </c>
      <c r="F1339" t="s">
        <v>1977</v>
      </c>
      <c r="G1339" t="s">
        <v>4302</v>
      </c>
      <c r="H1339" t="s">
        <v>5359</v>
      </c>
      <c r="I1339" t="s">
        <v>6043</v>
      </c>
      <c r="J1339">
        <v>11237</v>
      </c>
      <c r="K1339" t="s">
        <v>6074</v>
      </c>
      <c r="L1339" t="s">
        <v>6074</v>
      </c>
      <c r="N1339" t="s">
        <v>7275</v>
      </c>
      <c r="O1339" t="s">
        <v>7309</v>
      </c>
      <c r="P1339" t="s">
        <v>7319</v>
      </c>
      <c r="Q1339" t="s">
        <v>7322</v>
      </c>
      <c r="R1339" t="s">
        <v>6074</v>
      </c>
      <c r="S1339" t="s">
        <v>7324</v>
      </c>
      <c r="U1339" t="s">
        <v>442</v>
      </c>
      <c r="V1339">
        <v>972</v>
      </c>
      <c r="W1339" t="s">
        <v>7362</v>
      </c>
      <c r="X1339" t="s">
        <v>7368</v>
      </c>
      <c r="Y1339" t="s">
        <v>7387</v>
      </c>
      <c r="Z1339" t="s">
        <v>8446</v>
      </c>
      <c r="AC1339">
        <v>6</v>
      </c>
      <c r="AD1339" t="s">
        <v>12422</v>
      </c>
      <c r="AE1339" t="s">
        <v>6110</v>
      </c>
      <c r="AF1339">
        <v>19</v>
      </c>
      <c r="AG1339">
        <v>3</v>
      </c>
      <c r="AH1339">
        <v>0</v>
      </c>
      <c r="AI1339">
        <v>81.81</v>
      </c>
      <c r="AL1339" t="s">
        <v>12461</v>
      </c>
      <c r="AM1339">
        <v>17000</v>
      </c>
      <c r="AS1339">
        <v>0.1</v>
      </c>
      <c r="AT1339" t="s">
        <v>420</v>
      </c>
      <c r="AU1339" t="s">
        <v>218</v>
      </c>
      <c r="AV1339" t="s">
        <v>13145</v>
      </c>
    </row>
    <row r="1340" spans="1:48">
      <c r="A1340" s="1">
        <f>HYPERLINK("https://cms.ls-nyc.org/matter/dynamic-profile/view/1877348","18-1877348")</f>
        <v>0</v>
      </c>
      <c r="B1340" t="s">
        <v>102</v>
      </c>
      <c r="C1340" t="s">
        <v>409</v>
      </c>
      <c r="D1340" t="s">
        <v>472</v>
      </c>
      <c r="E1340" t="s">
        <v>1340</v>
      </c>
      <c r="F1340" t="s">
        <v>720</v>
      </c>
      <c r="G1340" t="s">
        <v>4494</v>
      </c>
      <c r="H1340" t="s">
        <v>5438</v>
      </c>
      <c r="I1340" t="s">
        <v>6047</v>
      </c>
      <c r="J1340">
        <v>10459</v>
      </c>
      <c r="K1340" t="s">
        <v>6074</v>
      </c>
      <c r="L1340" t="s">
        <v>6074</v>
      </c>
      <c r="N1340" t="s">
        <v>7276</v>
      </c>
      <c r="O1340" t="s">
        <v>7306</v>
      </c>
      <c r="P1340" t="s">
        <v>7314</v>
      </c>
      <c r="Q1340" t="s">
        <v>7322</v>
      </c>
      <c r="R1340" t="s">
        <v>6076</v>
      </c>
      <c r="S1340" t="s">
        <v>7324</v>
      </c>
      <c r="U1340" t="s">
        <v>409</v>
      </c>
      <c r="V1340">
        <v>830</v>
      </c>
      <c r="W1340" t="s">
        <v>7363</v>
      </c>
      <c r="X1340" t="s">
        <v>7305</v>
      </c>
      <c r="Y1340" t="s">
        <v>7399</v>
      </c>
      <c r="Z1340" t="s">
        <v>8447</v>
      </c>
      <c r="AB1340" t="s">
        <v>11199</v>
      </c>
      <c r="AC1340">
        <v>10</v>
      </c>
      <c r="AD1340" t="s">
        <v>12422</v>
      </c>
      <c r="AE1340" t="s">
        <v>6110</v>
      </c>
      <c r="AF1340">
        <v>1</v>
      </c>
      <c r="AG1340">
        <v>1</v>
      </c>
      <c r="AH1340">
        <v>0</v>
      </c>
      <c r="AI1340">
        <v>81.81</v>
      </c>
      <c r="AL1340" t="s">
        <v>12460</v>
      </c>
      <c r="AM1340">
        <v>9932</v>
      </c>
      <c r="AN1340" t="s">
        <v>12614</v>
      </c>
      <c r="AS1340">
        <v>0.9</v>
      </c>
      <c r="AT1340" t="s">
        <v>372</v>
      </c>
      <c r="AU1340" t="s">
        <v>13079</v>
      </c>
    </row>
    <row r="1341" spans="1:48">
      <c r="A1341" s="1">
        <f>HYPERLINK("https://cms.ls-nyc.org/matter/dynamic-profile/view/1874345","18-1874345")</f>
        <v>0</v>
      </c>
      <c r="B1341" t="s">
        <v>197</v>
      </c>
      <c r="C1341" t="s">
        <v>471</v>
      </c>
      <c r="D1341" t="s">
        <v>411</v>
      </c>
      <c r="E1341" t="s">
        <v>1341</v>
      </c>
      <c r="F1341" t="s">
        <v>2807</v>
      </c>
      <c r="G1341" t="s">
        <v>4495</v>
      </c>
      <c r="H1341">
        <v>511</v>
      </c>
      <c r="I1341" t="s">
        <v>6049</v>
      </c>
      <c r="J1341">
        <v>10029</v>
      </c>
      <c r="K1341" t="s">
        <v>6074</v>
      </c>
      <c r="L1341" t="s">
        <v>6074</v>
      </c>
      <c r="M1341" t="s">
        <v>6671</v>
      </c>
      <c r="N1341" t="s">
        <v>7276</v>
      </c>
      <c r="O1341" t="s">
        <v>7307</v>
      </c>
      <c r="P1341" t="s">
        <v>7315</v>
      </c>
      <c r="Q1341" t="s">
        <v>7322</v>
      </c>
      <c r="R1341" t="s">
        <v>6076</v>
      </c>
      <c r="S1341" t="s">
        <v>7324</v>
      </c>
      <c r="U1341" t="s">
        <v>471</v>
      </c>
      <c r="V1341">
        <v>0</v>
      </c>
      <c r="W1341" t="s">
        <v>7365</v>
      </c>
      <c r="X1341" t="s">
        <v>7367</v>
      </c>
      <c r="Y1341" t="s">
        <v>7386</v>
      </c>
      <c r="Z1341" t="s">
        <v>8448</v>
      </c>
      <c r="AB1341" t="s">
        <v>11200</v>
      </c>
      <c r="AC1341">
        <v>108</v>
      </c>
      <c r="AD1341" t="s">
        <v>12420</v>
      </c>
      <c r="AE1341" t="s">
        <v>12434</v>
      </c>
      <c r="AF1341">
        <v>33</v>
      </c>
      <c r="AG1341">
        <v>2</v>
      </c>
      <c r="AH1341">
        <v>1</v>
      </c>
      <c r="AI1341">
        <v>81.81</v>
      </c>
      <c r="AL1341" t="s">
        <v>12460</v>
      </c>
      <c r="AM1341">
        <v>17000</v>
      </c>
      <c r="AS1341">
        <v>3.2</v>
      </c>
      <c r="AT1341" t="s">
        <v>240</v>
      </c>
      <c r="AU1341" t="s">
        <v>13107</v>
      </c>
    </row>
    <row r="1342" spans="1:48">
      <c r="A1342" s="1">
        <f>HYPERLINK("https://cms.ls-nyc.org/matter/dynamic-profile/view/1885398","18-1885398")</f>
        <v>0</v>
      </c>
      <c r="B1342" t="s">
        <v>198</v>
      </c>
      <c r="C1342" t="s">
        <v>250</v>
      </c>
      <c r="D1342" t="s">
        <v>386</v>
      </c>
      <c r="E1342" t="s">
        <v>1321</v>
      </c>
      <c r="F1342" t="s">
        <v>2780</v>
      </c>
      <c r="G1342" t="s">
        <v>4466</v>
      </c>
      <c r="H1342" t="s">
        <v>5455</v>
      </c>
      <c r="I1342" t="s">
        <v>6047</v>
      </c>
      <c r="J1342">
        <v>10461</v>
      </c>
      <c r="K1342" t="s">
        <v>6074</v>
      </c>
      <c r="L1342" t="s">
        <v>6074</v>
      </c>
      <c r="N1342" t="s">
        <v>7283</v>
      </c>
      <c r="O1342" t="s">
        <v>7307</v>
      </c>
      <c r="P1342" t="s">
        <v>7315</v>
      </c>
      <c r="Q1342" t="s">
        <v>7322</v>
      </c>
      <c r="S1342" t="s">
        <v>7326</v>
      </c>
      <c r="T1342" t="s">
        <v>7336</v>
      </c>
      <c r="U1342" t="s">
        <v>250</v>
      </c>
      <c r="V1342">
        <v>800</v>
      </c>
      <c r="W1342" t="s">
        <v>7363</v>
      </c>
      <c r="X1342" t="s">
        <v>7368</v>
      </c>
      <c r="Y1342" t="s">
        <v>7387</v>
      </c>
      <c r="Z1342" t="s">
        <v>8403</v>
      </c>
      <c r="AB1342" t="s">
        <v>11159</v>
      </c>
      <c r="AC1342">
        <v>0</v>
      </c>
      <c r="AD1342" t="s">
        <v>12422</v>
      </c>
      <c r="AE1342" t="s">
        <v>6110</v>
      </c>
      <c r="AF1342">
        <v>22</v>
      </c>
      <c r="AG1342">
        <v>1</v>
      </c>
      <c r="AH1342">
        <v>0</v>
      </c>
      <c r="AI1342">
        <v>81.84999999999999</v>
      </c>
      <c r="AL1342" t="s">
        <v>12460</v>
      </c>
      <c r="AM1342">
        <v>9936</v>
      </c>
      <c r="AS1342">
        <v>1.8</v>
      </c>
      <c r="AT1342" t="s">
        <v>386</v>
      </c>
      <c r="AU1342" t="s">
        <v>13116</v>
      </c>
    </row>
    <row r="1343" spans="1:48">
      <c r="A1343" s="1">
        <f>HYPERLINK("https://cms.ls-nyc.org/matter/dynamic-profile/view/1885575","18-1885575")</f>
        <v>0</v>
      </c>
      <c r="B1343" t="s">
        <v>102</v>
      </c>
      <c r="C1343" t="s">
        <v>320</v>
      </c>
      <c r="E1343" t="s">
        <v>586</v>
      </c>
      <c r="F1343" t="s">
        <v>2059</v>
      </c>
      <c r="G1343" t="s">
        <v>3779</v>
      </c>
      <c r="H1343" t="s">
        <v>5703</v>
      </c>
      <c r="I1343" t="s">
        <v>6047</v>
      </c>
      <c r="J1343">
        <v>10460</v>
      </c>
      <c r="K1343" t="s">
        <v>6074</v>
      </c>
      <c r="L1343" t="s">
        <v>6074</v>
      </c>
      <c r="M1343" t="s">
        <v>6182</v>
      </c>
      <c r="N1343" t="s">
        <v>7273</v>
      </c>
      <c r="O1343" t="s">
        <v>7308</v>
      </c>
      <c r="Q1343" t="s">
        <v>7322</v>
      </c>
      <c r="R1343" t="s">
        <v>6074</v>
      </c>
      <c r="S1343" t="s">
        <v>7324</v>
      </c>
      <c r="U1343" t="s">
        <v>457</v>
      </c>
      <c r="V1343">
        <v>1500</v>
      </c>
      <c r="W1343" t="s">
        <v>7363</v>
      </c>
      <c r="X1343" t="s">
        <v>7376</v>
      </c>
      <c r="Z1343" t="s">
        <v>8449</v>
      </c>
      <c r="AB1343" t="s">
        <v>11201</v>
      </c>
      <c r="AC1343">
        <v>168</v>
      </c>
      <c r="AD1343" t="s">
        <v>12422</v>
      </c>
      <c r="AE1343" t="s">
        <v>12441</v>
      </c>
      <c r="AF1343">
        <v>1</v>
      </c>
      <c r="AG1343">
        <v>1</v>
      </c>
      <c r="AH1343">
        <v>0</v>
      </c>
      <c r="AI1343">
        <v>81.84999999999999</v>
      </c>
      <c r="AL1343" t="s">
        <v>12461</v>
      </c>
      <c r="AM1343">
        <v>9936</v>
      </c>
      <c r="AS1343">
        <v>0</v>
      </c>
      <c r="AU1343" t="s">
        <v>13095</v>
      </c>
    </row>
    <row r="1344" spans="1:48">
      <c r="A1344" s="1">
        <f>HYPERLINK("https://cms.ls-nyc.org/matter/dynamic-profile/view/1880671","18-1880671")</f>
        <v>0</v>
      </c>
      <c r="B1344" t="s">
        <v>108</v>
      </c>
      <c r="C1344" t="s">
        <v>360</v>
      </c>
      <c r="E1344" t="s">
        <v>628</v>
      </c>
      <c r="F1344" t="s">
        <v>2329</v>
      </c>
      <c r="G1344" t="s">
        <v>3805</v>
      </c>
      <c r="H1344" t="s">
        <v>5438</v>
      </c>
      <c r="I1344" t="s">
        <v>6047</v>
      </c>
      <c r="J1344">
        <v>10452</v>
      </c>
      <c r="K1344" t="s">
        <v>6074</v>
      </c>
      <c r="L1344" t="s">
        <v>6074</v>
      </c>
      <c r="M1344" t="s">
        <v>6382</v>
      </c>
      <c r="N1344" t="s">
        <v>7273</v>
      </c>
      <c r="O1344" t="s">
        <v>7308</v>
      </c>
      <c r="Q1344" t="s">
        <v>7322</v>
      </c>
      <c r="R1344" t="s">
        <v>6074</v>
      </c>
      <c r="S1344" t="s">
        <v>7324</v>
      </c>
      <c r="U1344" t="s">
        <v>472</v>
      </c>
      <c r="V1344">
        <v>828</v>
      </c>
      <c r="W1344" t="s">
        <v>7363</v>
      </c>
      <c r="X1344" t="s">
        <v>7376</v>
      </c>
      <c r="Z1344" t="s">
        <v>8450</v>
      </c>
      <c r="AA1344" t="s">
        <v>10140</v>
      </c>
      <c r="AC1344">
        <v>149</v>
      </c>
      <c r="AD1344" t="s">
        <v>12422</v>
      </c>
      <c r="AF1344">
        <v>2</v>
      </c>
      <c r="AG1344">
        <v>1</v>
      </c>
      <c r="AH1344">
        <v>0</v>
      </c>
      <c r="AI1344">
        <v>81.84999999999999</v>
      </c>
      <c r="AL1344" t="s">
        <v>12460</v>
      </c>
      <c r="AM1344">
        <v>9936</v>
      </c>
      <c r="AS1344">
        <v>0</v>
      </c>
      <c r="AU1344" t="s">
        <v>13099</v>
      </c>
    </row>
    <row r="1345" spans="1:48">
      <c r="A1345" s="1">
        <f>HYPERLINK("https://cms.ls-nyc.org/matter/dynamic-profile/view/1880819","18-1880819")</f>
        <v>0</v>
      </c>
      <c r="B1345" t="s">
        <v>108</v>
      </c>
      <c r="C1345" t="s">
        <v>256</v>
      </c>
      <c r="E1345" t="s">
        <v>628</v>
      </c>
      <c r="F1345" t="s">
        <v>2329</v>
      </c>
      <c r="G1345" t="s">
        <v>3805</v>
      </c>
      <c r="H1345" t="s">
        <v>5438</v>
      </c>
      <c r="I1345" t="s">
        <v>6047</v>
      </c>
      <c r="J1345">
        <v>10452</v>
      </c>
      <c r="K1345" t="s">
        <v>6074</v>
      </c>
      <c r="L1345" t="s">
        <v>6074</v>
      </c>
      <c r="N1345" t="s">
        <v>6104</v>
      </c>
      <c r="O1345" t="s">
        <v>7309</v>
      </c>
      <c r="Q1345" t="s">
        <v>7322</v>
      </c>
      <c r="R1345" t="s">
        <v>6074</v>
      </c>
      <c r="S1345" t="s">
        <v>7324</v>
      </c>
      <c r="U1345" t="s">
        <v>472</v>
      </c>
      <c r="V1345">
        <v>828</v>
      </c>
      <c r="W1345" t="s">
        <v>7363</v>
      </c>
      <c r="X1345" t="s">
        <v>7376</v>
      </c>
      <c r="Z1345" t="s">
        <v>8450</v>
      </c>
      <c r="AA1345" t="s">
        <v>10141</v>
      </c>
      <c r="AC1345">
        <v>149</v>
      </c>
      <c r="AD1345" t="s">
        <v>12422</v>
      </c>
      <c r="AE1345" t="s">
        <v>7305</v>
      </c>
      <c r="AF1345">
        <v>2</v>
      </c>
      <c r="AG1345">
        <v>1</v>
      </c>
      <c r="AH1345">
        <v>0</v>
      </c>
      <c r="AI1345">
        <v>81.84999999999999</v>
      </c>
      <c r="AL1345" t="s">
        <v>12460</v>
      </c>
      <c r="AM1345">
        <v>9936</v>
      </c>
      <c r="AS1345">
        <v>0</v>
      </c>
      <c r="AU1345" t="s">
        <v>13099</v>
      </c>
    </row>
    <row r="1346" spans="1:48">
      <c r="A1346" s="1">
        <f>HYPERLINK("https://cms.ls-nyc.org/matter/dynamic-profile/view/1884797","18-1884797")</f>
        <v>0</v>
      </c>
      <c r="B1346" t="s">
        <v>114</v>
      </c>
      <c r="C1346" t="s">
        <v>297</v>
      </c>
      <c r="D1346" t="s">
        <v>434</v>
      </c>
      <c r="E1346" t="s">
        <v>1093</v>
      </c>
      <c r="F1346" t="s">
        <v>2808</v>
      </c>
      <c r="G1346" t="s">
        <v>4496</v>
      </c>
      <c r="H1346" t="s">
        <v>5704</v>
      </c>
      <c r="I1346" t="s">
        <v>6047</v>
      </c>
      <c r="J1346">
        <v>10451</v>
      </c>
      <c r="K1346" t="s">
        <v>6074</v>
      </c>
      <c r="L1346" t="s">
        <v>6074</v>
      </c>
      <c r="N1346" t="s">
        <v>6104</v>
      </c>
      <c r="O1346" t="s">
        <v>7306</v>
      </c>
      <c r="P1346" t="s">
        <v>7314</v>
      </c>
      <c r="Q1346" t="s">
        <v>7322</v>
      </c>
      <c r="S1346" t="s">
        <v>7324</v>
      </c>
      <c r="T1346" t="s">
        <v>7336</v>
      </c>
      <c r="U1346" t="s">
        <v>434</v>
      </c>
      <c r="V1346">
        <v>502</v>
      </c>
      <c r="W1346" t="s">
        <v>7363</v>
      </c>
      <c r="X1346" t="s">
        <v>7376</v>
      </c>
      <c r="Y1346" t="s">
        <v>7386</v>
      </c>
      <c r="Z1346" t="s">
        <v>8451</v>
      </c>
      <c r="AB1346" t="s">
        <v>11202</v>
      </c>
      <c r="AC1346">
        <v>298</v>
      </c>
      <c r="AD1346" t="s">
        <v>12420</v>
      </c>
      <c r="AE1346" t="s">
        <v>6110</v>
      </c>
      <c r="AF1346">
        <v>0</v>
      </c>
      <c r="AG1346">
        <v>1</v>
      </c>
      <c r="AH1346">
        <v>0</v>
      </c>
      <c r="AI1346">
        <v>81.84999999999999</v>
      </c>
      <c r="AL1346" t="s">
        <v>12460</v>
      </c>
      <c r="AM1346">
        <v>9936</v>
      </c>
      <c r="AS1346">
        <v>0.25</v>
      </c>
      <c r="AT1346" t="s">
        <v>434</v>
      </c>
      <c r="AU1346" t="s">
        <v>13095</v>
      </c>
    </row>
    <row r="1347" spans="1:48">
      <c r="A1347" s="1">
        <f>HYPERLINK("https://cms.ls-nyc.org/matter/dynamic-profile/view/1886237","18-1886237")</f>
        <v>0</v>
      </c>
      <c r="B1347" t="s">
        <v>97</v>
      </c>
      <c r="C1347" t="s">
        <v>389</v>
      </c>
      <c r="D1347" t="s">
        <v>356</v>
      </c>
      <c r="E1347" t="s">
        <v>1093</v>
      </c>
      <c r="F1347" t="s">
        <v>2808</v>
      </c>
      <c r="G1347" t="s">
        <v>4496</v>
      </c>
      <c r="H1347" t="s">
        <v>5704</v>
      </c>
      <c r="I1347" t="s">
        <v>6047</v>
      </c>
      <c r="J1347">
        <v>10451</v>
      </c>
      <c r="K1347" t="s">
        <v>6074</v>
      </c>
      <c r="L1347" t="s">
        <v>6074</v>
      </c>
      <c r="N1347" t="s">
        <v>6104</v>
      </c>
      <c r="O1347" t="s">
        <v>7306</v>
      </c>
      <c r="P1347" t="s">
        <v>7314</v>
      </c>
      <c r="Q1347" t="s">
        <v>7322</v>
      </c>
      <c r="R1347" t="s">
        <v>6076</v>
      </c>
      <c r="S1347" t="s">
        <v>7324</v>
      </c>
      <c r="U1347" t="s">
        <v>389</v>
      </c>
      <c r="V1347">
        <v>1425</v>
      </c>
      <c r="W1347" t="s">
        <v>7363</v>
      </c>
      <c r="X1347" t="s">
        <v>7376</v>
      </c>
      <c r="Y1347" t="s">
        <v>7386</v>
      </c>
      <c r="Z1347" t="s">
        <v>8451</v>
      </c>
      <c r="AB1347" t="s">
        <v>11202</v>
      </c>
      <c r="AC1347">
        <v>298</v>
      </c>
      <c r="AD1347" t="s">
        <v>12420</v>
      </c>
      <c r="AE1347" t="s">
        <v>12434</v>
      </c>
      <c r="AF1347">
        <v>1</v>
      </c>
      <c r="AG1347">
        <v>1</v>
      </c>
      <c r="AH1347">
        <v>0</v>
      </c>
      <c r="AI1347">
        <v>81.84999999999999</v>
      </c>
      <c r="AL1347" t="s">
        <v>12460</v>
      </c>
      <c r="AM1347">
        <v>9936</v>
      </c>
      <c r="AS1347">
        <v>1.4</v>
      </c>
      <c r="AT1347" t="s">
        <v>356</v>
      </c>
      <c r="AU1347" t="s">
        <v>97</v>
      </c>
    </row>
    <row r="1348" spans="1:48">
      <c r="A1348" s="1">
        <f>HYPERLINK("https://cms.ls-nyc.org/matter/dynamic-profile/view/1879985","18-1879985")</f>
        <v>0</v>
      </c>
      <c r="B1348" t="s">
        <v>52</v>
      </c>
      <c r="C1348" t="s">
        <v>271</v>
      </c>
      <c r="D1348" t="s">
        <v>333</v>
      </c>
      <c r="E1348" t="s">
        <v>628</v>
      </c>
      <c r="F1348" t="s">
        <v>2697</v>
      </c>
      <c r="G1348" t="s">
        <v>4497</v>
      </c>
      <c r="H1348" t="s">
        <v>5705</v>
      </c>
      <c r="I1348" t="s">
        <v>6064</v>
      </c>
      <c r="J1348">
        <v>11001</v>
      </c>
      <c r="K1348" t="s">
        <v>6074</v>
      </c>
      <c r="L1348" t="s">
        <v>6074</v>
      </c>
      <c r="M1348" t="s">
        <v>6672</v>
      </c>
      <c r="N1348" t="s">
        <v>7276</v>
      </c>
      <c r="O1348" t="s">
        <v>7306</v>
      </c>
      <c r="P1348" t="s">
        <v>7314</v>
      </c>
      <c r="Q1348" t="s">
        <v>7322</v>
      </c>
      <c r="R1348" t="s">
        <v>6076</v>
      </c>
      <c r="S1348" t="s">
        <v>7324</v>
      </c>
      <c r="T1348" t="s">
        <v>7336</v>
      </c>
      <c r="U1348" t="s">
        <v>271</v>
      </c>
      <c r="V1348">
        <v>1600</v>
      </c>
      <c r="W1348" t="s">
        <v>7361</v>
      </c>
      <c r="X1348" t="s">
        <v>7366</v>
      </c>
      <c r="Y1348" t="s">
        <v>7386</v>
      </c>
      <c r="Z1348" t="s">
        <v>8452</v>
      </c>
      <c r="AB1348" t="s">
        <v>11203</v>
      </c>
      <c r="AC1348">
        <v>2</v>
      </c>
      <c r="AD1348" t="s">
        <v>12419</v>
      </c>
      <c r="AE1348" t="s">
        <v>6110</v>
      </c>
      <c r="AF1348">
        <v>3</v>
      </c>
      <c r="AG1348">
        <v>3</v>
      </c>
      <c r="AH1348">
        <v>0</v>
      </c>
      <c r="AI1348">
        <v>81.86</v>
      </c>
      <c r="AL1348" t="s">
        <v>12460</v>
      </c>
      <c r="AM1348">
        <v>17010</v>
      </c>
      <c r="AS1348">
        <v>1.8</v>
      </c>
      <c r="AT1348" t="s">
        <v>428</v>
      </c>
      <c r="AU1348" t="s">
        <v>48</v>
      </c>
    </row>
    <row r="1349" spans="1:48">
      <c r="A1349" s="1">
        <f>HYPERLINK("https://cms.ls-nyc.org/matter/dynamic-profile/view/1875239","18-1875239")</f>
        <v>0</v>
      </c>
      <c r="B1349" t="s">
        <v>171</v>
      </c>
      <c r="C1349" t="s">
        <v>399</v>
      </c>
      <c r="D1349" t="s">
        <v>346</v>
      </c>
      <c r="E1349" t="s">
        <v>603</v>
      </c>
      <c r="F1349" t="s">
        <v>2704</v>
      </c>
      <c r="G1349" t="s">
        <v>4498</v>
      </c>
      <c r="H1349" t="s">
        <v>5376</v>
      </c>
      <c r="I1349" t="s">
        <v>6043</v>
      </c>
      <c r="J1349">
        <v>11233</v>
      </c>
      <c r="K1349" t="s">
        <v>6074</v>
      </c>
      <c r="L1349" t="s">
        <v>6074</v>
      </c>
      <c r="M1349" t="s">
        <v>6673</v>
      </c>
      <c r="N1349" t="s">
        <v>7274</v>
      </c>
      <c r="O1349" t="s">
        <v>7308</v>
      </c>
      <c r="P1349" t="s">
        <v>7316</v>
      </c>
      <c r="Q1349" t="s">
        <v>7322</v>
      </c>
      <c r="R1349" t="s">
        <v>6074</v>
      </c>
      <c r="S1349" t="s">
        <v>7324</v>
      </c>
      <c r="T1349" t="s">
        <v>7336</v>
      </c>
      <c r="U1349" t="s">
        <v>399</v>
      </c>
      <c r="V1349">
        <v>1290</v>
      </c>
      <c r="W1349" t="s">
        <v>7362</v>
      </c>
      <c r="X1349" t="s">
        <v>7373</v>
      </c>
      <c r="Y1349" t="s">
        <v>7388</v>
      </c>
      <c r="Z1349" t="s">
        <v>7840</v>
      </c>
      <c r="AA1349" t="s">
        <v>10142</v>
      </c>
      <c r="AB1349" t="s">
        <v>11204</v>
      </c>
      <c r="AC1349">
        <v>6</v>
      </c>
      <c r="AD1349" t="s">
        <v>12422</v>
      </c>
      <c r="AE1349" t="s">
        <v>12435</v>
      </c>
      <c r="AF1349">
        <v>13</v>
      </c>
      <c r="AG1349">
        <v>3</v>
      </c>
      <c r="AH1349">
        <v>4</v>
      </c>
      <c r="AI1349">
        <v>81.98</v>
      </c>
      <c r="AL1349" t="s">
        <v>12460</v>
      </c>
      <c r="AM1349">
        <v>31200</v>
      </c>
      <c r="AS1349">
        <v>13.05</v>
      </c>
      <c r="AT1349" t="s">
        <v>346</v>
      </c>
      <c r="AU1349" t="s">
        <v>218</v>
      </c>
    </row>
    <row r="1350" spans="1:48">
      <c r="A1350" s="1">
        <f>HYPERLINK("https://cms.ls-nyc.org/matter/dynamic-profile/view/1882204","18-1882204")</f>
        <v>0</v>
      </c>
      <c r="B1350" t="s">
        <v>171</v>
      </c>
      <c r="C1350" t="s">
        <v>442</v>
      </c>
      <c r="E1350" t="s">
        <v>603</v>
      </c>
      <c r="F1350" t="s">
        <v>2704</v>
      </c>
      <c r="G1350" t="s">
        <v>4498</v>
      </c>
      <c r="H1350" t="s">
        <v>5376</v>
      </c>
      <c r="I1350" t="s">
        <v>6043</v>
      </c>
      <c r="J1350">
        <v>11233</v>
      </c>
      <c r="K1350" t="s">
        <v>6074</v>
      </c>
      <c r="L1350" t="s">
        <v>6074</v>
      </c>
      <c r="M1350" t="s">
        <v>6104</v>
      </c>
      <c r="N1350" t="s">
        <v>7275</v>
      </c>
      <c r="O1350" t="s">
        <v>7307</v>
      </c>
      <c r="Q1350" t="s">
        <v>7322</v>
      </c>
      <c r="R1350" t="s">
        <v>6074</v>
      </c>
      <c r="S1350" t="s">
        <v>7324</v>
      </c>
      <c r="T1350" t="s">
        <v>7336</v>
      </c>
      <c r="U1350" t="s">
        <v>428</v>
      </c>
      <c r="V1350">
        <v>1290</v>
      </c>
      <c r="W1350" t="s">
        <v>7362</v>
      </c>
      <c r="X1350" t="s">
        <v>7368</v>
      </c>
      <c r="Z1350" t="s">
        <v>7840</v>
      </c>
      <c r="AA1350" t="s">
        <v>9871</v>
      </c>
      <c r="AB1350" t="s">
        <v>11204</v>
      </c>
      <c r="AC1350">
        <v>6</v>
      </c>
      <c r="AD1350" t="s">
        <v>12422</v>
      </c>
      <c r="AE1350" t="s">
        <v>12435</v>
      </c>
      <c r="AF1350">
        <v>13</v>
      </c>
      <c r="AG1350">
        <v>3</v>
      </c>
      <c r="AH1350">
        <v>4</v>
      </c>
      <c r="AI1350">
        <v>81.98</v>
      </c>
      <c r="AL1350" t="s">
        <v>12460</v>
      </c>
      <c r="AM1350">
        <v>31200</v>
      </c>
      <c r="AS1350">
        <v>0.2</v>
      </c>
      <c r="AT1350" t="s">
        <v>246</v>
      </c>
      <c r="AU1350" t="s">
        <v>218</v>
      </c>
    </row>
    <row r="1351" spans="1:48">
      <c r="A1351" s="1">
        <f>HYPERLINK("https://cms.ls-nyc.org/matter/dynamic-profile/view/1882518","18-1882518")</f>
        <v>0</v>
      </c>
      <c r="B1351" t="s">
        <v>81</v>
      </c>
      <c r="C1351" t="s">
        <v>283</v>
      </c>
      <c r="E1351" t="s">
        <v>1342</v>
      </c>
      <c r="F1351" t="s">
        <v>2809</v>
      </c>
      <c r="G1351" t="s">
        <v>4499</v>
      </c>
      <c r="H1351" t="s">
        <v>5390</v>
      </c>
      <c r="I1351" t="s">
        <v>6043</v>
      </c>
      <c r="J1351">
        <v>11213</v>
      </c>
      <c r="K1351" t="s">
        <v>6074</v>
      </c>
      <c r="L1351" t="s">
        <v>6075</v>
      </c>
      <c r="O1351" t="s">
        <v>7309</v>
      </c>
      <c r="Q1351" t="s">
        <v>7322</v>
      </c>
      <c r="S1351" t="s">
        <v>7324</v>
      </c>
      <c r="U1351" t="s">
        <v>492</v>
      </c>
      <c r="V1351">
        <v>0</v>
      </c>
      <c r="W1351" t="s">
        <v>7362</v>
      </c>
      <c r="Z1351" t="s">
        <v>8453</v>
      </c>
      <c r="AB1351" t="s">
        <v>11205</v>
      </c>
      <c r="AC1351">
        <v>0</v>
      </c>
      <c r="AD1351" t="s">
        <v>12422</v>
      </c>
      <c r="AF1351">
        <v>51</v>
      </c>
      <c r="AG1351">
        <v>1</v>
      </c>
      <c r="AH1351">
        <v>0</v>
      </c>
      <c r="AI1351">
        <v>82.04000000000001</v>
      </c>
      <c r="AL1351" t="s">
        <v>12460</v>
      </c>
      <c r="AM1351">
        <v>9960</v>
      </c>
      <c r="AS1351">
        <v>7.3</v>
      </c>
      <c r="AT1351" t="s">
        <v>469</v>
      </c>
      <c r="AU1351" t="s">
        <v>13084</v>
      </c>
      <c r="AV1351" t="s">
        <v>13145</v>
      </c>
    </row>
    <row r="1352" spans="1:48">
      <c r="A1352" s="1">
        <f>HYPERLINK("https://cms.ls-nyc.org/matter/dynamic-profile/view/1885719","18-1885719")</f>
        <v>0</v>
      </c>
      <c r="B1352" t="s">
        <v>77</v>
      </c>
      <c r="C1352" t="s">
        <v>344</v>
      </c>
      <c r="E1352" t="s">
        <v>637</v>
      </c>
      <c r="F1352" t="s">
        <v>2174</v>
      </c>
      <c r="G1352" t="s">
        <v>4500</v>
      </c>
      <c r="H1352" t="s">
        <v>5706</v>
      </c>
      <c r="I1352" t="s">
        <v>6043</v>
      </c>
      <c r="J1352">
        <v>11212</v>
      </c>
      <c r="K1352" t="s">
        <v>6074</v>
      </c>
      <c r="L1352" t="s">
        <v>6074</v>
      </c>
      <c r="M1352" t="s">
        <v>6674</v>
      </c>
      <c r="N1352" t="s">
        <v>7274</v>
      </c>
      <c r="O1352" t="s">
        <v>7306</v>
      </c>
      <c r="Q1352" t="s">
        <v>7322</v>
      </c>
      <c r="R1352" t="s">
        <v>6076</v>
      </c>
      <c r="S1352" t="s">
        <v>7324</v>
      </c>
      <c r="U1352" t="s">
        <v>266</v>
      </c>
      <c r="V1352">
        <v>1260</v>
      </c>
      <c r="W1352" t="s">
        <v>7362</v>
      </c>
      <c r="X1352" t="s">
        <v>7366</v>
      </c>
      <c r="Z1352" t="s">
        <v>8454</v>
      </c>
      <c r="AA1352" t="s">
        <v>10143</v>
      </c>
      <c r="AB1352" t="s">
        <v>11206</v>
      </c>
      <c r="AC1352">
        <v>7</v>
      </c>
      <c r="AD1352" t="s">
        <v>12419</v>
      </c>
      <c r="AE1352" t="s">
        <v>12433</v>
      </c>
      <c r="AF1352">
        <v>2</v>
      </c>
      <c r="AG1352">
        <v>1</v>
      </c>
      <c r="AH1352">
        <v>0</v>
      </c>
      <c r="AI1352">
        <v>82.04000000000001</v>
      </c>
      <c r="AL1352" t="s">
        <v>12460</v>
      </c>
      <c r="AM1352">
        <v>9960</v>
      </c>
      <c r="AS1352">
        <v>15</v>
      </c>
      <c r="AT1352" t="s">
        <v>277</v>
      </c>
      <c r="AU1352" t="s">
        <v>180</v>
      </c>
    </row>
    <row r="1353" spans="1:48">
      <c r="A1353" s="1">
        <f>HYPERLINK("https://cms.ls-nyc.org/matter/dynamic-profile/view/1876986","18-1876986")</f>
        <v>0</v>
      </c>
      <c r="B1353" t="s">
        <v>101</v>
      </c>
      <c r="C1353" t="s">
        <v>281</v>
      </c>
      <c r="D1353" t="s">
        <v>555</v>
      </c>
      <c r="E1353" t="s">
        <v>716</v>
      </c>
      <c r="F1353" t="s">
        <v>2541</v>
      </c>
      <c r="G1353" t="s">
        <v>4501</v>
      </c>
      <c r="H1353">
        <v>1</v>
      </c>
      <c r="I1353" t="s">
        <v>6047</v>
      </c>
      <c r="J1353">
        <v>10457</v>
      </c>
      <c r="K1353" t="s">
        <v>6074</v>
      </c>
      <c r="L1353" t="s">
        <v>6074</v>
      </c>
      <c r="N1353" t="s">
        <v>7273</v>
      </c>
      <c r="O1353" t="s">
        <v>7306</v>
      </c>
      <c r="P1353" t="s">
        <v>7314</v>
      </c>
      <c r="Q1353" t="s">
        <v>7322</v>
      </c>
      <c r="R1353" t="s">
        <v>6076</v>
      </c>
      <c r="S1353" t="s">
        <v>7324</v>
      </c>
      <c r="U1353" t="s">
        <v>464</v>
      </c>
      <c r="V1353">
        <v>800</v>
      </c>
      <c r="W1353" t="s">
        <v>7363</v>
      </c>
      <c r="X1353" t="s">
        <v>7376</v>
      </c>
      <c r="Y1353" t="s">
        <v>7386</v>
      </c>
      <c r="Z1353" t="s">
        <v>8455</v>
      </c>
      <c r="AB1353" t="s">
        <v>11207</v>
      </c>
      <c r="AC1353">
        <v>3</v>
      </c>
      <c r="AD1353" t="s">
        <v>12421</v>
      </c>
      <c r="AE1353" t="s">
        <v>12433</v>
      </c>
      <c r="AF1353">
        <v>1</v>
      </c>
      <c r="AG1353">
        <v>1</v>
      </c>
      <c r="AH1353">
        <v>0</v>
      </c>
      <c r="AI1353">
        <v>82.04000000000001</v>
      </c>
      <c r="AL1353" t="s">
        <v>12460</v>
      </c>
      <c r="AM1353">
        <v>9960</v>
      </c>
      <c r="AS1353">
        <v>0.1</v>
      </c>
      <c r="AT1353" t="s">
        <v>555</v>
      </c>
      <c r="AU1353" t="s">
        <v>13095</v>
      </c>
    </row>
    <row r="1354" spans="1:48">
      <c r="A1354" s="1">
        <f>HYPERLINK("https://cms.ls-nyc.org/matter/dynamic-profile/view/1877731","18-1877731")</f>
        <v>0</v>
      </c>
      <c r="B1354" t="s">
        <v>97</v>
      </c>
      <c r="C1354" t="s">
        <v>291</v>
      </c>
      <c r="D1354" t="s">
        <v>472</v>
      </c>
      <c r="E1354" t="s">
        <v>617</v>
      </c>
      <c r="F1354" t="s">
        <v>2810</v>
      </c>
      <c r="G1354" t="s">
        <v>3805</v>
      </c>
      <c r="H1354">
        <v>41</v>
      </c>
      <c r="I1354" t="s">
        <v>6047</v>
      </c>
      <c r="J1354">
        <v>10452</v>
      </c>
      <c r="K1354" t="s">
        <v>6074</v>
      </c>
      <c r="L1354" t="s">
        <v>6074</v>
      </c>
      <c r="N1354" t="s">
        <v>7273</v>
      </c>
      <c r="O1354" t="s">
        <v>7306</v>
      </c>
      <c r="P1354" t="s">
        <v>7314</v>
      </c>
      <c r="Q1354" t="s">
        <v>7322</v>
      </c>
      <c r="R1354" t="s">
        <v>6074</v>
      </c>
      <c r="S1354" t="s">
        <v>7324</v>
      </c>
      <c r="U1354" t="s">
        <v>472</v>
      </c>
      <c r="V1354">
        <v>252</v>
      </c>
      <c r="W1354" t="s">
        <v>7363</v>
      </c>
      <c r="X1354" t="s">
        <v>7376</v>
      </c>
      <c r="Y1354" t="s">
        <v>7386</v>
      </c>
      <c r="Z1354" t="s">
        <v>8456</v>
      </c>
      <c r="AA1354" t="s">
        <v>10144</v>
      </c>
      <c r="AB1354" t="s">
        <v>11208</v>
      </c>
      <c r="AC1354">
        <v>149</v>
      </c>
      <c r="AD1354" t="s">
        <v>12422</v>
      </c>
      <c r="AE1354" t="s">
        <v>12440</v>
      </c>
      <c r="AF1354">
        <v>2</v>
      </c>
      <c r="AG1354">
        <v>1</v>
      </c>
      <c r="AH1354">
        <v>0</v>
      </c>
      <c r="AI1354">
        <v>82.04000000000001</v>
      </c>
      <c r="AL1354" t="s">
        <v>12460</v>
      </c>
      <c r="AM1354">
        <v>9960</v>
      </c>
      <c r="AS1354">
        <v>0.2</v>
      </c>
      <c r="AT1354" t="s">
        <v>492</v>
      </c>
      <c r="AU1354" t="s">
        <v>13099</v>
      </c>
    </row>
    <row r="1355" spans="1:48">
      <c r="A1355" s="1">
        <f>HYPERLINK("https://cms.ls-nyc.org/matter/dynamic-profile/view/1877738","18-1877738")</f>
        <v>0</v>
      </c>
      <c r="B1355" t="s">
        <v>108</v>
      </c>
      <c r="C1355" t="s">
        <v>291</v>
      </c>
      <c r="E1355" t="s">
        <v>617</v>
      </c>
      <c r="F1355" t="s">
        <v>2810</v>
      </c>
      <c r="G1355" t="s">
        <v>3805</v>
      </c>
      <c r="H1355">
        <v>41</v>
      </c>
      <c r="I1355" t="s">
        <v>6047</v>
      </c>
      <c r="J1355">
        <v>10452</v>
      </c>
      <c r="K1355" t="s">
        <v>6074</v>
      </c>
      <c r="L1355" t="s">
        <v>6074</v>
      </c>
      <c r="N1355" t="s">
        <v>6104</v>
      </c>
      <c r="O1355" t="s">
        <v>7309</v>
      </c>
      <c r="Q1355" t="s">
        <v>7322</v>
      </c>
      <c r="R1355" t="s">
        <v>6074</v>
      </c>
      <c r="S1355" t="s">
        <v>7324</v>
      </c>
      <c r="U1355" t="s">
        <v>472</v>
      </c>
      <c r="V1355">
        <v>252</v>
      </c>
      <c r="W1355" t="s">
        <v>7363</v>
      </c>
      <c r="X1355" t="s">
        <v>7376</v>
      </c>
      <c r="Z1355" t="s">
        <v>8456</v>
      </c>
      <c r="AA1355" t="s">
        <v>10144</v>
      </c>
      <c r="AB1355" t="s">
        <v>11208</v>
      </c>
      <c r="AC1355">
        <v>149</v>
      </c>
      <c r="AD1355" t="s">
        <v>12422</v>
      </c>
      <c r="AE1355" t="s">
        <v>12440</v>
      </c>
      <c r="AF1355">
        <v>2</v>
      </c>
      <c r="AG1355">
        <v>1</v>
      </c>
      <c r="AH1355">
        <v>0</v>
      </c>
      <c r="AI1355">
        <v>82.04000000000001</v>
      </c>
      <c r="AL1355" t="s">
        <v>12460</v>
      </c>
      <c r="AM1355">
        <v>9960</v>
      </c>
      <c r="AS1355">
        <v>0</v>
      </c>
      <c r="AU1355" t="s">
        <v>13099</v>
      </c>
    </row>
    <row r="1356" spans="1:48">
      <c r="A1356" s="1">
        <f>HYPERLINK("https://cms.ls-nyc.org/matter/dynamic-profile/view/1872441","18-1872441")</f>
        <v>0</v>
      </c>
      <c r="B1356" t="s">
        <v>133</v>
      </c>
      <c r="C1356" t="s">
        <v>376</v>
      </c>
      <c r="D1356" t="s">
        <v>242</v>
      </c>
      <c r="E1356" t="s">
        <v>1343</v>
      </c>
      <c r="F1356" t="s">
        <v>2811</v>
      </c>
      <c r="G1356" t="s">
        <v>4502</v>
      </c>
      <c r="H1356" t="s">
        <v>5393</v>
      </c>
      <c r="I1356" t="s">
        <v>6049</v>
      </c>
      <c r="J1356">
        <v>10034</v>
      </c>
      <c r="K1356" t="s">
        <v>6074</v>
      </c>
      <c r="L1356" t="s">
        <v>6074</v>
      </c>
      <c r="N1356" t="s">
        <v>7276</v>
      </c>
      <c r="O1356" t="s">
        <v>7306</v>
      </c>
      <c r="P1356" t="s">
        <v>7314</v>
      </c>
      <c r="Q1356" t="s">
        <v>7322</v>
      </c>
      <c r="R1356" t="s">
        <v>6076</v>
      </c>
      <c r="S1356" t="s">
        <v>7324</v>
      </c>
      <c r="U1356" t="s">
        <v>376</v>
      </c>
      <c r="V1356">
        <v>983.47</v>
      </c>
      <c r="W1356" t="s">
        <v>7365</v>
      </c>
      <c r="X1356" t="s">
        <v>7367</v>
      </c>
      <c r="Y1356" t="s">
        <v>7386</v>
      </c>
      <c r="Z1356" t="s">
        <v>8457</v>
      </c>
      <c r="AB1356" t="s">
        <v>11209</v>
      </c>
      <c r="AC1356">
        <v>48</v>
      </c>
      <c r="AD1356" t="s">
        <v>12422</v>
      </c>
      <c r="AE1356" t="s">
        <v>12441</v>
      </c>
      <c r="AF1356">
        <v>26</v>
      </c>
      <c r="AG1356">
        <v>1</v>
      </c>
      <c r="AH1356">
        <v>0</v>
      </c>
      <c r="AI1356">
        <v>82.04000000000001</v>
      </c>
      <c r="AL1356" t="s">
        <v>12460</v>
      </c>
      <c r="AM1356">
        <v>9960</v>
      </c>
      <c r="AS1356">
        <v>1.65</v>
      </c>
      <c r="AT1356" t="s">
        <v>242</v>
      </c>
      <c r="AU1356" t="s">
        <v>13106</v>
      </c>
    </row>
    <row r="1357" spans="1:48">
      <c r="A1357" s="1">
        <f>HYPERLINK("https://cms.ls-nyc.org/matter/dynamic-profile/view/1879814","18-1879814")</f>
        <v>0</v>
      </c>
      <c r="B1357" t="s">
        <v>72</v>
      </c>
      <c r="C1357" t="s">
        <v>325</v>
      </c>
      <c r="E1357" t="s">
        <v>1344</v>
      </c>
      <c r="F1357" t="s">
        <v>2812</v>
      </c>
      <c r="G1357" t="s">
        <v>4503</v>
      </c>
      <c r="I1357" t="s">
        <v>6043</v>
      </c>
      <c r="J1357">
        <v>11233</v>
      </c>
      <c r="K1357" t="s">
        <v>6074</v>
      </c>
      <c r="L1357" t="s">
        <v>6074</v>
      </c>
      <c r="M1357" t="s">
        <v>6675</v>
      </c>
      <c r="N1357" t="s">
        <v>7276</v>
      </c>
      <c r="O1357" t="s">
        <v>7308</v>
      </c>
      <c r="Q1357" t="s">
        <v>7322</v>
      </c>
      <c r="R1357" t="s">
        <v>6076</v>
      </c>
      <c r="S1357" t="s">
        <v>7324</v>
      </c>
      <c r="U1357" t="s">
        <v>325</v>
      </c>
      <c r="V1357">
        <v>1236</v>
      </c>
      <c r="W1357" t="s">
        <v>7362</v>
      </c>
      <c r="X1357" t="s">
        <v>7368</v>
      </c>
      <c r="Z1357" t="s">
        <v>8458</v>
      </c>
      <c r="AA1357" t="s">
        <v>9871</v>
      </c>
      <c r="AB1357" t="s">
        <v>11210</v>
      </c>
      <c r="AC1357">
        <v>43</v>
      </c>
      <c r="AD1357" t="s">
        <v>12422</v>
      </c>
      <c r="AE1357" t="s">
        <v>12440</v>
      </c>
      <c r="AF1357">
        <v>10</v>
      </c>
      <c r="AG1357">
        <v>1</v>
      </c>
      <c r="AH1357">
        <v>0</v>
      </c>
      <c r="AI1357">
        <v>82.14</v>
      </c>
      <c r="AL1357" t="s">
        <v>12460</v>
      </c>
      <c r="AM1357">
        <v>9972</v>
      </c>
      <c r="AN1357" t="s">
        <v>12491</v>
      </c>
      <c r="AS1357">
        <v>11.2</v>
      </c>
      <c r="AT1357" t="s">
        <v>330</v>
      </c>
      <c r="AU1357" t="s">
        <v>218</v>
      </c>
    </row>
    <row r="1358" spans="1:48">
      <c r="A1358" s="1">
        <f>HYPERLINK("https://cms.ls-nyc.org/matter/dynamic-profile/view/1899751","19-1899751")</f>
        <v>0</v>
      </c>
      <c r="B1358" t="s">
        <v>132</v>
      </c>
      <c r="C1358" t="s">
        <v>316</v>
      </c>
      <c r="E1358" t="s">
        <v>699</v>
      </c>
      <c r="F1358" t="s">
        <v>2813</v>
      </c>
      <c r="G1358" t="s">
        <v>4278</v>
      </c>
      <c r="H1358" t="s">
        <v>5474</v>
      </c>
      <c r="I1358" t="s">
        <v>6049</v>
      </c>
      <c r="J1358">
        <v>10034</v>
      </c>
      <c r="K1358" t="s">
        <v>6074</v>
      </c>
      <c r="L1358" t="s">
        <v>6075</v>
      </c>
      <c r="N1358" t="s">
        <v>7276</v>
      </c>
      <c r="O1358" t="s">
        <v>7306</v>
      </c>
      <c r="Q1358" t="s">
        <v>7322</v>
      </c>
      <c r="R1358" t="s">
        <v>6074</v>
      </c>
      <c r="S1358" t="s">
        <v>7324</v>
      </c>
      <c r="U1358" t="s">
        <v>316</v>
      </c>
      <c r="V1358">
        <v>856</v>
      </c>
      <c r="W1358" t="s">
        <v>7365</v>
      </c>
      <c r="X1358" t="s">
        <v>7367</v>
      </c>
      <c r="Z1358" t="s">
        <v>8459</v>
      </c>
      <c r="AB1358" t="s">
        <v>11211</v>
      </c>
      <c r="AC1358">
        <v>44</v>
      </c>
      <c r="AD1358" t="s">
        <v>12422</v>
      </c>
      <c r="AE1358" t="s">
        <v>12434</v>
      </c>
      <c r="AF1358">
        <v>44</v>
      </c>
      <c r="AG1358">
        <v>1</v>
      </c>
      <c r="AH1358">
        <v>0</v>
      </c>
      <c r="AI1358">
        <v>82.23999999999999</v>
      </c>
      <c r="AL1358" t="s">
        <v>12460</v>
      </c>
      <c r="AM1358">
        <v>10272</v>
      </c>
      <c r="AS1358">
        <v>0</v>
      </c>
      <c r="AU1358" t="s">
        <v>13106</v>
      </c>
      <c r="AV1358" t="s">
        <v>13145</v>
      </c>
    </row>
    <row r="1359" spans="1:48">
      <c r="A1359" s="1">
        <f>HYPERLINK("https://cms.ls-nyc.org/matter/dynamic-profile/view/1882024","18-1882024")</f>
        <v>0</v>
      </c>
      <c r="B1359" t="s">
        <v>128</v>
      </c>
      <c r="C1359" t="s">
        <v>350</v>
      </c>
      <c r="E1359" t="s">
        <v>1345</v>
      </c>
      <c r="F1359" t="s">
        <v>2814</v>
      </c>
      <c r="G1359" t="s">
        <v>4129</v>
      </c>
      <c r="H1359">
        <v>35</v>
      </c>
      <c r="I1359" t="s">
        <v>6049</v>
      </c>
      <c r="J1359">
        <v>10034</v>
      </c>
      <c r="K1359" t="s">
        <v>6074</v>
      </c>
      <c r="L1359" t="s">
        <v>6074</v>
      </c>
      <c r="M1359" t="s">
        <v>6676</v>
      </c>
      <c r="N1359" t="s">
        <v>7273</v>
      </c>
      <c r="O1359" t="s">
        <v>7308</v>
      </c>
      <c r="Q1359" t="s">
        <v>7322</v>
      </c>
      <c r="R1359" t="s">
        <v>6076</v>
      </c>
      <c r="S1359" t="s">
        <v>7324</v>
      </c>
      <c r="U1359" t="s">
        <v>240</v>
      </c>
      <c r="V1359">
        <v>891.88</v>
      </c>
      <c r="W1359" t="s">
        <v>7365</v>
      </c>
      <c r="X1359" t="s">
        <v>7368</v>
      </c>
      <c r="Z1359" t="s">
        <v>8460</v>
      </c>
      <c r="AB1359" t="s">
        <v>11212</v>
      </c>
      <c r="AC1359">
        <v>25</v>
      </c>
      <c r="AD1359" t="s">
        <v>12422</v>
      </c>
      <c r="AE1359" t="s">
        <v>12434</v>
      </c>
      <c r="AF1359">
        <v>40</v>
      </c>
      <c r="AG1359">
        <v>1</v>
      </c>
      <c r="AH1359">
        <v>0</v>
      </c>
      <c r="AI1359">
        <v>82.31</v>
      </c>
      <c r="AL1359" t="s">
        <v>12477</v>
      </c>
      <c r="AM1359">
        <v>9992.4</v>
      </c>
      <c r="AS1359">
        <v>33.6</v>
      </c>
      <c r="AT1359" t="s">
        <v>329</v>
      </c>
      <c r="AU1359" t="s">
        <v>13106</v>
      </c>
    </row>
    <row r="1360" spans="1:48">
      <c r="A1360" s="1">
        <f>HYPERLINK("https://cms.ls-nyc.org/matter/dynamic-profile/view/1882020","18-1882020")</f>
        <v>0</v>
      </c>
      <c r="B1360" t="s">
        <v>128</v>
      </c>
      <c r="C1360" t="s">
        <v>350</v>
      </c>
      <c r="E1360" t="s">
        <v>1345</v>
      </c>
      <c r="F1360" t="s">
        <v>2814</v>
      </c>
      <c r="G1360" t="s">
        <v>4129</v>
      </c>
      <c r="H1360">
        <v>35</v>
      </c>
      <c r="I1360" t="s">
        <v>6049</v>
      </c>
      <c r="J1360">
        <v>10034</v>
      </c>
      <c r="K1360" t="s">
        <v>6074</v>
      </c>
      <c r="L1360" t="s">
        <v>6074</v>
      </c>
      <c r="N1360" t="s">
        <v>7288</v>
      </c>
      <c r="O1360" t="s">
        <v>7309</v>
      </c>
      <c r="Q1360" t="s">
        <v>7322</v>
      </c>
      <c r="R1360" t="s">
        <v>6076</v>
      </c>
      <c r="S1360" t="s">
        <v>7324</v>
      </c>
      <c r="U1360" t="s">
        <v>240</v>
      </c>
      <c r="V1360">
        <v>892.88</v>
      </c>
      <c r="W1360" t="s">
        <v>7365</v>
      </c>
      <c r="X1360" t="s">
        <v>7368</v>
      </c>
      <c r="Z1360" t="s">
        <v>8460</v>
      </c>
      <c r="AB1360" t="s">
        <v>11212</v>
      </c>
      <c r="AC1360">
        <v>25</v>
      </c>
      <c r="AD1360" t="s">
        <v>12422</v>
      </c>
      <c r="AE1360" t="s">
        <v>12434</v>
      </c>
      <c r="AF1360">
        <v>40</v>
      </c>
      <c r="AG1360">
        <v>1</v>
      </c>
      <c r="AH1360">
        <v>0</v>
      </c>
      <c r="AI1360">
        <v>82.31</v>
      </c>
      <c r="AL1360" t="s">
        <v>12477</v>
      </c>
      <c r="AM1360">
        <v>9992.4</v>
      </c>
      <c r="AS1360">
        <v>7.3</v>
      </c>
      <c r="AT1360" t="s">
        <v>445</v>
      </c>
      <c r="AU1360" t="s">
        <v>13106</v>
      </c>
    </row>
    <row r="1361" spans="1:47">
      <c r="A1361" s="1">
        <f>HYPERLINK("https://cms.ls-nyc.org/matter/dynamic-profile/view/1891381","19-1891381")</f>
        <v>0</v>
      </c>
      <c r="B1361" t="s">
        <v>128</v>
      </c>
      <c r="C1361" t="s">
        <v>287</v>
      </c>
      <c r="E1361" t="s">
        <v>1346</v>
      </c>
      <c r="F1361" t="s">
        <v>2815</v>
      </c>
      <c r="G1361" t="s">
        <v>4504</v>
      </c>
      <c r="H1361" t="s">
        <v>5504</v>
      </c>
      <c r="I1361" t="s">
        <v>6049</v>
      </c>
      <c r="J1361">
        <v>10034</v>
      </c>
      <c r="K1361" t="s">
        <v>6074</v>
      </c>
      <c r="L1361" t="s">
        <v>6074</v>
      </c>
      <c r="N1361" t="s">
        <v>7283</v>
      </c>
      <c r="O1361" t="s">
        <v>7307</v>
      </c>
      <c r="Q1361" t="s">
        <v>7322</v>
      </c>
      <c r="R1361" t="s">
        <v>6076</v>
      </c>
      <c r="S1361" t="s">
        <v>7324</v>
      </c>
      <c r="U1361" t="s">
        <v>287</v>
      </c>
      <c r="V1361">
        <v>2300</v>
      </c>
      <c r="W1361" t="s">
        <v>7365</v>
      </c>
      <c r="X1361" t="s">
        <v>7368</v>
      </c>
      <c r="Z1361" t="s">
        <v>8461</v>
      </c>
      <c r="AB1361" t="s">
        <v>11213</v>
      </c>
      <c r="AC1361">
        <v>22</v>
      </c>
      <c r="AD1361" t="s">
        <v>12422</v>
      </c>
      <c r="AE1361" t="s">
        <v>12441</v>
      </c>
      <c r="AF1361">
        <v>11</v>
      </c>
      <c r="AG1361">
        <v>1</v>
      </c>
      <c r="AH1361">
        <v>1</v>
      </c>
      <c r="AI1361">
        <v>82.31999999999999</v>
      </c>
      <c r="AL1361" t="s">
        <v>12460</v>
      </c>
      <c r="AM1361">
        <v>13920</v>
      </c>
      <c r="AS1361">
        <v>9.6</v>
      </c>
      <c r="AT1361" t="s">
        <v>316</v>
      </c>
      <c r="AU1361" t="s">
        <v>13106</v>
      </c>
    </row>
    <row r="1362" spans="1:47">
      <c r="A1362" s="1">
        <f>HYPERLINK("https://cms.ls-nyc.org/matter/dynamic-profile/view/1889081","19-1889081")</f>
        <v>0</v>
      </c>
      <c r="B1362" t="s">
        <v>125</v>
      </c>
      <c r="C1362" t="s">
        <v>379</v>
      </c>
      <c r="D1362" t="s">
        <v>361</v>
      </c>
      <c r="E1362" t="s">
        <v>1148</v>
      </c>
      <c r="F1362" t="s">
        <v>2606</v>
      </c>
      <c r="G1362" t="s">
        <v>4261</v>
      </c>
      <c r="H1362" t="s">
        <v>5418</v>
      </c>
      <c r="I1362" t="s">
        <v>6049</v>
      </c>
      <c r="J1362">
        <v>10034</v>
      </c>
      <c r="K1362" t="s">
        <v>6074</v>
      </c>
      <c r="L1362" t="s">
        <v>6074</v>
      </c>
      <c r="N1362" t="s">
        <v>6104</v>
      </c>
      <c r="O1362" t="s">
        <v>7306</v>
      </c>
      <c r="P1362" t="s">
        <v>7314</v>
      </c>
      <c r="Q1362" t="s">
        <v>7322</v>
      </c>
      <c r="S1362" t="s">
        <v>7324</v>
      </c>
      <c r="T1362" t="s">
        <v>7336</v>
      </c>
      <c r="U1362" t="s">
        <v>379</v>
      </c>
      <c r="V1362">
        <v>871.59</v>
      </c>
      <c r="W1362" t="s">
        <v>7365</v>
      </c>
      <c r="X1362" t="s">
        <v>7368</v>
      </c>
      <c r="Y1362" t="s">
        <v>7386</v>
      </c>
      <c r="Z1362" t="s">
        <v>8130</v>
      </c>
      <c r="AB1362" t="s">
        <v>10918</v>
      </c>
      <c r="AC1362">
        <v>0</v>
      </c>
      <c r="AD1362" t="s">
        <v>12422</v>
      </c>
      <c r="AE1362" t="s">
        <v>6110</v>
      </c>
      <c r="AF1362">
        <v>12</v>
      </c>
      <c r="AG1362">
        <v>1</v>
      </c>
      <c r="AH1362">
        <v>0</v>
      </c>
      <c r="AI1362">
        <v>82.34</v>
      </c>
      <c r="AL1362" t="s">
        <v>12461</v>
      </c>
      <c r="AM1362">
        <v>10284</v>
      </c>
      <c r="AS1362">
        <v>1.5</v>
      </c>
      <c r="AT1362" t="s">
        <v>286</v>
      </c>
      <c r="AU1362" t="s">
        <v>13106</v>
      </c>
    </row>
    <row r="1363" spans="1:47">
      <c r="A1363" s="1">
        <f>HYPERLINK("https://cms.ls-nyc.org/matter/dynamic-profile/view/1875176","18-1875176")</f>
        <v>0</v>
      </c>
      <c r="B1363" t="s">
        <v>57</v>
      </c>
      <c r="C1363" t="s">
        <v>427</v>
      </c>
      <c r="D1363" t="s">
        <v>556</v>
      </c>
      <c r="E1363" t="s">
        <v>1219</v>
      </c>
      <c r="F1363" t="s">
        <v>2816</v>
      </c>
      <c r="G1363" t="s">
        <v>4505</v>
      </c>
      <c r="I1363" t="s">
        <v>6025</v>
      </c>
      <c r="J1363">
        <v>11691</v>
      </c>
      <c r="K1363" t="s">
        <v>6074</v>
      </c>
      <c r="L1363" t="s">
        <v>6074</v>
      </c>
      <c r="M1363" t="s">
        <v>6677</v>
      </c>
      <c r="N1363" t="s">
        <v>7274</v>
      </c>
      <c r="O1363" t="s">
        <v>7306</v>
      </c>
      <c r="P1363" t="s">
        <v>7314</v>
      </c>
      <c r="Q1363" t="s">
        <v>7322</v>
      </c>
      <c r="R1363" t="s">
        <v>6076</v>
      </c>
      <c r="S1363" t="s">
        <v>7324</v>
      </c>
      <c r="T1363" t="s">
        <v>7336</v>
      </c>
      <c r="U1363" t="s">
        <v>243</v>
      </c>
      <c r="V1363">
        <v>0</v>
      </c>
      <c r="W1363" t="s">
        <v>7361</v>
      </c>
      <c r="X1363" t="s">
        <v>7370</v>
      </c>
      <c r="Y1363" t="s">
        <v>7386</v>
      </c>
      <c r="Z1363" t="s">
        <v>8462</v>
      </c>
      <c r="AA1363" t="s">
        <v>6110</v>
      </c>
      <c r="AB1363" t="s">
        <v>11214</v>
      </c>
      <c r="AC1363">
        <v>2</v>
      </c>
      <c r="AD1363" t="s">
        <v>12419</v>
      </c>
      <c r="AE1363" t="s">
        <v>6110</v>
      </c>
      <c r="AF1363">
        <v>20</v>
      </c>
      <c r="AG1363">
        <v>1</v>
      </c>
      <c r="AH1363">
        <v>0</v>
      </c>
      <c r="AI1363">
        <v>82.37</v>
      </c>
      <c r="AL1363" t="s">
        <v>12460</v>
      </c>
      <c r="AM1363">
        <v>10000</v>
      </c>
      <c r="AS1363">
        <v>2.05</v>
      </c>
      <c r="AT1363" t="s">
        <v>367</v>
      </c>
      <c r="AU1363" t="s">
        <v>13077</v>
      </c>
    </row>
    <row r="1364" spans="1:47">
      <c r="A1364" s="1">
        <f>HYPERLINK("https://cms.ls-nyc.org/matter/dynamic-profile/view/1880588","18-1880588")</f>
        <v>0</v>
      </c>
      <c r="B1364" t="s">
        <v>59</v>
      </c>
      <c r="C1364" t="s">
        <v>360</v>
      </c>
      <c r="D1364" t="s">
        <v>346</v>
      </c>
      <c r="E1364" t="s">
        <v>901</v>
      </c>
      <c r="F1364" t="s">
        <v>2817</v>
      </c>
      <c r="G1364" t="s">
        <v>4506</v>
      </c>
      <c r="H1364">
        <v>1</v>
      </c>
      <c r="I1364" t="s">
        <v>6025</v>
      </c>
      <c r="J1364">
        <v>11691</v>
      </c>
      <c r="K1364" t="s">
        <v>6074</v>
      </c>
      <c r="L1364" t="s">
        <v>6074</v>
      </c>
      <c r="M1364" t="s">
        <v>6678</v>
      </c>
      <c r="N1364" t="s">
        <v>7276</v>
      </c>
      <c r="O1364" t="s">
        <v>7306</v>
      </c>
      <c r="P1364" t="s">
        <v>7314</v>
      </c>
      <c r="Q1364" t="s">
        <v>7322</v>
      </c>
      <c r="R1364" t="s">
        <v>6076</v>
      </c>
      <c r="S1364" t="s">
        <v>7324</v>
      </c>
      <c r="T1364" t="s">
        <v>7339</v>
      </c>
      <c r="U1364" t="s">
        <v>360</v>
      </c>
      <c r="V1364">
        <v>1200</v>
      </c>
      <c r="W1364" t="s">
        <v>7361</v>
      </c>
      <c r="X1364" t="s">
        <v>7366</v>
      </c>
      <c r="Y1364" t="s">
        <v>7386</v>
      </c>
      <c r="Z1364" t="s">
        <v>8463</v>
      </c>
      <c r="AB1364" t="s">
        <v>11215</v>
      </c>
      <c r="AC1364">
        <v>2</v>
      </c>
      <c r="AD1364" t="s">
        <v>6322</v>
      </c>
      <c r="AE1364" t="s">
        <v>6110</v>
      </c>
      <c r="AF1364">
        <v>3</v>
      </c>
      <c r="AG1364">
        <v>1</v>
      </c>
      <c r="AH1364">
        <v>0</v>
      </c>
      <c r="AI1364">
        <v>82.37</v>
      </c>
      <c r="AL1364" t="s">
        <v>12460</v>
      </c>
      <c r="AM1364">
        <v>10000</v>
      </c>
      <c r="AS1364">
        <v>0.4</v>
      </c>
      <c r="AT1364" t="s">
        <v>464</v>
      </c>
      <c r="AU1364" t="s">
        <v>189</v>
      </c>
    </row>
    <row r="1365" spans="1:47">
      <c r="A1365" s="1">
        <f>HYPERLINK("https://cms.ls-nyc.org/matter/dynamic-profile/view/1876389","18-1876389")</f>
        <v>0</v>
      </c>
      <c r="B1365" t="s">
        <v>90</v>
      </c>
      <c r="C1365" t="s">
        <v>336</v>
      </c>
      <c r="E1365" t="s">
        <v>1347</v>
      </c>
      <c r="F1365" t="s">
        <v>2818</v>
      </c>
      <c r="G1365" t="s">
        <v>4507</v>
      </c>
      <c r="H1365" t="s">
        <v>5378</v>
      </c>
      <c r="I1365" t="s">
        <v>6043</v>
      </c>
      <c r="J1365">
        <v>11216</v>
      </c>
      <c r="K1365" t="s">
        <v>6074</v>
      </c>
      <c r="L1365" t="s">
        <v>6074</v>
      </c>
      <c r="M1365" t="s">
        <v>6679</v>
      </c>
      <c r="N1365" t="s">
        <v>7282</v>
      </c>
      <c r="O1365" t="s">
        <v>7308</v>
      </c>
      <c r="Q1365" t="s">
        <v>7322</v>
      </c>
      <c r="R1365" t="s">
        <v>6074</v>
      </c>
      <c r="S1365" t="s">
        <v>7324</v>
      </c>
      <c r="T1365" t="s">
        <v>7336</v>
      </c>
      <c r="U1365" t="s">
        <v>427</v>
      </c>
      <c r="V1365">
        <v>952.42</v>
      </c>
      <c r="W1365" t="s">
        <v>7362</v>
      </c>
      <c r="X1365" t="s">
        <v>7368</v>
      </c>
      <c r="Z1365" t="s">
        <v>8464</v>
      </c>
      <c r="AB1365" t="s">
        <v>11216</v>
      </c>
      <c r="AC1365">
        <v>82</v>
      </c>
      <c r="AD1365" t="s">
        <v>12422</v>
      </c>
      <c r="AE1365" t="s">
        <v>6110</v>
      </c>
      <c r="AF1365">
        <v>7</v>
      </c>
      <c r="AG1365">
        <v>1</v>
      </c>
      <c r="AH1365">
        <v>0</v>
      </c>
      <c r="AI1365">
        <v>82.37</v>
      </c>
      <c r="AL1365" t="s">
        <v>12460</v>
      </c>
      <c r="AM1365">
        <v>10000</v>
      </c>
      <c r="AN1365" t="s">
        <v>12525</v>
      </c>
      <c r="AS1365">
        <v>212.75</v>
      </c>
      <c r="AT1365" t="s">
        <v>324</v>
      </c>
      <c r="AU1365" t="s">
        <v>90</v>
      </c>
    </row>
    <row r="1366" spans="1:47">
      <c r="A1366" s="1">
        <f>HYPERLINK("https://cms.ls-nyc.org/matter/dynamic-profile/view/1881489","18-1881489")</f>
        <v>0</v>
      </c>
      <c r="B1366" t="s">
        <v>90</v>
      </c>
      <c r="C1366" t="s">
        <v>369</v>
      </c>
      <c r="E1366" t="s">
        <v>586</v>
      </c>
      <c r="F1366" t="s">
        <v>2819</v>
      </c>
      <c r="G1366" t="s">
        <v>4507</v>
      </c>
      <c r="H1366" t="s">
        <v>5504</v>
      </c>
      <c r="I1366" t="s">
        <v>6043</v>
      </c>
      <c r="J1366">
        <v>11216</v>
      </c>
      <c r="K1366" t="s">
        <v>6074</v>
      </c>
      <c r="L1366" t="s">
        <v>6074</v>
      </c>
      <c r="M1366" t="s">
        <v>6679</v>
      </c>
      <c r="N1366" t="s">
        <v>7282</v>
      </c>
      <c r="O1366" t="s">
        <v>7308</v>
      </c>
      <c r="Q1366" t="s">
        <v>7322</v>
      </c>
      <c r="R1366" t="s">
        <v>6074</v>
      </c>
      <c r="S1366" t="s">
        <v>7324</v>
      </c>
      <c r="T1366" t="s">
        <v>7336</v>
      </c>
      <c r="U1366" t="s">
        <v>391</v>
      </c>
      <c r="V1366">
        <v>1650</v>
      </c>
      <c r="W1366" t="s">
        <v>7362</v>
      </c>
      <c r="X1366" t="s">
        <v>7375</v>
      </c>
      <c r="Z1366" t="s">
        <v>8465</v>
      </c>
      <c r="AA1366" t="s">
        <v>6101</v>
      </c>
      <c r="AB1366" t="s">
        <v>11217</v>
      </c>
      <c r="AC1366">
        <v>8</v>
      </c>
      <c r="AD1366" t="s">
        <v>12422</v>
      </c>
      <c r="AE1366" t="s">
        <v>6110</v>
      </c>
      <c r="AF1366">
        <v>1</v>
      </c>
      <c r="AG1366">
        <v>1</v>
      </c>
      <c r="AH1366">
        <v>0</v>
      </c>
      <c r="AI1366">
        <v>82.37</v>
      </c>
      <c r="AL1366" t="s">
        <v>12460</v>
      </c>
      <c r="AM1366">
        <v>9999.959999999999</v>
      </c>
      <c r="AN1366" t="s">
        <v>12532</v>
      </c>
      <c r="AS1366">
        <v>0</v>
      </c>
      <c r="AU1366" t="s">
        <v>218</v>
      </c>
    </row>
    <row r="1367" spans="1:47">
      <c r="A1367" s="1">
        <f>HYPERLINK("https://cms.ls-nyc.org/matter/dynamic-profile/view/1883130","18-1883130")</f>
        <v>0</v>
      </c>
      <c r="B1367" t="s">
        <v>90</v>
      </c>
      <c r="C1367" t="s">
        <v>331</v>
      </c>
      <c r="E1367" t="s">
        <v>1347</v>
      </c>
      <c r="F1367" t="s">
        <v>2818</v>
      </c>
      <c r="G1367" t="s">
        <v>4507</v>
      </c>
      <c r="H1367" t="s">
        <v>5378</v>
      </c>
      <c r="I1367" t="s">
        <v>6043</v>
      </c>
      <c r="J1367">
        <v>11216</v>
      </c>
      <c r="K1367" t="s">
        <v>6074</v>
      </c>
      <c r="L1367" t="s">
        <v>6074</v>
      </c>
      <c r="M1367" t="s">
        <v>6680</v>
      </c>
      <c r="N1367" t="s">
        <v>7273</v>
      </c>
      <c r="O1367" t="s">
        <v>7308</v>
      </c>
      <c r="Q1367" t="s">
        <v>7322</v>
      </c>
      <c r="R1367" t="s">
        <v>6076</v>
      </c>
      <c r="S1367" t="s">
        <v>7324</v>
      </c>
      <c r="T1367" t="s">
        <v>7336</v>
      </c>
      <c r="U1367" t="s">
        <v>427</v>
      </c>
      <c r="V1367">
        <v>952.42</v>
      </c>
      <c r="W1367" t="s">
        <v>7362</v>
      </c>
      <c r="X1367" t="s">
        <v>7368</v>
      </c>
      <c r="Z1367" t="s">
        <v>8464</v>
      </c>
      <c r="AB1367" t="s">
        <v>11216</v>
      </c>
      <c r="AC1367">
        <v>82</v>
      </c>
      <c r="AD1367" t="s">
        <v>12422</v>
      </c>
      <c r="AE1367" t="s">
        <v>6110</v>
      </c>
      <c r="AF1367">
        <v>7</v>
      </c>
      <c r="AG1367">
        <v>1</v>
      </c>
      <c r="AH1367">
        <v>0</v>
      </c>
      <c r="AI1367">
        <v>82.37</v>
      </c>
      <c r="AL1367" t="s">
        <v>12460</v>
      </c>
      <c r="AM1367">
        <v>10000</v>
      </c>
      <c r="AS1367">
        <v>35.7</v>
      </c>
      <c r="AT1367" t="s">
        <v>496</v>
      </c>
      <c r="AU1367" t="s">
        <v>180</v>
      </c>
    </row>
    <row r="1368" spans="1:47">
      <c r="A1368" s="1">
        <f>HYPERLINK("https://cms.ls-nyc.org/matter/dynamic-profile/view/1881486","18-1881486")</f>
        <v>0</v>
      </c>
      <c r="B1368" t="s">
        <v>90</v>
      </c>
      <c r="C1368" t="s">
        <v>369</v>
      </c>
      <c r="E1368" t="s">
        <v>586</v>
      </c>
      <c r="F1368" t="s">
        <v>2819</v>
      </c>
      <c r="G1368" t="s">
        <v>4507</v>
      </c>
      <c r="H1368" t="s">
        <v>5504</v>
      </c>
      <c r="I1368" t="s">
        <v>6043</v>
      </c>
      <c r="J1368">
        <v>11216</v>
      </c>
      <c r="K1368" t="s">
        <v>6074</v>
      </c>
      <c r="L1368" t="s">
        <v>6074</v>
      </c>
      <c r="M1368" t="s">
        <v>6104</v>
      </c>
      <c r="N1368" t="s">
        <v>6104</v>
      </c>
      <c r="O1368" t="s">
        <v>7307</v>
      </c>
      <c r="Q1368" t="s">
        <v>7322</v>
      </c>
      <c r="R1368" t="s">
        <v>6074</v>
      </c>
      <c r="S1368" t="s">
        <v>7324</v>
      </c>
      <c r="T1368" t="s">
        <v>7336</v>
      </c>
      <c r="U1368" t="s">
        <v>391</v>
      </c>
      <c r="V1368">
        <v>1650</v>
      </c>
      <c r="W1368" t="s">
        <v>7362</v>
      </c>
      <c r="X1368" t="s">
        <v>7375</v>
      </c>
      <c r="Z1368" t="s">
        <v>8465</v>
      </c>
      <c r="AA1368" t="s">
        <v>6110</v>
      </c>
      <c r="AB1368" t="s">
        <v>11217</v>
      </c>
      <c r="AC1368">
        <v>8</v>
      </c>
      <c r="AD1368" t="s">
        <v>12422</v>
      </c>
      <c r="AE1368" t="s">
        <v>6110</v>
      </c>
      <c r="AF1368">
        <v>1</v>
      </c>
      <c r="AG1368">
        <v>1</v>
      </c>
      <c r="AH1368">
        <v>0</v>
      </c>
      <c r="AI1368">
        <v>82.37</v>
      </c>
      <c r="AK1368" t="s">
        <v>12458</v>
      </c>
      <c r="AL1368" t="s">
        <v>12460</v>
      </c>
      <c r="AM1368">
        <v>9999.959999999999</v>
      </c>
      <c r="AN1368" t="s">
        <v>12532</v>
      </c>
      <c r="AS1368">
        <v>0</v>
      </c>
      <c r="AU1368" t="s">
        <v>218</v>
      </c>
    </row>
    <row r="1369" spans="1:47">
      <c r="A1369" s="1">
        <f>HYPERLINK("https://cms.ls-nyc.org/matter/dynamic-profile/view/1883103","18-1883103")</f>
        <v>0</v>
      </c>
      <c r="B1369" t="s">
        <v>90</v>
      </c>
      <c r="C1369" t="s">
        <v>331</v>
      </c>
      <c r="E1369" t="s">
        <v>1347</v>
      </c>
      <c r="F1369" t="s">
        <v>2818</v>
      </c>
      <c r="G1369" t="s">
        <v>4507</v>
      </c>
      <c r="H1369" t="s">
        <v>5378</v>
      </c>
      <c r="I1369" t="s">
        <v>6043</v>
      </c>
      <c r="J1369">
        <v>11216</v>
      </c>
      <c r="K1369" t="s">
        <v>6074</v>
      </c>
      <c r="L1369" t="s">
        <v>6074</v>
      </c>
      <c r="N1369" t="s">
        <v>7275</v>
      </c>
      <c r="O1369" t="s">
        <v>7307</v>
      </c>
      <c r="Q1369" t="s">
        <v>7322</v>
      </c>
      <c r="R1369" t="s">
        <v>6074</v>
      </c>
      <c r="S1369" t="s">
        <v>7324</v>
      </c>
      <c r="T1369" t="s">
        <v>7336</v>
      </c>
      <c r="U1369" t="s">
        <v>427</v>
      </c>
      <c r="V1369">
        <v>952.42</v>
      </c>
      <c r="W1369" t="s">
        <v>7362</v>
      </c>
      <c r="X1369" t="s">
        <v>7368</v>
      </c>
      <c r="Z1369" t="s">
        <v>8464</v>
      </c>
      <c r="AB1369" t="s">
        <v>11216</v>
      </c>
      <c r="AC1369">
        <v>82</v>
      </c>
      <c r="AD1369" t="s">
        <v>12422</v>
      </c>
      <c r="AE1369" t="s">
        <v>6110</v>
      </c>
      <c r="AF1369">
        <v>7</v>
      </c>
      <c r="AG1369">
        <v>1</v>
      </c>
      <c r="AH1369">
        <v>0</v>
      </c>
      <c r="AI1369">
        <v>82.37</v>
      </c>
      <c r="AL1369" t="s">
        <v>12460</v>
      </c>
      <c r="AM1369">
        <v>10000</v>
      </c>
      <c r="AS1369">
        <v>0</v>
      </c>
      <c r="AU1369" t="s">
        <v>180</v>
      </c>
    </row>
    <row r="1370" spans="1:47">
      <c r="A1370" s="1">
        <f>HYPERLINK("https://cms.ls-nyc.org/matter/dynamic-profile/view/1876805","18-1876805")</f>
        <v>0</v>
      </c>
      <c r="B1370" t="s">
        <v>97</v>
      </c>
      <c r="C1370" t="s">
        <v>289</v>
      </c>
      <c r="D1370" t="s">
        <v>472</v>
      </c>
      <c r="E1370" t="s">
        <v>1348</v>
      </c>
      <c r="F1370" t="s">
        <v>2820</v>
      </c>
      <c r="G1370" t="s">
        <v>3939</v>
      </c>
      <c r="H1370" t="s">
        <v>5359</v>
      </c>
      <c r="I1370" t="s">
        <v>6047</v>
      </c>
      <c r="J1370">
        <v>10456</v>
      </c>
      <c r="K1370" t="s">
        <v>6074</v>
      </c>
      <c r="L1370" t="s">
        <v>6074</v>
      </c>
      <c r="N1370" t="s">
        <v>7279</v>
      </c>
      <c r="O1370" t="s">
        <v>7306</v>
      </c>
      <c r="P1370" t="s">
        <v>7314</v>
      </c>
      <c r="Q1370" t="s">
        <v>7322</v>
      </c>
      <c r="R1370" t="s">
        <v>6074</v>
      </c>
      <c r="S1370" t="s">
        <v>7324</v>
      </c>
      <c r="U1370" t="s">
        <v>464</v>
      </c>
      <c r="V1370">
        <v>525</v>
      </c>
      <c r="W1370" t="s">
        <v>7363</v>
      </c>
      <c r="X1370" t="s">
        <v>7376</v>
      </c>
      <c r="Y1370" t="s">
        <v>7386</v>
      </c>
      <c r="Z1370" t="s">
        <v>8466</v>
      </c>
      <c r="AC1370">
        <v>131</v>
      </c>
      <c r="AD1370" t="s">
        <v>12422</v>
      </c>
      <c r="AE1370" t="s">
        <v>6110</v>
      </c>
      <c r="AF1370">
        <v>12</v>
      </c>
      <c r="AG1370">
        <v>1</v>
      </c>
      <c r="AH1370">
        <v>0</v>
      </c>
      <c r="AI1370">
        <v>82.37</v>
      </c>
      <c r="AL1370" t="s">
        <v>12460</v>
      </c>
      <c r="AM1370">
        <v>10000</v>
      </c>
      <c r="AS1370">
        <v>0.2</v>
      </c>
      <c r="AT1370" t="s">
        <v>310</v>
      </c>
      <c r="AU1370" t="s">
        <v>13095</v>
      </c>
    </row>
    <row r="1371" spans="1:47">
      <c r="A1371" s="1">
        <f>HYPERLINK("https://cms.ls-nyc.org/matter/dynamic-profile/view/1876802","18-1876802")</f>
        <v>0</v>
      </c>
      <c r="B1371" t="s">
        <v>101</v>
      </c>
      <c r="C1371" t="s">
        <v>289</v>
      </c>
      <c r="E1371" t="s">
        <v>1348</v>
      </c>
      <c r="F1371" t="s">
        <v>2820</v>
      </c>
      <c r="G1371" t="s">
        <v>3939</v>
      </c>
      <c r="H1371" t="s">
        <v>5359</v>
      </c>
      <c r="I1371" t="s">
        <v>6047</v>
      </c>
      <c r="J1371">
        <v>10456</v>
      </c>
      <c r="K1371" t="s">
        <v>6074</v>
      </c>
      <c r="L1371" t="s">
        <v>6074</v>
      </c>
      <c r="M1371" t="s">
        <v>6287</v>
      </c>
      <c r="N1371" t="s">
        <v>7273</v>
      </c>
      <c r="O1371" t="s">
        <v>7308</v>
      </c>
      <c r="Q1371" t="s">
        <v>7322</v>
      </c>
      <c r="R1371" t="s">
        <v>6074</v>
      </c>
      <c r="S1371" t="s">
        <v>7324</v>
      </c>
      <c r="U1371" t="s">
        <v>502</v>
      </c>
      <c r="V1371">
        <v>525</v>
      </c>
      <c r="W1371" t="s">
        <v>7363</v>
      </c>
      <c r="X1371" t="s">
        <v>7376</v>
      </c>
      <c r="Z1371" t="s">
        <v>8466</v>
      </c>
      <c r="AC1371">
        <v>131</v>
      </c>
      <c r="AD1371" t="s">
        <v>12422</v>
      </c>
      <c r="AE1371" t="s">
        <v>6110</v>
      </c>
      <c r="AF1371">
        <v>12</v>
      </c>
      <c r="AG1371">
        <v>1</v>
      </c>
      <c r="AH1371">
        <v>0</v>
      </c>
      <c r="AI1371">
        <v>82.37</v>
      </c>
      <c r="AL1371" t="s">
        <v>12460</v>
      </c>
      <c r="AM1371">
        <v>10000</v>
      </c>
      <c r="AS1371">
        <v>0</v>
      </c>
      <c r="AU1371" t="s">
        <v>13095</v>
      </c>
    </row>
    <row r="1372" spans="1:47">
      <c r="A1372" s="1">
        <f>HYPERLINK("https://cms.ls-nyc.org/matter/dynamic-profile/view/1882289","18-1882289")</f>
        <v>0</v>
      </c>
      <c r="B1372" t="s">
        <v>103</v>
      </c>
      <c r="C1372" t="s">
        <v>360</v>
      </c>
      <c r="E1372" t="s">
        <v>716</v>
      </c>
      <c r="F1372" t="s">
        <v>2174</v>
      </c>
      <c r="G1372" t="s">
        <v>3810</v>
      </c>
      <c r="H1372" t="s">
        <v>5707</v>
      </c>
      <c r="I1372" t="s">
        <v>6047</v>
      </c>
      <c r="J1372">
        <v>10451</v>
      </c>
      <c r="K1372" t="s">
        <v>6074</v>
      </c>
      <c r="L1372" t="s">
        <v>6074</v>
      </c>
      <c r="M1372" t="s">
        <v>6201</v>
      </c>
      <c r="N1372" t="s">
        <v>7273</v>
      </c>
      <c r="O1372" t="s">
        <v>7308</v>
      </c>
      <c r="Q1372" t="s">
        <v>7322</v>
      </c>
      <c r="R1372" t="s">
        <v>6074</v>
      </c>
      <c r="S1372" t="s">
        <v>7324</v>
      </c>
      <c r="U1372" t="s">
        <v>472</v>
      </c>
      <c r="V1372">
        <v>250</v>
      </c>
      <c r="W1372" t="s">
        <v>7363</v>
      </c>
      <c r="X1372" t="s">
        <v>7376</v>
      </c>
      <c r="Z1372" t="s">
        <v>8467</v>
      </c>
      <c r="AB1372" t="s">
        <v>11218</v>
      </c>
      <c r="AC1372">
        <v>100</v>
      </c>
      <c r="AD1372" t="s">
        <v>12422</v>
      </c>
      <c r="AE1372" t="s">
        <v>12440</v>
      </c>
      <c r="AF1372">
        <v>15</v>
      </c>
      <c r="AG1372">
        <v>1</v>
      </c>
      <c r="AH1372">
        <v>0</v>
      </c>
      <c r="AI1372">
        <v>82.37</v>
      </c>
      <c r="AL1372" t="s">
        <v>12460</v>
      </c>
      <c r="AM1372">
        <v>10000</v>
      </c>
      <c r="AS1372">
        <v>0.5</v>
      </c>
      <c r="AT1372" t="s">
        <v>397</v>
      </c>
      <c r="AU1372" t="s">
        <v>13095</v>
      </c>
    </row>
    <row r="1373" spans="1:47">
      <c r="A1373" s="1">
        <f>HYPERLINK("https://cms.ls-nyc.org/matter/dynamic-profile/view/1877861","18-1877861")</f>
        <v>0</v>
      </c>
      <c r="B1373" t="s">
        <v>128</v>
      </c>
      <c r="C1373" t="s">
        <v>432</v>
      </c>
      <c r="E1373" t="s">
        <v>933</v>
      </c>
      <c r="F1373" t="s">
        <v>1897</v>
      </c>
      <c r="G1373" t="s">
        <v>4508</v>
      </c>
      <c r="H1373" t="s">
        <v>5439</v>
      </c>
      <c r="I1373" t="s">
        <v>6049</v>
      </c>
      <c r="J1373">
        <v>10035</v>
      </c>
      <c r="K1373" t="s">
        <v>6074</v>
      </c>
      <c r="L1373" t="s">
        <v>6074</v>
      </c>
      <c r="M1373" t="s">
        <v>6681</v>
      </c>
      <c r="N1373" t="s">
        <v>7273</v>
      </c>
      <c r="O1373" t="s">
        <v>7308</v>
      </c>
      <c r="Q1373" t="s">
        <v>7322</v>
      </c>
      <c r="R1373" t="s">
        <v>6076</v>
      </c>
      <c r="S1373" t="s">
        <v>7324</v>
      </c>
      <c r="U1373" t="s">
        <v>383</v>
      </c>
      <c r="V1373">
        <v>1000</v>
      </c>
      <c r="W1373" t="s">
        <v>7365</v>
      </c>
      <c r="X1373" t="s">
        <v>7368</v>
      </c>
      <c r="Z1373" t="s">
        <v>8468</v>
      </c>
      <c r="AB1373" t="s">
        <v>11219</v>
      </c>
      <c r="AC1373">
        <v>7</v>
      </c>
      <c r="AD1373" t="s">
        <v>12422</v>
      </c>
      <c r="AE1373" t="s">
        <v>6110</v>
      </c>
      <c r="AF1373">
        <v>8</v>
      </c>
      <c r="AG1373">
        <v>1</v>
      </c>
      <c r="AH1373">
        <v>0</v>
      </c>
      <c r="AI1373">
        <v>82.37</v>
      </c>
      <c r="AL1373" t="s">
        <v>12460</v>
      </c>
      <c r="AM1373">
        <v>10000</v>
      </c>
      <c r="AS1373">
        <v>33.4</v>
      </c>
      <c r="AT1373" t="s">
        <v>501</v>
      </c>
      <c r="AU1373" t="s">
        <v>13107</v>
      </c>
    </row>
    <row r="1374" spans="1:47">
      <c r="A1374" s="1">
        <f>HYPERLINK("https://cms.ls-nyc.org/matter/dynamic-profile/view/1872059","18-1872059")</f>
        <v>0</v>
      </c>
      <c r="B1374" t="s">
        <v>126</v>
      </c>
      <c r="C1374" t="s">
        <v>304</v>
      </c>
      <c r="E1374" t="s">
        <v>812</v>
      </c>
      <c r="F1374" t="s">
        <v>2787</v>
      </c>
      <c r="G1374" t="s">
        <v>4472</v>
      </c>
      <c r="H1374" t="s">
        <v>5462</v>
      </c>
      <c r="I1374" t="s">
        <v>6049</v>
      </c>
      <c r="J1374">
        <v>10035</v>
      </c>
      <c r="K1374" t="s">
        <v>6074</v>
      </c>
      <c r="L1374" t="s">
        <v>6074</v>
      </c>
      <c r="M1374" t="s">
        <v>6682</v>
      </c>
      <c r="N1374" t="s">
        <v>7276</v>
      </c>
      <c r="O1374" t="s">
        <v>7308</v>
      </c>
      <c r="Q1374" t="s">
        <v>7322</v>
      </c>
      <c r="R1374" t="s">
        <v>6076</v>
      </c>
      <c r="S1374" t="s">
        <v>7324</v>
      </c>
      <c r="T1374" t="s">
        <v>7336</v>
      </c>
      <c r="U1374" t="s">
        <v>304</v>
      </c>
      <c r="V1374">
        <v>858.95</v>
      </c>
      <c r="W1374" t="s">
        <v>7365</v>
      </c>
      <c r="X1374" t="s">
        <v>7368</v>
      </c>
      <c r="Z1374" t="s">
        <v>8413</v>
      </c>
      <c r="AB1374" t="s">
        <v>11168</v>
      </c>
      <c r="AC1374">
        <v>35</v>
      </c>
      <c r="AD1374" t="s">
        <v>12422</v>
      </c>
      <c r="AE1374" t="s">
        <v>6110</v>
      </c>
      <c r="AF1374">
        <v>24</v>
      </c>
      <c r="AG1374">
        <v>1</v>
      </c>
      <c r="AH1374">
        <v>0</v>
      </c>
      <c r="AI1374">
        <v>82.37</v>
      </c>
      <c r="AL1374" t="s">
        <v>12461</v>
      </c>
      <c r="AM1374">
        <v>10000</v>
      </c>
      <c r="AS1374">
        <v>16</v>
      </c>
      <c r="AT1374" t="s">
        <v>459</v>
      </c>
      <c r="AU1374" t="s">
        <v>13107</v>
      </c>
    </row>
    <row r="1375" spans="1:47">
      <c r="A1375" s="1">
        <f>HYPERLINK("https://cms.ls-nyc.org/matter/dynamic-profile/view/1882662","18-1882662")</f>
        <v>0</v>
      </c>
      <c r="B1375" t="s">
        <v>132</v>
      </c>
      <c r="C1375" t="s">
        <v>296</v>
      </c>
      <c r="D1375" t="s">
        <v>504</v>
      </c>
      <c r="E1375" t="s">
        <v>1349</v>
      </c>
      <c r="F1375" t="s">
        <v>2821</v>
      </c>
      <c r="G1375" t="s">
        <v>4509</v>
      </c>
      <c r="H1375">
        <v>51</v>
      </c>
      <c r="I1375" t="s">
        <v>6049</v>
      </c>
      <c r="J1375">
        <v>10034</v>
      </c>
      <c r="K1375" t="s">
        <v>6074</v>
      </c>
      <c r="L1375" t="s">
        <v>6074</v>
      </c>
      <c r="O1375" t="s">
        <v>7306</v>
      </c>
      <c r="P1375" t="s">
        <v>7314</v>
      </c>
      <c r="Q1375" t="s">
        <v>7322</v>
      </c>
      <c r="R1375" t="s">
        <v>6076</v>
      </c>
      <c r="S1375" t="s">
        <v>7324</v>
      </c>
      <c r="U1375" t="s">
        <v>296</v>
      </c>
      <c r="V1375">
        <v>946.96</v>
      </c>
      <c r="W1375" t="s">
        <v>7365</v>
      </c>
      <c r="X1375" t="s">
        <v>7367</v>
      </c>
      <c r="Y1375" t="s">
        <v>7386</v>
      </c>
      <c r="Z1375" t="s">
        <v>8469</v>
      </c>
      <c r="AB1375" t="s">
        <v>11220</v>
      </c>
      <c r="AC1375">
        <v>0</v>
      </c>
      <c r="AD1375" t="s">
        <v>12422</v>
      </c>
      <c r="AF1375">
        <v>23</v>
      </c>
      <c r="AG1375">
        <v>1</v>
      </c>
      <c r="AH1375">
        <v>0</v>
      </c>
      <c r="AI1375">
        <v>82.37</v>
      </c>
      <c r="AL1375" t="s">
        <v>12460</v>
      </c>
      <c r="AM1375">
        <v>10000</v>
      </c>
      <c r="AS1375">
        <v>0.1</v>
      </c>
      <c r="AT1375" t="s">
        <v>331</v>
      </c>
      <c r="AU1375" t="s">
        <v>13106</v>
      </c>
    </row>
    <row r="1376" spans="1:47">
      <c r="A1376" s="1">
        <f>HYPERLINK("https://cms.ls-nyc.org/matter/dynamic-profile/view/1872583","18-1872583")</f>
        <v>0</v>
      </c>
      <c r="B1376" t="s">
        <v>181</v>
      </c>
      <c r="C1376" t="s">
        <v>242</v>
      </c>
      <c r="E1376" t="s">
        <v>1350</v>
      </c>
      <c r="F1376" t="s">
        <v>2822</v>
      </c>
      <c r="G1376" t="s">
        <v>4510</v>
      </c>
      <c r="H1376" t="s">
        <v>5405</v>
      </c>
      <c r="I1376" t="s">
        <v>6049</v>
      </c>
      <c r="J1376">
        <v>10032</v>
      </c>
      <c r="K1376" t="s">
        <v>6074</v>
      </c>
      <c r="L1376" t="s">
        <v>6074</v>
      </c>
      <c r="N1376" t="s">
        <v>7275</v>
      </c>
      <c r="O1376" t="s">
        <v>7309</v>
      </c>
      <c r="Q1376" t="s">
        <v>7322</v>
      </c>
      <c r="R1376" t="s">
        <v>6076</v>
      </c>
      <c r="S1376" t="s">
        <v>7324</v>
      </c>
      <c r="U1376" t="s">
        <v>242</v>
      </c>
      <c r="V1376">
        <v>490.42</v>
      </c>
      <c r="W1376" t="s">
        <v>7365</v>
      </c>
      <c r="X1376" t="s">
        <v>7367</v>
      </c>
      <c r="Z1376" t="s">
        <v>8470</v>
      </c>
      <c r="AB1376" t="s">
        <v>11221</v>
      </c>
      <c r="AC1376">
        <v>0</v>
      </c>
      <c r="AD1376" t="s">
        <v>12422</v>
      </c>
      <c r="AE1376" t="s">
        <v>6110</v>
      </c>
      <c r="AF1376">
        <v>50</v>
      </c>
      <c r="AG1376">
        <v>1</v>
      </c>
      <c r="AH1376">
        <v>0</v>
      </c>
      <c r="AI1376">
        <v>82.37</v>
      </c>
      <c r="AL1376" t="s">
        <v>12460</v>
      </c>
      <c r="AM1376">
        <v>10000</v>
      </c>
      <c r="AS1376">
        <v>15</v>
      </c>
      <c r="AT1376" t="s">
        <v>260</v>
      </c>
      <c r="AU1376" t="s">
        <v>13106</v>
      </c>
    </row>
    <row r="1377" spans="1:48">
      <c r="A1377" s="1">
        <f>HYPERLINK("https://cms.ls-nyc.org/matter/dynamic-profile/view/1888910","19-1888910")</f>
        <v>0</v>
      </c>
      <c r="B1377" t="s">
        <v>82</v>
      </c>
      <c r="C1377" t="s">
        <v>456</v>
      </c>
      <c r="E1377" t="s">
        <v>1351</v>
      </c>
      <c r="F1377" t="s">
        <v>2823</v>
      </c>
      <c r="G1377" t="s">
        <v>4511</v>
      </c>
      <c r="H1377" t="s">
        <v>5708</v>
      </c>
      <c r="I1377" t="s">
        <v>6043</v>
      </c>
      <c r="J1377">
        <v>11226</v>
      </c>
      <c r="K1377" t="s">
        <v>6074</v>
      </c>
      <c r="L1377" t="s">
        <v>6074</v>
      </c>
      <c r="O1377" t="s">
        <v>7309</v>
      </c>
      <c r="Q1377" t="s">
        <v>7322</v>
      </c>
      <c r="S1377" t="s">
        <v>7324</v>
      </c>
      <c r="U1377" t="s">
        <v>456</v>
      </c>
      <c r="V1377">
        <v>0</v>
      </c>
      <c r="W1377" t="s">
        <v>7362</v>
      </c>
      <c r="Z1377" t="s">
        <v>8471</v>
      </c>
      <c r="AB1377" t="s">
        <v>11222</v>
      </c>
      <c r="AC1377">
        <v>0</v>
      </c>
      <c r="AD1377" t="s">
        <v>12422</v>
      </c>
      <c r="AF1377">
        <v>36</v>
      </c>
      <c r="AG1377">
        <v>1</v>
      </c>
      <c r="AH1377">
        <v>0</v>
      </c>
      <c r="AI1377">
        <v>82.43000000000001</v>
      </c>
      <c r="AL1377" t="s">
        <v>12460</v>
      </c>
      <c r="AM1377">
        <v>10296</v>
      </c>
      <c r="AS1377">
        <v>33.75</v>
      </c>
      <c r="AT1377" t="s">
        <v>460</v>
      </c>
      <c r="AU1377" t="s">
        <v>69</v>
      </c>
    </row>
    <row r="1378" spans="1:48">
      <c r="A1378" s="1">
        <f>HYPERLINK("https://cms.ls-nyc.org/matter/dynamic-profile/view/1891375","19-1891375")</f>
        <v>0</v>
      </c>
      <c r="B1378" t="s">
        <v>82</v>
      </c>
      <c r="C1378" t="s">
        <v>287</v>
      </c>
      <c r="E1378" t="s">
        <v>1351</v>
      </c>
      <c r="F1378" t="s">
        <v>2823</v>
      </c>
      <c r="G1378" t="s">
        <v>4511</v>
      </c>
      <c r="H1378" t="s">
        <v>5708</v>
      </c>
      <c r="I1378" t="s">
        <v>6043</v>
      </c>
      <c r="J1378">
        <v>11226</v>
      </c>
      <c r="K1378" t="s">
        <v>6075</v>
      </c>
      <c r="L1378" t="s">
        <v>6075</v>
      </c>
      <c r="O1378" t="s">
        <v>7309</v>
      </c>
      <c r="Q1378" t="s">
        <v>7322</v>
      </c>
      <c r="S1378" t="s">
        <v>7324</v>
      </c>
      <c r="U1378" t="s">
        <v>516</v>
      </c>
      <c r="V1378">
        <v>0</v>
      </c>
      <c r="W1378" t="s">
        <v>7362</v>
      </c>
      <c r="Z1378" t="s">
        <v>8471</v>
      </c>
      <c r="AB1378" t="s">
        <v>11222</v>
      </c>
      <c r="AC1378">
        <v>0</v>
      </c>
      <c r="AF1378">
        <v>0</v>
      </c>
      <c r="AG1378">
        <v>1</v>
      </c>
      <c r="AH1378">
        <v>0</v>
      </c>
      <c r="AI1378">
        <v>82.43000000000001</v>
      </c>
      <c r="AL1378" t="s">
        <v>12460</v>
      </c>
      <c r="AM1378">
        <v>10296</v>
      </c>
      <c r="AS1378">
        <v>21</v>
      </c>
      <c r="AT1378" t="s">
        <v>347</v>
      </c>
      <c r="AU1378" t="s">
        <v>88</v>
      </c>
    </row>
    <row r="1379" spans="1:48">
      <c r="A1379" s="1">
        <f>HYPERLINK("https://cms.ls-nyc.org/matter/dynamic-profile/view/1891385","19-1891385")</f>
        <v>0</v>
      </c>
      <c r="B1379" t="s">
        <v>82</v>
      </c>
      <c r="C1379" t="s">
        <v>287</v>
      </c>
      <c r="E1379" t="s">
        <v>1351</v>
      </c>
      <c r="F1379" t="s">
        <v>2823</v>
      </c>
      <c r="G1379" t="s">
        <v>4511</v>
      </c>
      <c r="H1379" t="s">
        <v>5708</v>
      </c>
      <c r="I1379" t="s">
        <v>6043</v>
      </c>
      <c r="J1379">
        <v>11226</v>
      </c>
      <c r="K1379" t="s">
        <v>6075</v>
      </c>
      <c r="L1379" t="s">
        <v>6075</v>
      </c>
      <c r="O1379" t="s">
        <v>7309</v>
      </c>
      <c r="Q1379" t="s">
        <v>7322</v>
      </c>
      <c r="S1379" t="s">
        <v>7324</v>
      </c>
      <c r="U1379" t="s">
        <v>516</v>
      </c>
      <c r="V1379">
        <v>0</v>
      </c>
      <c r="W1379" t="s">
        <v>7362</v>
      </c>
      <c r="Z1379" t="s">
        <v>8471</v>
      </c>
      <c r="AB1379" t="s">
        <v>11222</v>
      </c>
      <c r="AC1379">
        <v>0</v>
      </c>
      <c r="AF1379">
        <v>0</v>
      </c>
      <c r="AG1379">
        <v>1</v>
      </c>
      <c r="AH1379">
        <v>0</v>
      </c>
      <c r="AI1379">
        <v>82.43000000000001</v>
      </c>
      <c r="AL1379" t="s">
        <v>12460</v>
      </c>
      <c r="AM1379">
        <v>10296</v>
      </c>
      <c r="AS1379">
        <v>13</v>
      </c>
      <c r="AT1379" t="s">
        <v>421</v>
      </c>
      <c r="AU1379" t="s">
        <v>88</v>
      </c>
    </row>
    <row r="1380" spans="1:48">
      <c r="A1380" s="1">
        <f>HYPERLINK("https://cms.ls-nyc.org/matter/dynamic-profile/view/1893538","19-1893538")</f>
        <v>0</v>
      </c>
      <c r="B1380" t="s">
        <v>129</v>
      </c>
      <c r="C1380" t="s">
        <v>367</v>
      </c>
      <c r="E1380" t="s">
        <v>791</v>
      </c>
      <c r="F1380" t="s">
        <v>2824</v>
      </c>
      <c r="G1380" t="s">
        <v>4512</v>
      </c>
      <c r="H1380" t="s">
        <v>5411</v>
      </c>
      <c r="I1380" t="s">
        <v>6049</v>
      </c>
      <c r="J1380">
        <v>10040</v>
      </c>
      <c r="K1380" t="s">
        <v>6074</v>
      </c>
      <c r="L1380" t="s">
        <v>6074</v>
      </c>
      <c r="N1380" t="s">
        <v>7278</v>
      </c>
      <c r="O1380" t="s">
        <v>7307</v>
      </c>
      <c r="Q1380" t="s">
        <v>7322</v>
      </c>
      <c r="S1380" t="s">
        <v>7324</v>
      </c>
      <c r="U1380" t="s">
        <v>367</v>
      </c>
      <c r="V1380">
        <v>1095.99</v>
      </c>
      <c r="W1380" t="s">
        <v>7365</v>
      </c>
      <c r="X1380" t="s">
        <v>7367</v>
      </c>
      <c r="Z1380" t="s">
        <v>8472</v>
      </c>
      <c r="AB1380" t="s">
        <v>11223</v>
      </c>
      <c r="AC1380">
        <v>25</v>
      </c>
      <c r="AD1380" t="s">
        <v>12422</v>
      </c>
      <c r="AE1380" t="s">
        <v>6110</v>
      </c>
      <c r="AF1380">
        <v>35</v>
      </c>
      <c r="AG1380">
        <v>1</v>
      </c>
      <c r="AH1380">
        <v>0</v>
      </c>
      <c r="AI1380">
        <v>82.43000000000001</v>
      </c>
      <c r="AL1380" t="s">
        <v>12461</v>
      </c>
      <c r="AM1380">
        <v>10296</v>
      </c>
      <c r="AS1380">
        <v>15</v>
      </c>
      <c r="AT1380" t="s">
        <v>386</v>
      </c>
      <c r="AU1380" t="s">
        <v>13106</v>
      </c>
    </row>
    <row r="1381" spans="1:48">
      <c r="A1381" s="1">
        <f>HYPERLINK("https://cms.ls-nyc.org/matter/dynamic-profile/view/1892375","19-1892375")</f>
        <v>0</v>
      </c>
      <c r="B1381" t="s">
        <v>133</v>
      </c>
      <c r="C1381" t="s">
        <v>337</v>
      </c>
      <c r="E1381" t="s">
        <v>933</v>
      </c>
      <c r="F1381" t="s">
        <v>2825</v>
      </c>
      <c r="G1381" t="s">
        <v>4513</v>
      </c>
      <c r="H1381" t="s">
        <v>5517</v>
      </c>
      <c r="I1381" t="s">
        <v>6049</v>
      </c>
      <c r="J1381">
        <v>10033</v>
      </c>
      <c r="K1381" t="s">
        <v>6074</v>
      </c>
      <c r="L1381" t="s">
        <v>6074</v>
      </c>
      <c r="M1381" t="s">
        <v>6683</v>
      </c>
      <c r="O1381" t="s">
        <v>7308</v>
      </c>
      <c r="Q1381" t="s">
        <v>7322</v>
      </c>
      <c r="R1381" t="s">
        <v>6076</v>
      </c>
      <c r="S1381" t="s">
        <v>7324</v>
      </c>
      <c r="U1381" t="s">
        <v>337</v>
      </c>
      <c r="V1381">
        <v>365</v>
      </c>
      <c r="W1381" t="s">
        <v>7365</v>
      </c>
      <c r="X1381" t="s">
        <v>7367</v>
      </c>
      <c r="Z1381" t="s">
        <v>8473</v>
      </c>
      <c r="AB1381" t="s">
        <v>11224</v>
      </c>
      <c r="AC1381">
        <v>44</v>
      </c>
      <c r="AD1381" t="s">
        <v>12422</v>
      </c>
      <c r="AF1381">
        <v>34</v>
      </c>
      <c r="AG1381">
        <v>1</v>
      </c>
      <c r="AH1381">
        <v>0</v>
      </c>
      <c r="AI1381">
        <v>82.43000000000001</v>
      </c>
      <c r="AL1381" t="s">
        <v>12461</v>
      </c>
      <c r="AM1381">
        <v>10296</v>
      </c>
      <c r="AS1381">
        <v>35.4</v>
      </c>
      <c r="AT1381" t="s">
        <v>526</v>
      </c>
      <c r="AU1381" t="s">
        <v>13106</v>
      </c>
    </row>
    <row r="1382" spans="1:48">
      <c r="A1382" s="1">
        <f>HYPERLINK("https://cms.ls-nyc.org/matter/dynamic-profile/view/1884434","18-1884434")</f>
        <v>0</v>
      </c>
      <c r="B1382" t="s">
        <v>115</v>
      </c>
      <c r="C1382" t="s">
        <v>345</v>
      </c>
      <c r="E1382" t="s">
        <v>1352</v>
      </c>
      <c r="F1382" t="s">
        <v>2826</v>
      </c>
      <c r="G1382" t="s">
        <v>4514</v>
      </c>
      <c r="H1382" t="s">
        <v>5455</v>
      </c>
      <c r="I1382" t="s">
        <v>6047</v>
      </c>
      <c r="J1382">
        <v>10451</v>
      </c>
      <c r="K1382" t="s">
        <v>6074</v>
      </c>
      <c r="L1382" t="s">
        <v>6074</v>
      </c>
      <c r="M1382" t="s">
        <v>6684</v>
      </c>
      <c r="N1382" t="s">
        <v>7276</v>
      </c>
      <c r="O1382" t="s">
        <v>7308</v>
      </c>
      <c r="Q1382" t="s">
        <v>7322</v>
      </c>
      <c r="R1382" t="s">
        <v>6076</v>
      </c>
      <c r="S1382" t="s">
        <v>7324</v>
      </c>
      <c r="U1382" t="s">
        <v>7351</v>
      </c>
      <c r="V1382">
        <v>1640</v>
      </c>
      <c r="W1382" t="s">
        <v>7363</v>
      </c>
      <c r="X1382" t="s">
        <v>7368</v>
      </c>
      <c r="Z1382" t="s">
        <v>8474</v>
      </c>
      <c r="AA1382" t="s">
        <v>10145</v>
      </c>
      <c r="AB1382" t="s">
        <v>11225</v>
      </c>
      <c r="AC1382">
        <v>0</v>
      </c>
      <c r="AD1382" t="s">
        <v>12421</v>
      </c>
      <c r="AE1382" t="s">
        <v>12440</v>
      </c>
      <c r="AF1382">
        <v>2</v>
      </c>
      <c r="AG1382">
        <v>3</v>
      </c>
      <c r="AH1382">
        <v>1</v>
      </c>
      <c r="AI1382">
        <v>82.52</v>
      </c>
      <c r="AM1382">
        <v>20712</v>
      </c>
      <c r="AS1382">
        <v>8.9</v>
      </c>
      <c r="AT1382" t="s">
        <v>254</v>
      </c>
      <c r="AU1382" t="s">
        <v>13092</v>
      </c>
    </row>
    <row r="1383" spans="1:48">
      <c r="A1383" s="1">
        <f>HYPERLINK("https://cms.ls-nyc.org/matter/dynamic-profile/view/1884635","18-1884635")</f>
        <v>0</v>
      </c>
      <c r="B1383" t="s">
        <v>76</v>
      </c>
      <c r="C1383" t="s">
        <v>413</v>
      </c>
      <c r="E1383" t="s">
        <v>1353</v>
      </c>
      <c r="F1383" t="s">
        <v>2239</v>
      </c>
      <c r="G1383" t="s">
        <v>4515</v>
      </c>
      <c r="H1383" t="s">
        <v>5417</v>
      </c>
      <c r="I1383" t="s">
        <v>6043</v>
      </c>
      <c r="J1383">
        <v>11233</v>
      </c>
      <c r="K1383" t="s">
        <v>6074</v>
      </c>
      <c r="L1383" t="s">
        <v>6074</v>
      </c>
      <c r="M1383" t="s">
        <v>6685</v>
      </c>
      <c r="N1383" t="s">
        <v>7276</v>
      </c>
      <c r="O1383" t="s">
        <v>7310</v>
      </c>
      <c r="Q1383" t="s">
        <v>7322</v>
      </c>
      <c r="S1383" t="s">
        <v>7324</v>
      </c>
      <c r="U1383" t="s">
        <v>337</v>
      </c>
      <c r="V1383">
        <v>530</v>
      </c>
      <c r="W1383" t="s">
        <v>7362</v>
      </c>
      <c r="X1383" t="s">
        <v>7366</v>
      </c>
      <c r="Z1383" t="s">
        <v>8475</v>
      </c>
      <c r="AB1383" t="s">
        <v>11226</v>
      </c>
      <c r="AC1383">
        <v>15</v>
      </c>
      <c r="AF1383">
        <v>37</v>
      </c>
      <c r="AG1383">
        <v>1</v>
      </c>
      <c r="AH1383">
        <v>0</v>
      </c>
      <c r="AI1383">
        <v>82.54000000000001</v>
      </c>
      <c r="AL1383" t="s">
        <v>12460</v>
      </c>
      <c r="AM1383">
        <v>10020</v>
      </c>
      <c r="AS1383">
        <v>35</v>
      </c>
      <c r="AT1383" t="s">
        <v>265</v>
      </c>
      <c r="AU1383" t="s">
        <v>13083</v>
      </c>
    </row>
    <row r="1384" spans="1:48">
      <c r="A1384" s="1">
        <f>HYPERLINK("https://cms.ls-nyc.org/matter/dynamic-profile/view/1885374","18-1885374")</f>
        <v>0</v>
      </c>
      <c r="B1384" t="s">
        <v>77</v>
      </c>
      <c r="C1384" t="s">
        <v>429</v>
      </c>
      <c r="D1384" t="s">
        <v>429</v>
      </c>
      <c r="E1384" t="s">
        <v>1056</v>
      </c>
      <c r="F1384" t="s">
        <v>2360</v>
      </c>
      <c r="G1384" t="s">
        <v>4516</v>
      </c>
      <c r="H1384">
        <v>2</v>
      </c>
      <c r="I1384" t="s">
        <v>6043</v>
      </c>
      <c r="J1384">
        <v>11208</v>
      </c>
      <c r="K1384" t="s">
        <v>6074</v>
      </c>
      <c r="L1384" t="s">
        <v>6074</v>
      </c>
      <c r="O1384" t="s">
        <v>7306</v>
      </c>
      <c r="P1384" t="s">
        <v>7314</v>
      </c>
      <c r="Q1384" t="s">
        <v>7322</v>
      </c>
      <c r="S1384" t="s">
        <v>7324</v>
      </c>
      <c r="U1384" t="s">
        <v>429</v>
      </c>
      <c r="V1384">
        <v>0</v>
      </c>
      <c r="W1384" t="s">
        <v>7362</v>
      </c>
      <c r="Y1384" t="s">
        <v>7386</v>
      </c>
      <c r="Z1384" t="s">
        <v>8476</v>
      </c>
      <c r="AB1384" t="s">
        <v>11227</v>
      </c>
      <c r="AC1384">
        <v>0</v>
      </c>
      <c r="AF1384">
        <v>0</v>
      </c>
      <c r="AG1384">
        <v>1</v>
      </c>
      <c r="AH1384">
        <v>0</v>
      </c>
      <c r="AI1384">
        <v>82.54000000000001</v>
      </c>
      <c r="AL1384" t="s">
        <v>12461</v>
      </c>
      <c r="AM1384">
        <v>10020</v>
      </c>
      <c r="AS1384">
        <v>0.75</v>
      </c>
      <c r="AT1384" t="s">
        <v>250</v>
      </c>
      <c r="AU1384" t="s">
        <v>77</v>
      </c>
    </row>
    <row r="1385" spans="1:48">
      <c r="A1385" s="1">
        <f>HYPERLINK("https://cms.ls-nyc.org/matter/dynamic-profile/view/1874673","18-1874673")</f>
        <v>0</v>
      </c>
      <c r="B1385" t="s">
        <v>128</v>
      </c>
      <c r="C1385" t="s">
        <v>378</v>
      </c>
      <c r="E1385" t="s">
        <v>656</v>
      </c>
      <c r="F1385" t="s">
        <v>2528</v>
      </c>
      <c r="G1385" t="s">
        <v>4517</v>
      </c>
      <c r="H1385" t="s">
        <v>5354</v>
      </c>
      <c r="I1385" t="s">
        <v>6049</v>
      </c>
      <c r="J1385">
        <v>10040</v>
      </c>
      <c r="K1385" t="s">
        <v>6074</v>
      </c>
      <c r="L1385" t="s">
        <v>6074</v>
      </c>
      <c r="N1385" t="s">
        <v>7273</v>
      </c>
      <c r="O1385" t="s">
        <v>7307</v>
      </c>
      <c r="Q1385" t="s">
        <v>7322</v>
      </c>
      <c r="R1385" t="s">
        <v>6076</v>
      </c>
      <c r="S1385" t="s">
        <v>7324</v>
      </c>
      <c r="U1385" t="s">
        <v>244</v>
      </c>
      <c r="V1385">
        <v>165</v>
      </c>
      <c r="W1385" t="s">
        <v>7365</v>
      </c>
      <c r="X1385" t="s">
        <v>7368</v>
      </c>
      <c r="Z1385" t="s">
        <v>7539</v>
      </c>
      <c r="AB1385" t="s">
        <v>11228</v>
      </c>
      <c r="AC1385">
        <v>43</v>
      </c>
      <c r="AD1385" t="s">
        <v>12422</v>
      </c>
      <c r="AE1385" t="s">
        <v>12434</v>
      </c>
      <c r="AF1385">
        <v>13</v>
      </c>
      <c r="AG1385">
        <v>1</v>
      </c>
      <c r="AH1385">
        <v>0</v>
      </c>
      <c r="AI1385">
        <v>82.54000000000001</v>
      </c>
      <c r="AL1385" t="s">
        <v>12460</v>
      </c>
      <c r="AM1385">
        <v>10020</v>
      </c>
      <c r="AS1385">
        <v>3.6</v>
      </c>
      <c r="AT1385" t="s">
        <v>326</v>
      </c>
      <c r="AU1385" t="s">
        <v>13106</v>
      </c>
    </row>
    <row r="1386" spans="1:48">
      <c r="A1386" s="1">
        <f>HYPERLINK("https://cms.ls-nyc.org/matter/dynamic-profile/view/1874606","18-1874606")</f>
        <v>0</v>
      </c>
      <c r="B1386" t="s">
        <v>94</v>
      </c>
      <c r="C1386" t="s">
        <v>237</v>
      </c>
      <c r="E1386" t="s">
        <v>1354</v>
      </c>
      <c r="F1386" t="s">
        <v>2827</v>
      </c>
      <c r="G1386" t="s">
        <v>3649</v>
      </c>
      <c r="H1386">
        <v>1001</v>
      </c>
      <c r="I1386" t="s">
        <v>6024</v>
      </c>
      <c r="J1386">
        <v>11692</v>
      </c>
      <c r="K1386" t="s">
        <v>6074</v>
      </c>
      <c r="L1386" t="s">
        <v>6074</v>
      </c>
      <c r="M1386" t="s">
        <v>6686</v>
      </c>
      <c r="N1386" t="s">
        <v>7276</v>
      </c>
      <c r="O1386" t="s">
        <v>7308</v>
      </c>
      <c r="Q1386" t="s">
        <v>7322</v>
      </c>
      <c r="R1386" t="s">
        <v>6076</v>
      </c>
      <c r="S1386" t="s">
        <v>7324</v>
      </c>
      <c r="T1386" t="s">
        <v>7338</v>
      </c>
      <c r="U1386" t="s">
        <v>237</v>
      </c>
      <c r="V1386">
        <v>1820</v>
      </c>
      <c r="W1386" t="s">
        <v>7361</v>
      </c>
      <c r="X1386" t="s">
        <v>7366</v>
      </c>
      <c r="Z1386" t="s">
        <v>8477</v>
      </c>
      <c r="AA1386" t="s">
        <v>6110</v>
      </c>
      <c r="AB1386" t="s">
        <v>11229</v>
      </c>
      <c r="AC1386">
        <v>103</v>
      </c>
      <c r="AD1386" t="s">
        <v>12420</v>
      </c>
      <c r="AE1386" t="s">
        <v>12434</v>
      </c>
      <c r="AF1386">
        <v>14</v>
      </c>
      <c r="AG1386">
        <v>1</v>
      </c>
      <c r="AH1386">
        <v>2</v>
      </c>
      <c r="AI1386">
        <v>82.58</v>
      </c>
      <c r="AL1386" t="s">
        <v>12460</v>
      </c>
      <c r="AM1386">
        <v>17160</v>
      </c>
      <c r="AO1386" t="s">
        <v>12850</v>
      </c>
      <c r="AP1386" t="s">
        <v>7305</v>
      </c>
      <c r="AQ1386" t="s">
        <v>12909</v>
      </c>
      <c r="AR1386" t="s">
        <v>12929</v>
      </c>
      <c r="AS1386">
        <v>29.8</v>
      </c>
      <c r="AT1386" t="s">
        <v>343</v>
      </c>
      <c r="AU1386" t="s">
        <v>48</v>
      </c>
    </row>
    <row r="1387" spans="1:48">
      <c r="A1387" s="1">
        <f>HYPERLINK("https://cms.ls-nyc.org/matter/dynamic-profile/view/1892284","19-1892284")</f>
        <v>0</v>
      </c>
      <c r="B1387" t="s">
        <v>113</v>
      </c>
      <c r="C1387" t="s">
        <v>359</v>
      </c>
      <c r="E1387" t="s">
        <v>1355</v>
      </c>
      <c r="F1387" t="s">
        <v>2828</v>
      </c>
      <c r="G1387" t="s">
        <v>4518</v>
      </c>
      <c r="H1387" t="s">
        <v>5387</v>
      </c>
      <c r="I1387" t="s">
        <v>6047</v>
      </c>
      <c r="J1387">
        <v>10467</v>
      </c>
      <c r="K1387" t="s">
        <v>6074</v>
      </c>
      <c r="L1387" t="s">
        <v>6074</v>
      </c>
      <c r="N1387" t="s">
        <v>7278</v>
      </c>
      <c r="O1387" t="s">
        <v>7306</v>
      </c>
      <c r="Q1387" t="s">
        <v>7322</v>
      </c>
      <c r="S1387" t="s">
        <v>7324</v>
      </c>
      <c r="U1387" t="s">
        <v>359</v>
      </c>
      <c r="V1387">
        <v>923</v>
      </c>
      <c r="W1387" t="s">
        <v>7363</v>
      </c>
      <c r="Z1387" t="s">
        <v>8478</v>
      </c>
      <c r="AB1387" t="s">
        <v>11230</v>
      </c>
      <c r="AC1387">
        <v>0</v>
      </c>
      <c r="AE1387" t="s">
        <v>12441</v>
      </c>
      <c r="AF1387">
        <v>21</v>
      </c>
      <c r="AG1387">
        <v>1</v>
      </c>
      <c r="AH1387">
        <v>0</v>
      </c>
      <c r="AI1387">
        <v>82.63</v>
      </c>
      <c r="AL1387" t="s">
        <v>12461</v>
      </c>
      <c r="AM1387">
        <v>10320</v>
      </c>
      <c r="AS1387">
        <v>0</v>
      </c>
      <c r="AU1387" t="s">
        <v>113</v>
      </c>
    </row>
    <row r="1388" spans="1:48">
      <c r="A1388" s="1">
        <f>HYPERLINK("https://cms.ls-nyc.org/matter/dynamic-profile/view/1901229","19-1901229")</f>
        <v>0</v>
      </c>
      <c r="B1388" t="s">
        <v>199</v>
      </c>
      <c r="C1388" t="s">
        <v>496</v>
      </c>
      <c r="E1388" t="s">
        <v>1356</v>
      </c>
      <c r="F1388" t="s">
        <v>2829</v>
      </c>
      <c r="G1388" t="s">
        <v>4519</v>
      </c>
      <c r="H1388" t="s">
        <v>5400</v>
      </c>
      <c r="I1388" t="s">
        <v>6049</v>
      </c>
      <c r="J1388">
        <v>10003</v>
      </c>
      <c r="K1388" t="s">
        <v>6074</v>
      </c>
      <c r="L1388" t="s">
        <v>6075</v>
      </c>
      <c r="M1388" t="s">
        <v>6687</v>
      </c>
      <c r="N1388" t="s">
        <v>7274</v>
      </c>
      <c r="O1388" t="s">
        <v>7310</v>
      </c>
      <c r="Q1388" t="s">
        <v>7322</v>
      </c>
      <c r="R1388" t="s">
        <v>6076</v>
      </c>
      <c r="S1388" t="s">
        <v>7324</v>
      </c>
      <c r="T1388" t="s">
        <v>7336</v>
      </c>
      <c r="U1388" t="s">
        <v>496</v>
      </c>
      <c r="V1388">
        <v>910</v>
      </c>
      <c r="W1388" t="s">
        <v>7365</v>
      </c>
      <c r="X1388" t="s">
        <v>7366</v>
      </c>
      <c r="Z1388" t="s">
        <v>8479</v>
      </c>
      <c r="AB1388" t="s">
        <v>11231</v>
      </c>
      <c r="AC1388">
        <v>50</v>
      </c>
      <c r="AD1388" t="s">
        <v>12422</v>
      </c>
      <c r="AE1388" t="s">
        <v>12441</v>
      </c>
      <c r="AF1388">
        <v>41</v>
      </c>
      <c r="AG1388">
        <v>1</v>
      </c>
      <c r="AH1388">
        <v>0</v>
      </c>
      <c r="AI1388">
        <v>82.63</v>
      </c>
      <c r="AL1388" t="s">
        <v>12460</v>
      </c>
      <c r="AM1388">
        <v>10320</v>
      </c>
      <c r="AS1388">
        <v>0</v>
      </c>
      <c r="AU1388" t="s">
        <v>13107</v>
      </c>
      <c r="AV1388" t="s">
        <v>13145</v>
      </c>
    </row>
    <row r="1389" spans="1:48">
      <c r="A1389" s="1">
        <f>HYPERLINK("https://cms.ls-nyc.org/matter/dynamic-profile/view/1886583","18-1886583")</f>
        <v>0</v>
      </c>
      <c r="B1389" t="s">
        <v>171</v>
      </c>
      <c r="C1389" t="s">
        <v>346</v>
      </c>
      <c r="E1389" t="s">
        <v>1357</v>
      </c>
      <c r="F1389" t="s">
        <v>2059</v>
      </c>
      <c r="G1389" t="s">
        <v>4520</v>
      </c>
      <c r="I1389" t="s">
        <v>6047</v>
      </c>
      <c r="J1389">
        <v>10453</v>
      </c>
      <c r="K1389" t="s">
        <v>6074</v>
      </c>
      <c r="L1389" t="s">
        <v>6074</v>
      </c>
      <c r="N1389" t="s">
        <v>7294</v>
      </c>
      <c r="O1389" t="s">
        <v>7308</v>
      </c>
      <c r="Q1389" t="s">
        <v>7322</v>
      </c>
      <c r="R1389" t="s">
        <v>6076</v>
      </c>
      <c r="S1389" t="s">
        <v>7324</v>
      </c>
      <c r="U1389" t="s">
        <v>266</v>
      </c>
      <c r="V1389">
        <v>0</v>
      </c>
      <c r="W1389" t="s">
        <v>7362</v>
      </c>
      <c r="X1389" t="s">
        <v>7305</v>
      </c>
      <c r="Z1389" t="s">
        <v>8480</v>
      </c>
      <c r="AB1389" t="s">
        <v>11232</v>
      </c>
      <c r="AC1389">
        <v>28</v>
      </c>
      <c r="AE1389" t="s">
        <v>12433</v>
      </c>
      <c r="AF1389">
        <v>0</v>
      </c>
      <c r="AG1389">
        <v>1</v>
      </c>
      <c r="AH1389">
        <v>0</v>
      </c>
      <c r="AI1389">
        <v>82.64</v>
      </c>
      <c r="AL1389" t="s">
        <v>12460</v>
      </c>
      <c r="AM1389">
        <v>10032</v>
      </c>
      <c r="AS1389">
        <v>16.5</v>
      </c>
      <c r="AT1389" t="s">
        <v>324</v>
      </c>
      <c r="AU1389" t="s">
        <v>180</v>
      </c>
    </row>
    <row r="1390" spans="1:48">
      <c r="A1390" s="1">
        <f>HYPERLINK("https://cms.ls-nyc.org/matter/dynamic-profile/view/1881097","18-1881097")</f>
        <v>0</v>
      </c>
      <c r="B1390" t="s">
        <v>69</v>
      </c>
      <c r="C1390" t="s">
        <v>464</v>
      </c>
      <c r="D1390" t="s">
        <v>254</v>
      </c>
      <c r="E1390" t="s">
        <v>828</v>
      </c>
      <c r="F1390" t="s">
        <v>2441</v>
      </c>
      <c r="G1390" t="s">
        <v>4521</v>
      </c>
      <c r="H1390" t="s">
        <v>5355</v>
      </c>
      <c r="I1390" t="s">
        <v>6043</v>
      </c>
      <c r="J1390">
        <v>11203</v>
      </c>
      <c r="K1390" t="s">
        <v>6074</v>
      </c>
      <c r="L1390" t="s">
        <v>6074</v>
      </c>
      <c r="O1390" t="s">
        <v>7307</v>
      </c>
      <c r="P1390" t="s">
        <v>7314</v>
      </c>
      <c r="Q1390" t="s">
        <v>7322</v>
      </c>
      <c r="S1390" t="s">
        <v>7324</v>
      </c>
      <c r="U1390" t="s">
        <v>464</v>
      </c>
      <c r="V1390">
        <v>0</v>
      </c>
      <c r="W1390" t="s">
        <v>7362</v>
      </c>
      <c r="Y1390" t="s">
        <v>7386</v>
      </c>
      <c r="Z1390" t="s">
        <v>8481</v>
      </c>
      <c r="AB1390" t="s">
        <v>11233</v>
      </c>
      <c r="AC1390">
        <v>0</v>
      </c>
      <c r="AF1390">
        <v>0</v>
      </c>
      <c r="AG1390">
        <v>2</v>
      </c>
      <c r="AH1390">
        <v>0</v>
      </c>
      <c r="AI1390">
        <v>82.67</v>
      </c>
      <c r="AL1390" t="s">
        <v>12460</v>
      </c>
      <c r="AM1390">
        <v>13608</v>
      </c>
      <c r="AS1390">
        <v>2.1</v>
      </c>
      <c r="AT1390" t="s">
        <v>254</v>
      </c>
      <c r="AU1390" t="s">
        <v>69</v>
      </c>
    </row>
    <row r="1391" spans="1:48">
      <c r="A1391" s="1">
        <f>HYPERLINK("https://cms.ls-nyc.org/matter/dynamic-profile/view/1871020","18-1871020")</f>
        <v>0</v>
      </c>
      <c r="B1391" t="s">
        <v>59</v>
      </c>
      <c r="C1391" t="s">
        <v>328</v>
      </c>
      <c r="D1391" t="s">
        <v>560</v>
      </c>
      <c r="E1391" t="s">
        <v>1358</v>
      </c>
      <c r="F1391" t="s">
        <v>2830</v>
      </c>
      <c r="G1391" t="s">
        <v>4522</v>
      </c>
      <c r="H1391" t="s">
        <v>5691</v>
      </c>
      <c r="I1391" t="s">
        <v>6025</v>
      </c>
      <c r="J1391">
        <v>11691</v>
      </c>
      <c r="K1391" t="s">
        <v>6074</v>
      </c>
      <c r="L1391" t="s">
        <v>6074</v>
      </c>
      <c r="M1391" t="s">
        <v>6688</v>
      </c>
      <c r="N1391" t="s">
        <v>7276</v>
      </c>
      <c r="O1391" t="s">
        <v>7306</v>
      </c>
      <c r="P1391" t="s">
        <v>7314</v>
      </c>
      <c r="Q1391" t="s">
        <v>7322</v>
      </c>
      <c r="R1391" t="s">
        <v>6076</v>
      </c>
      <c r="S1391" t="s">
        <v>7324</v>
      </c>
      <c r="T1391" t="s">
        <v>7336</v>
      </c>
      <c r="U1391" t="s">
        <v>7344</v>
      </c>
      <c r="V1391">
        <v>1313</v>
      </c>
      <c r="W1391" t="s">
        <v>7361</v>
      </c>
      <c r="X1391" t="s">
        <v>7366</v>
      </c>
      <c r="Y1391" t="s">
        <v>7386</v>
      </c>
      <c r="Z1391" t="s">
        <v>8482</v>
      </c>
      <c r="AA1391" t="s">
        <v>10146</v>
      </c>
      <c r="AB1391" t="s">
        <v>11234</v>
      </c>
      <c r="AC1391">
        <v>917</v>
      </c>
      <c r="AD1391" t="s">
        <v>12423</v>
      </c>
      <c r="AE1391" t="s">
        <v>12434</v>
      </c>
      <c r="AF1391">
        <v>4</v>
      </c>
      <c r="AG1391">
        <v>1</v>
      </c>
      <c r="AH1391">
        <v>0</v>
      </c>
      <c r="AI1391">
        <v>82.73</v>
      </c>
      <c r="AL1391" t="s">
        <v>12460</v>
      </c>
      <c r="AM1391">
        <v>10044</v>
      </c>
      <c r="AS1391">
        <v>0.8</v>
      </c>
      <c r="AT1391" t="s">
        <v>560</v>
      </c>
      <c r="AU1391" t="s">
        <v>189</v>
      </c>
    </row>
    <row r="1392" spans="1:48">
      <c r="A1392" s="1">
        <f>HYPERLINK("https://cms.ls-nyc.org/matter/dynamic-profile/view/1875656","18-1875656")</f>
        <v>0</v>
      </c>
      <c r="B1392" t="s">
        <v>81</v>
      </c>
      <c r="C1392" t="s">
        <v>233</v>
      </c>
      <c r="E1392" t="s">
        <v>1293</v>
      </c>
      <c r="F1392" t="s">
        <v>2059</v>
      </c>
      <c r="G1392" t="s">
        <v>4523</v>
      </c>
      <c r="H1392">
        <v>7</v>
      </c>
      <c r="I1392" t="s">
        <v>6043</v>
      </c>
      <c r="J1392">
        <v>11215</v>
      </c>
      <c r="K1392" t="s">
        <v>6074</v>
      </c>
      <c r="L1392" t="s">
        <v>6074</v>
      </c>
      <c r="N1392" t="s">
        <v>7275</v>
      </c>
      <c r="O1392" t="s">
        <v>7309</v>
      </c>
      <c r="Q1392" t="s">
        <v>7322</v>
      </c>
      <c r="S1392" t="s">
        <v>7324</v>
      </c>
      <c r="U1392" t="s">
        <v>502</v>
      </c>
      <c r="V1392">
        <v>0</v>
      </c>
      <c r="W1392" t="s">
        <v>7362</v>
      </c>
      <c r="Z1392" t="s">
        <v>8483</v>
      </c>
      <c r="AB1392" t="s">
        <v>11235</v>
      </c>
      <c r="AC1392">
        <v>0</v>
      </c>
      <c r="AF1392">
        <v>0</v>
      </c>
      <c r="AG1392">
        <v>1</v>
      </c>
      <c r="AH1392">
        <v>0</v>
      </c>
      <c r="AI1392">
        <v>82.73</v>
      </c>
      <c r="AL1392" t="s">
        <v>12460</v>
      </c>
      <c r="AM1392">
        <v>10044</v>
      </c>
      <c r="AN1392" t="s">
        <v>12525</v>
      </c>
      <c r="AS1392">
        <v>23.58</v>
      </c>
      <c r="AT1392" t="s">
        <v>286</v>
      </c>
      <c r="AU1392" t="s">
        <v>13132</v>
      </c>
    </row>
    <row r="1393" spans="1:48">
      <c r="A1393" s="1">
        <f>HYPERLINK("https://cms.ls-nyc.org/matter/dynamic-profile/view/1876704","18-1876704")</f>
        <v>0</v>
      </c>
      <c r="B1393" t="s">
        <v>101</v>
      </c>
      <c r="C1393" t="s">
        <v>243</v>
      </c>
      <c r="E1393" t="s">
        <v>1090</v>
      </c>
      <c r="F1393" t="s">
        <v>2831</v>
      </c>
      <c r="G1393" t="s">
        <v>3939</v>
      </c>
      <c r="H1393" t="s">
        <v>5424</v>
      </c>
      <c r="I1393" t="s">
        <v>6047</v>
      </c>
      <c r="J1393">
        <v>10456</v>
      </c>
      <c r="K1393" t="s">
        <v>6074</v>
      </c>
      <c r="L1393" t="s">
        <v>6074</v>
      </c>
      <c r="M1393" t="s">
        <v>6305</v>
      </c>
      <c r="N1393" t="s">
        <v>7279</v>
      </c>
      <c r="O1393" t="s">
        <v>7311</v>
      </c>
      <c r="Q1393" t="s">
        <v>7322</v>
      </c>
      <c r="R1393" t="s">
        <v>6074</v>
      </c>
      <c r="S1393" t="s">
        <v>7324</v>
      </c>
      <c r="U1393" t="s">
        <v>243</v>
      </c>
      <c r="V1393">
        <v>942</v>
      </c>
      <c r="W1393" t="s">
        <v>7363</v>
      </c>
      <c r="X1393" t="s">
        <v>7376</v>
      </c>
      <c r="Z1393" t="s">
        <v>8484</v>
      </c>
      <c r="AB1393" t="s">
        <v>11236</v>
      </c>
      <c r="AC1393">
        <v>131</v>
      </c>
      <c r="AD1393" t="s">
        <v>12422</v>
      </c>
      <c r="AE1393" t="s">
        <v>6110</v>
      </c>
      <c r="AF1393">
        <v>27</v>
      </c>
      <c r="AG1393">
        <v>1</v>
      </c>
      <c r="AH1393">
        <v>0</v>
      </c>
      <c r="AI1393">
        <v>82.73</v>
      </c>
      <c r="AL1393" t="s">
        <v>12461</v>
      </c>
      <c r="AM1393">
        <v>10044</v>
      </c>
      <c r="AS1393">
        <v>0</v>
      </c>
      <c r="AU1393" t="s">
        <v>13095</v>
      </c>
    </row>
    <row r="1394" spans="1:48">
      <c r="A1394" s="1">
        <f>HYPERLINK("https://cms.ls-nyc.org/matter/dynamic-profile/view/1886350","18-1886350")</f>
        <v>0</v>
      </c>
      <c r="B1394" t="s">
        <v>101</v>
      </c>
      <c r="C1394" t="s">
        <v>443</v>
      </c>
      <c r="E1394" t="s">
        <v>1090</v>
      </c>
      <c r="F1394" t="s">
        <v>2831</v>
      </c>
      <c r="G1394" t="s">
        <v>3939</v>
      </c>
      <c r="H1394" t="s">
        <v>5424</v>
      </c>
      <c r="I1394" t="s">
        <v>6047</v>
      </c>
      <c r="J1394">
        <v>10456</v>
      </c>
      <c r="K1394" t="s">
        <v>6074</v>
      </c>
      <c r="L1394" t="s">
        <v>6074</v>
      </c>
      <c r="M1394" t="s">
        <v>6303</v>
      </c>
      <c r="N1394" t="s">
        <v>7279</v>
      </c>
      <c r="O1394" t="s">
        <v>7311</v>
      </c>
      <c r="Q1394" t="s">
        <v>7322</v>
      </c>
      <c r="R1394" t="s">
        <v>6074</v>
      </c>
      <c r="S1394" t="s">
        <v>7324</v>
      </c>
      <c r="U1394" t="s">
        <v>457</v>
      </c>
      <c r="V1394">
        <v>942</v>
      </c>
      <c r="W1394" t="s">
        <v>7363</v>
      </c>
      <c r="X1394" t="s">
        <v>7376</v>
      </c>
      <c r="Z1394" t="s">
        <v>8484</v>
      </c>
      <c r="AB1394" t="s">
        <v>11236</v>
      </c>
      <c r="AC1394">
        <v>131</v>
      </c>
      <c r="AD1394" t="s">
        <v>12422</v>
      </c>
      <c r="AE1394" t="s">
        <v>6110</v>
      </c>
      <c r="AF1394">
        <v>27</v>
      </c>
      <c r="AG1394">
        <v>1</v>
      </c>
      <c r="AH1394">
        <v>0</v>
      </c>
      <c r="AI1394">
        <v>82.73</v>
      </c>
      <c r="AL1394" t="s">
        <v>12461</v>
      </c>
      <c r="AM1394">
        <v>10044</v>
      </c>
      <c r="AS1394">
        <v>0</v>
      </c>
      <c r="AU1394" t="s">
        <v>13095</v>
      </c>
    </row>
    <row r="1395" spans="1:48">
      <c r="A1395" s="1">
        <f>HYPERLINK("https://cms.ls-nyc.org/matter/dynamic-profile/view/1876697","18-1876697")</f>
        <v>0</v>
      </c>
      <c r="B1395" t="s">
        <v>101</v>
      </c>
      <c r="C1395" t="s">
        <v>243</v>
      </c>
      <c r="E1395" t="s">
        <v>1090</v>
      </c>
      <c r="F1395" t="s">
        <v>2831</v>
      </c>
      <c r="G1395" t="s">
        <v>3939</v>
      </c>
      <c r="H1395" t="s">
        <v>5424</v>
      </c>
      <c r="I1395" t="s">
        <v>6047</v>
      </c>
      <c r="J1395">
        <v>10456</v>
      </c>
      <c r="K1395" t="s">
        <v>6074</v>
      </c>
      <c r="L1395" t="s">
        <v>6074</v>
      </c>
      <c r="M1395" t="s">
        <v>6287</v>
      </c>
      <c r="N1395" t="s">
        <v>7273</v>
      </c>
      <c r="O1395" t="s">
        <v>7308</v>
      </c>
      <c r="Q1395" t="s">
        <v>7322</v>
      </c>
      <c r="R1395" t="s">
        <v>6074</v>
      </c>
      <c r="S1395" t="s">
        <v>7324</v>
      </c>
      <c r="U1395" t="s">
        <v>243</v>
      </c>
      <c r="V1395">
        <v>942</v>
      </c>
      <c r="W1395" t="s">
        <v>7363</v>
      </c>
      <c r="X1395" t="s">
        <v>7376</v>
      </c>
      <c r="Z1395" t="s">
        <v>8484</v>
      </c>
      <c r="AB1395" t="s">
        <v>11236</v>
      </c>
      <c r="AC1395">
        <v>131</v>
      </c>
      <c r="AD1395" t="s">
        <v>12422</v>
      </c>
      <c r="AE1395" t="s">
        <v>6110</v>
      </c>
      <c r="AF1395">
        <v>27</v>
      </c>
      <c r="AG1395">
        <v>1</v>
      </c>
      <c r="AH1395">
        <v>0</v>
      </c>
      <c r="AI1395">
        <v>82.73</v>
      </c>
      <c r="AL1395" t="s">
        <v>12461</v>
      </c>
      <c r="AM1395">
        <v>10044</v>
      </c>
      <c r="AS1395">
        <v>0</v>
      </c>
      <c r="AU1395" t="s">
        <v>13095</v>
      </c>
    </row>
    <row r="1396" spans="1:48">
      <c r="A1396" s="1">
        <f>HYPERLINK("https://cms.ls-nyc.org/matter/dynamic-profile/view/1881834","18-1881834")</f>
        <v>0</v>
      </c>
      <c r="B1396" t="s">
        <v>116</v>
      </c>
      <c r="C1396" t="s">
        <v>369</v>
      </c>
      <c r="D1396" t="s">
        <v>389</v>
      </c>
      <c r="E1396" t="s">
        <v>1359</v>
      </c>
      <c r="F1396" t="s">
        <v>2052</v>
      </c>
      <c r="G1396" t="s">
        <v>4524</v>
      </c>
      <c r="H1396" t="s">
        <v>5470</v>
      </c>
      <c r="I1396" t="s">
        <v>6047</v>
      </c>
      <c r="J1396">
        <v>10456</v>
      </c>
      <c r="K1396" t="s">
        <v>6074</v>
      </c>
      <c r="L1396" t="s">
        <v>6074</v>
      </c>
      <c r="N1396" t="s">
        <v>6104</v>
      </c>
      <c r="O1396" t="s">
        <v>7307</v>
      </c>
      <c r="P1396" t="s">
        <v>7315</v>
      </c>
      <c r="Q1396" t="s">
        <v>7322</v>
      </c>
      <c r="R1396" t="s">
        <v>6076</v>
      </c>
      <c r="S1396" t="s">
        <v>7324</v>
      </c>
      <c r="U1396" t="s">
        <v>269</v>
      </c>
      <c r="V1396">
        <v>441.73</v>
      </c>
      <c r="W1396" t="s">
        <v>7363</v>
      </c>
      <c r="X1396" t="s">
        <v>7376</v>
      </c>
      <c r="Y1396" t="s">
        <v>7386</v>
      </c>
      <c r="Z1396" t="s">
        <v>8485</v>
      </c>
      <c r="AC1396">
        <v>0</v>
      </c>
      <c r="AD1396" t="s">
        <v>6322</v>
      </c>
      <c r="AE1396" t="s">
        <v>12434</v>
      </c>
      <c r="AF1396">
        <v>46</v>
      </c>
      <c r="AG1396">
        <v>1</v>
      </c>
      <c r="AH1396">
        <v>0</v>
      </c>
      <c r="AI1396">
        <v>82.73</v>
      </c>
      <c r="AL1396" t="s">
        <v>12460</v>
      </c>
      <c r="AM1396">
        <v>10044</v>
      </c>
      <c r="AS1396">
        <v>4</v>
      </c>
      <c r="AT1396" t="s">
        <v>389</v>
      </c>
      <c r="AU1396" t="s">
        <v>116</v>
      </c>
    </row>
    <row r="1397" spans="1:48">
      <c r="A1397" s="1">
        <f>HYPERLINK("https://cms.ls-nyc.org/matter/dynamic-profile/view/1877569","18-1877569")</f>
        <v>0</v>
      </c>
      <c r="B1397" t="s">
        <v>97</v>
      </c>
      <c r="C1397" t="s">
        <v>372</v>
      </c>
      <c r="D1397" t="s">
        <v>472</v>
      </c>
      <c r="E1397" t="s">
        <v>619</v>
      </c>
      <c r="F1397" t="s">
        <v>2174</v>
      </c>
      <c r="G1397" t="s">
        <v>3805</v>
      </c>
      <c r="H1397" t="s">
        <v>5709</v>
      </c>
      <c r="I1397" t="s">
        <v>6047</v>
      </c>
      <c r="J1397">
        <v>10452</v>
      </c>
      <c r="K1397" t="s">
        <v>6074</v>
      </c>
      <c r="L1397" t="s">
        <v>6074</v>
      </c>
      <c r="N1397" t="s">
        <v>7273</v>
      </c>
      <c r="O1397" t="s">
        <v>7306</v>
      </c>
      <c r="P1397" t="s">
        <v>7314</v>
      </c>
      <c r="Q1397" t="s">
        <v>7322</v>
      </c>
      <c r="R1397" t="s">
        <v>6074</v>
      </c>
      <c r="S1397" t="s">
        <v>7324</v>
      </c>
      <c r="U1397" t="s">
        <v>472</v>
      </c>
      <c r="V1397">
        <v>251</v>
      </c>
      <c r="W1397" t="s">
        <v>7363</v>
      </c>
      <c r="X1397" t="s">
        <v>7376</v>
      </c>
      <c r="Y1397" t="s">
        <v>7386</v>
      </c>
      <c r="Z1397" t="s">
        <v>8486</v>
      </c>
      <c r="AB1397" t="s">
        <v>11237</v>
      </c>
      <c r="AC1397">
        <v>149</v>
      </c>
      <c r="AD1397" t="s">
        <v>12422</v>
      </c>
      <c r="AE1397" t="s">
        <v>6110</v>
      </c>
      <c r="AF1397">
        <v>0</v>
      </c>
      <c r="AG1397">
        <v>1</v>
      </c>
      <c r="AH1397">
        <v>0</v>
      </c>
      <c r="AI1397">
        <v>82.73</v>
      </c>
      <c r="AL1397" t="s">
        <v>12460</v>
      </c>
      <c r="AM1397">
        <v>10044</v>
      </c>
      <c r="AS1397">
        <v>0.2</v>
      </c>
      <c r="AT1397" t="s">
        <v>492</v>
      </c>
      <c r="AU1397" t="s">
        <v>13099</v>
      </c>
    </row>
    <row r="1398" spans="1:48">
      <c r="A1398" s="1">
        <f>HYPERLINK("https://cms.ls-nyc.org/matter/dynamic-profile/view/1870264","18-1870264")</f>
        <v>0</v>
      </c>
      <c r="B1398" t="s">
        <v>134</v>
      </c>
      <c r="C1398" t="s">
        <v>311</v>
      </c>
      <c r="E1398" t="s">
        <v>1311</v>
      </c>
      <c r="F1398" t="s">
        <v>2223</v>
      </c>
      <c r="G1398" t="s">
        <v>4456</v>
      </c>
      <c r="H1398">
        <v>3</v>
      </c>
      <c r="I1398" t="s">
        <v>6049</v>
      </c>
      <c r="J1398">
        <v>10035</v>
      </c>
      <c r="K1398" t="s">
        <v>6074</v>
      </c>
      <c r="L1398" t="s">
        <v>6074</v>
      </c>
      <c r="M1398" t="s">
        <v>6689</v>
      </c>
      <c r="N1398" t="s">
        <v>7274</v>
      </c>
      <c r="O1398" t="s">
        <v>7308</v>
      </c>
      <c r="Q1398" t="s">
        <v>7322</v>
      </c>
      <c r="R1398" t="s">
        <v>6076</v>
      </c>
      <c r="S1398" t="s">
        <v>7324</v>
      </c>
      <c r="T1398" t="s">
        <v>7336</v>
      </c>
      <c r="U1398" t="s">
        <v>304</v>
      </c>
      <c r="V1398">
        <v>900</v>
      </c>
      <c r="W1398" t="s">
        <v>7365</v>
      </c>
      <c r="X1398" t="s">
        <v>7368</v>
      </c>
      <c r="Z1398" t="s">
        <v>8390</v>
      </c>
      <c r="AB1398" t="s">
        <v>11238</v>
      </c>
      <c r="AC1398">
        <v>6</v>
      </c>
      <c r="AD1398" t="s">
        <v>12422</v>
      </c>
      <c r="AE1398" t="s">
        <v>12434</v>
      </c>
      <c r="AF1398">
        <v>18</v>
      </c>
      <c r="AG1398">
        <v>1</v>
      </c>
      <c r="AH1398">
        <v>0</v>
      </c>
      <c r="AI1398">
        <v>82.73</v>
      </c>
      <c r="AL1398" t="s">
        <v>12460</v>
      </c>
      <c r="AM1398">
        <v>10044</v>
      </c>
      <c r="AS1398">
        <v>51.3</v>
      </c>
      <c r="AT1398" t="s">
        <v>460</v>
      </c>
      <c r="AU1398" t="s">
        <v>13079</v>
      </c>
    </row>
    <row r="1399" spans="1:48">
      <c r="A1399" s="1">
        <f>HYPERLINK("https://cms.ls-nyc.org/matter/dynamic-profile/view/1873294","18-1873294")</f>
        <v>0</v>
      </c>
      <c r="B1399" t="s">
        <v>126</v>
      </c>
      <c r="C1399" t="s">
        <v>232</v>
      </c>
      <c r="E1399" t="s">
        <v>1360</v>
      </c>
      <c r="F1399" t="s">
        <v>2465</v>
      </c>
      <c r="G1399" t="s">
        <v>4457</v>
      </c>
      <c r="H1399" t="s">
        <v>5710</v>
      </c>
      <c r="I1399" t="s">
        <v>6049</v>
      </c>
      <c r="J1399">
        <v>10035</v>
      </c>
      <c r="K1399" t="s">
        <v>6074</v>
      </c>
      <c r="L1399" t="s">
        <v>6074</v>
      </c>
      <c r="N1399" t="s">
        <v>7300</v>
      </c>
      <c r="O1399" t="s">
        <v>7311</v>
      </c>
      <c r="Q1399" t="s">
        <v>7322</v>
      </c>
      <c r="R1399" t="s">
        <v>6076</v>
      </c>
      <c r="S1399" t="s">
        <v>7324</v>
      </c>
      <c r="T1399" t="s">
        <v>7336</v>
      </c>
      <c r="U1399" t="s">
        <v>384</v>
      </c>
      <c r="V1399">
        <v>1293</v>
      </c>
      <c r="W1399" t="s">
        <v>7365</v>
      </c>
      <c r="X1399" t="s">
        <v>7305</v>
      </c>
      <c r="Z1399" t="s">
        <v>8487</v>
      </c>
      <c r="AB1399" t="s">
        <v>11239</v>
      </c>
      <c r="AC1399">
        <v>91</v>
      </c>
      <c r="AD1399" t="s">
        <v>12422</v>
      </c>
      <c r="AE1399" t="s">
        <v>12434</v>
      </c>
      <c r="AF1399">
        <v>11</v>
      </c>
      <c r="AG1399">
        <v>1</v>
      </c>
      <c r="AH1399">
        <v>0</v>
      </c>
      <c r="AI1399">
        <v>82.73</v>
      </c>
      <c r="AL1399" t="s">
        <v>12460</v>
      </c>
      <c r="AM1399">
        <v>10044</v>
      </c>
      <c r="AN1399" t="s">
        <v>12615</v>
      </c>
      <c r="AS1399">
        <v>29</v>
      </c>
      <c r="AT1399" t="s">
        <v>363</v>
      </c>
      <c r="AU1399" t="s">
        <v>13088</v>
      </c>
    </row>
    <row r="1400" spans="1:48">
      <c r="A1400" s="1">
        <f>HYPERLINK("https://cms.ls-nyc.org/matter/dynamic-profile/view/1895763","19-1895763")</f>
        <v>0</v>
      </c>
      <c r="B1400" t="s">
        <v>132</v>
      </c>
      <c r="C1400" t="s">
        <v>315</v>
      </c>
      <c r="E1400" t="s">
        <v>1361</v>
      </c>
      <c r="F1400" t="s">
        <v>2570</v>
      </c>
      <c r="G1400" t="s">
        <v>4525</v>
      </c>
      <c r="H1400" t="s">
        <v>5390</v>
      </c>
      <c r="I1400" t="s">
        <v>6049</v>
      </c>
      <c r="J1400">
        <v>10034</v>
      </c>
      <c r="K1400" t="s">
        <v>6074</v>
      </c>
      <c r="L1400" t="s">
        <v>6074</v>
      </c>
      <c r="N1400" t="s">
        <v>6104</v>
      </c>
      <c r="O1400" t="s">
        <v>7310</v>
      </c>
      <c r="Q1400" t="s">
        <v>7322</v>
      </c>
      <c r="R1400" t="s">
        <v>6076</v>
      </c>
      <c r="S1400" t="s">
        <v>7324</v>
      </c>
      <c r="T1400" t="s">
        <v>7336</v>
      </c>
      <c r="U1400" t="s">
        <v>268</v>
      </c>
      <c r="V1400">
        <v>1263.3</v>
      </c>
      <c r="W1400" t="s">
        <v>7365</v>
      </c>
      <c r="X1400" t="s">
        <v>7367</v>
      </c>
      <c r="Z1400" t="s">
        <v>8488</v>
      </c>
      <c r="AB1400" t="s">
        <v>11240</v>
      </c>
      <c r="AC1400">
        <v>45</v>
      </c>
      <c r="AD1400" t="s">
        <v>12425</v>
      </c>
      <c r="AE1400" t="s">
        <v>6110</v>
      </c>
      <c r="AF1400">
        <v>18</v>
      </c>
      <c r="AG1400">
        <v>3</v>
      </c>
      <c r="AH1400">
        <v>2</v>
      </c>
      <c r="AI1400">
        <v>82.73</v>
      </c>
      <c r="AL1400" t="s">
        <v>12461</v>
      </c>
      <c r="AM1400">
        <v>24960</v>
      </c>
      <c r="AS1400">
        <v>2</v>
      </c>
      <c r="AT1400" t="s">
        <v>268</v>
      </c>
      <c r="AU1400" t="s">
        <v>13096</v>
      </c>
    </row>
    <row r="1401" spans="1:48">
      <c r="A1401" s="1">
        <f>HYPERLINK("https://cms.ls-nyc.org/matter/dynamic-profile/view/1869962","18-1869962")</f>
        <v>0</v>
      </c>
      <c r="B1401" t="s">
        <v>128</v>
      </c>
      <c r="C1401" t="s">
        <v>415</v>
      </c>
      <c r="D1401" t="s">
        <v>561</v>
      </c>
      <c r="E1401" t="s">
        <v>765</v>
      </c>
      <c r="F1401" t="s">
        <v>2388</v>
      </c>
      <c r="G1401" t="s">
        <v>4025</v>
      </c>
      <c r="H1401" t="s">
        <v>5507</v>
      </c>
      <c r="I1401" t="s">
        <v>6049</v>
      </c>
      <c r="J1401">
        <v>10034</v>
      </c>
      <c r="K1401" t="s">
        <v>6074</v>
      </c>
      <c r="L1401" t="s">
        <v>6074</v>
      </c>
      <c r="M1401" t="s">
        <v>6690</v>
      </c>
      <c r="N1401" t="s">
        <v>7276</v>
      </c>
      <c r="O1401" t="s">
        <v>7307</v>
      </c>
      <c r="P1401" t="s">
        <v>7315</v>
      </c>
      <c r="Q1401" t="s">
        <v>7322</v>
      </c>
      <c r="R1401" t="s">
        <v>6076</v>
      </c>
      <c r="S1401" t="s">
        <v>7324</v>
      </c>
      <c r="T1401" t="s">
        <v>7336</v>
      </c>
      <c r="U1401" t="s">
        <v>388</v>
      </c>
      <c r="V1401">
        <v>1928.53</v>
      </c>
      <c r="W1401" t="s">
        <v>7365</v>
      </c>
      <c r="X1401" t="s">
        <v>7368</v>
      </c>
      <c r="Y1401" t="s">
        <v>7386</v>
      </c>
      <c r="Z1401" t="s">
        <v>7820</v>
      </c>
      <c r="AB1401" t="s">
        <v>10633</v>
      </c>
      <c r="AC1401">
        <v>38</v>
      </c>
      <c r="AD1401" t="s">
        <v>12422</v>
      </c>
      <c r="AE1401" t="s">
        <v>6110</v>
      </c>
      <c r="AF1401">
        <v>6</v>
      </c>
      <c r="AG1401">
        <v>1</v>
      </c>
      <c r="AH1401">
        <v>0</v>
      </c>
      <c r="AI1401">
        <v>82.73</v>
      </c>
      <c r="AL1401" t="s">
        <v>12460</v>
      </c>
      <c r="AM1401">
        <v>10044</v>
      </c>
      <c r="AS1401">
        <v>6.4</v>
      </c>
      <c r="AT1401" t="s">
        <v>561</v>
      </c>
      <c r="AU1401" t="s">
        <v>13104</v>
      </c>
      <c r="AV1401" t="s">
        <v>13145</v>
      </c>
    </row>
    <row r="1402" spans="1:48">
      <c r="A1402" s="1">
        <f>HYPERLINK("https://cms.ls-nyc.org/matter/dynamic-profile/view/1872463","18-1872463")</f>
        <v>0</v>
      </c>
      <c r="B1402" t="s">
        <v>139</v>
      </c>
      <c r="C1402" t="s">
        <v>376</v>
      </c>
      <c r="D1402" t="s">
        <v>301</v>
      </c>
      <c r="E1402" t="s">
        <v>901</v>
      </c>
      <c r="F1402" t="s">
        <v>2284</v>
      </c>
      <c r="G1402" t="s">
        <v>4526</v>
      </c>
      <c r="H1402" t="s">
        <v>5373</v>
      </c>
      <c r="I1402" t="s">
        <v>6049</v>
      </c>
      <c r="J1402">
        <v>10032</v>
      </c>
      <c r="K1402" t="s">
        <v>6074</v>
      </c>
      <c r="L1402" t="s">
        <v>6074</v>
      </c>
      <c r="N1402" t="s">
        <v>6104</v>
      </c>
      <c r="O1402" t="s">
        <v>7309</v>
      </c>
      <c r="P1402" t="s">
        <v>7314</v>
      </c>
      <c r="Q1402" t="s">
        <v>7322</v>
      </c>
      <c r="R1402" t="s">
        <v>6076</v>
      </c>
      <c r="S1402" t="s">
        <v>7324</v>
      </c>
      <c r="U1402" t="s">
        <v>376</v>
      </c>
      <c r="V1402">
        <v>872.58</v>
      </c>
      <c r="W1402" t="s">
        <v>7365</v>
      </c>
      <c r="X1402" t="s">
        <v>7367</v>
      </c>
      <c r="Y1402" t="s">
        <v>7386</v>
      </c>
      <c r="Z1402" t="s">
        <v>8489</v>
      </c>
      <c r="AB1402" t="s">
        <v>11241</v>
      </c>
      <c r="AC1402">
        <v>49</v>
      </c>
      <c r="AD1402" t="s">
        <v>12422</v>
      </c>
      <c r="AE1402" t="s">
        <v>12434</v>
      </c>
      <c r="AF1402">
        <v>0</v>
      </c>
      <c r="AG1402">
        <v>1</v>
      </c>
      <c r="AH1402">
        <v>0</v>
      </c>
      <c r="AI1402">
        <v>82.73</v>
      </c>
      <c r="AL1402" t="s">
        <v>12461</v>
      </c>
      <c r="AM1402">
        <v>10044</v>
      </c>
      <c r="AS1402">
        <v>3.1</v>
      </c>
      <c r="AT1402" t="s">
        <v>301</v>
      </c>
      <c r="AU1402" t="s">
        <v>13106</v>
      </c>
    </row>
    <row r="1403" spans="1:48">
      <c r="A1403" s="1">
        <f>HYPERLINK("https://cms.ls-nyc.org/matter/dynamic-profile/view/1895348","19-1895348")</f>
        <v>0</v>
      </c>
      <c r="B1403" t="s">
        <v>174</v>
      </c>
      <c r="C1403" t="s">
        <v>247</v>
      </c>
      <c r="E1403" t="s">
        <v>827</v>
      </c>
      <c r="F1403" t="s">
        <v>2832</v>
      </c>
      <c r="G1403" t="s">
        <v>4354</v>
      </c>
      <c r="H1403" t="s">
        <v>5357</v>
      </c>
      <c r="I1403" t="s">
        <v>6043</v>
      </c>
      <c r="J1403">
        <v>11221</v>
      </c>
      <c r="K1403" t="s">
        <v>6076</v>
      </c>
      <c r="L1403" t="s">
        <v>6076</v>
      </c>
      <c r="N1403" t="s">
        <v>7287</v>
      </c>
      <c r="O1403" t="s">
        <v>7308</v>
      </c>
      <c r="Q1403" t="s">
        <v>7322</v>
      </c>
      <c r="R1403" t="s">
        <v>6074</v>
      </c>
      <c r="S1403" t="s">
        <v>7324</v>
      </c>
      <c r="U1403" t="s">
        <v>247</v>
      </c>
      <c r="V1403">
        <v>336.58</v>
      </c>
      <c r="W1403" t="s">
        <v>7362</v>
      </c>
      <c r="X1403" t="s">
        <v>7376</v>
      </c>
      <c r="Z1403" t="s">
        <v>8490</v>
      </c>
      <c r="AA1403" t="s">
        <v>10147</v>
      </c>
      <c r="AB1403" t="s">
        <v>11242</v>
      </c>
      <c r="AC1403">
        <v>12</v>
      </c>
      <c r="AD1403" t="s">
        <v>12422</v>
      </c>
      <c r="AE1403" t="s">
        <v>6110</v>
      </c>
      <c r="AF1403">
        <v>8</v>
      </c>
      <c r="AG1403">
        <v>1</v>
      </c>
      <c r="AH1403">
        <v>1</v>
      </c>
      <c r="AI1403">
        <v>82.79000000000001</v>
      </c>
      <c r="AL1403" t="s">
        <v>12460</v>
      </c>
      <c r="AM1403">
        <v>14000</v>
      </c>
      <c r="AS1403">
        <v>0</v>
      </c>
      <c r="AU1403" t="s">
        <v>218</v>
      </c>
    </row>
    <row r="1404" spans="1:48">
      <c r="A1404" s="1">
        <f>HYPERLINK("https://cms.ls-nyc.org/matter/dynamic-profile/view/1886920","19-1886920")</f>
        <v>0</v>
      </c>
      <c r="B1404" t="s">
        <v>54</v>
      </c>
      <c r="C1404" t="s">
        <v>410</v>
      </c>
      <c r="E1404" t="s">
        <v>676</v>
      </c>
      <c r="F1404" t="s">
        <v>2833</v>
      </c>
      <c r="G1404" t="s">
        <v>4338</v>
      </c>
      <c r="H1404" t="s">
        <v>5711</v>
      </c>
      <c r="I1404" t="s">
        <v>6025</v>
      </c>
      <c r="J1404">
        <v>11691</v>
      </c>
      <c r="K1404" t="s">
        <v>6074</v>
      </c>
      <c r="L1404" t="s">
        <v>6074</v>
      </c>
      <c r="M1404" t="s">
        <v>6691</v>
      </c>
      <c r="N1404" t="s">
        <v>7276</v>
      </c>
      <c r="O1404" t="s">
        <v>7308</v>
      </c>
      <c r="Q1404" t="s">
        <v>7322</v>
      </c>
      <c r="R1404" t="s">
        <v>6076</v>
      </c>
      <c r="S1404" t="s">
        <v>7324</v>
      </c>
      <c r="T1404" t="s">
        <v>7336</v>
      </c>
      <c r="U1404" t="s">
        <v>410</v>
      </c>
      <c r="V1404">
        <v>250</v>
      </c>
      <c r="W1404" t="s">
        <v>7361</v>
      </c>
      <c r="X1404" t="s">
        <v>7366</v>
      </c>
      <c r="Z1404" t="s">
        <v>8491</v>
      </c>
      <c r="AA1404" t="s">
        <v>10148</v>
      </c>
      <c r="AB1404" t="s">
        <v>11243</v>
      </c>
      <c r="AC1404">
        <v>120</v>
      </c>
      <c r="AD1404" t="s">
        <v>12429</v>
      </c>
      <c r="AE1404" t="s">
        <v>6110</v>
      </c>
      <c r="AF1404">
        <v>18</v>
      </c>
      <c r="AG1404">
        <v>1</v>
      </c>
      <c r="AH1404">
        <v>3</v>
      </c>
      <c r="AI1404">
        <v>82.87</v>
      </c>
      <c r="AL1404" t="s">
        <v>12460</v>
      </c>
      <c r="AM1404">
        <v>20800</v>
      </c>
      <c r="AO1404" t="s">
        <v>12846</v>
      </c>
      <c r="AP1404" t="s">
        <v>12857</v>
      </c>
      <c r="AS1404">
        <v>4.65</v>
      </c>
      <c r="AT1404" t="s">
        <v>423</v>
      </c>
      <c r="AU1404" t="s">
        <v>189</v>
      </c>
    </row>
    <row r="1405" spans="1:48">
      <c r="A1405" s="1">
        <f>HYPERLINK("https://cms.ls-nyc.org/matter/dynamic-profile/view/1879625","18-1879625")</f>
        <v>0</v>
      </c>
      <c r="B1405" t="s">
        <v>144</v>
      </c>
      <c r="C1405" t="s">
        <v>483</v>
      </c>
      <c r="E1405" t="s">
        <v>1245</v>
      </c>
      <c r="F1405" t="s">
        <v>2638</v>
      </c>
      <c r="G1405" t="s">
        <v>4085</v>
      </c>
      <c r="H1405" t="s">
        <v>5578</v>
      </c>
      <c r="I1405" t="s">
        <v>6043</v>
      </c>
      <c r="J1405">
        <v>11207</v>
      </c>
      <c r="K1405" t="s">
        <v>6076</v>
      </c>
      <c r="L1405" t="s">
        <v>6076</v>
      </c>
      <c r="N1405" t="s">
        <v>7295</v>
      </c>
      <c r="O1405" t="s">
        <v>7308</v>
      </c>
      <c r="Q1405" t="s">
        <v>7322</v>
      </c>
      <c r="S1405" t="s">
        <v>7324</v>
      </c>
      <c r="T1405" t="s">
        <v>7336</v>
      </c>
      <c r="U1405" t="s">
        <v>442</v>
      </c>
      <c r="V1405">
        <v>1000</v>
      </c>
      <c r="W1405" t="s">
        <v>7362</v>
      </c>
      <c r="X1405" t="s">
        <v>7368</v>
      </c>
      <c r="Z1405" t="s">
        <v>8492</v>
      </c>
      <c r="AA1405" t="s">
        <v>9871</v>
      </c>
      <c r="AB1405" t="s">
        <v>11244</v>
      </c>
      <c r="AC1405">
        <v>6</v>
      </c>
      <c r="AD1405" t="s">
        <v>12422</v>
      </c>
      <c r="AE1405" t="s">
        <v>6110</v>
      </c>
      <c r="AF1405">
        <v>4</v>
      </c>
      <c r="AG1405">
        <v>1</v>
      </c>
      <c r="AH1405">
        <v>3</v>
      </c>
      <c r="AI1405">
        <v>82.87</v>
      </c>
      <c r="AL1405" t="s">
        <v>12460</v>
      </c>
      <c r="AM1405">
        <v>20800</v>
      </c>
      <c r="AS1405">
        <v>0</v>
      </c>
      <c r="AU1405" t="s">
        <v>218</v>
      </c>
    </row>
    <row r="1406" spans="1:48">
      <c r="A1406" s="1">
        <f>HYPERLINK("https://cms.ls-nyc.org/matter/dynamic-profile/view/1879627","18-1879627")</f>
        <v>0</v>
      </c>
      <c r="B1406" t="s">
        <v>144</v>
      </c>
      <c r="C1406" t="s">
        <v>483</v>
      </c>
      <c r="E1406" t="s">
        <v>1245</v>
      </c>
      <c r="F1406" t="s">
        <v>2638</v>
      </c>
      <c r="G1406" t="s">
        <v>4085</v>
      </c>
      <c r="H1406" t="s">
        <v>5578</v>
      </c>
      <c r="I1406" t="s">
        <v>6043</v>
      </c>
      <c r="J1406">
        <v>11207</v>
      </c>
      <c r="K1406" t="s">
        <v>6076</v>
      </c>
      <c r="L1406" t="s">
        <v>6076</v>
      </c>
      <c r="N1406" t="s">
        <v>7282</v>
      </c>
      <c r="O1406" t="s">
        <v>7308</v>
      </c>
      <c r="Q1406" t="s">
        <v>7322</v>
      </c>
      <c r="R1406" t="s">
        <v>6074</v>
      </c>
      <c r="S1406" t="s">
        <v>7324</v>
      </c>
      <c r="T1406" t="s">
        <v>7336</v>
      </c>
      <c r="U1406" t="s">
        <v>307</v>
      </c>
      <c r="V1406">
        <v>1000</v>
      </c>
      <c r="W1406" t="s">
        <v>7362</v>
      </c>
      <c r="X1406" t="s">
        <v>7368</v>
      </c>
      <c r="Z1406" t="s">
        <v>8492</v>
      </c>
      <c r="AB1406" t="s">
        <v>11244</v>
      </c>
      <c r="AC1406">
        <v>6</v>
      </c>
      <c r="AD1406" t="s">
        <v>12422</v>
      </c>
      <c r="AE1406" t="s">
        <v>6110</v>
      </c>
      <c r="AF1406">
        <v>4</v>
      </c>
      <c r="AG1406">
        <v>1</v>
      </c>
      <c r="AH1406">
        <v>3</v>
      </c>
      <c r="AI1406">
        <v>82.87</v>
      </c>
      <c r="AL1406" t="s">
        <v>12460</v>
      </c>
      <c r="AM1406">
        <v>20800</v>
      </c>
      <c r="AS1406">
        <v>0</v>
      </c>
      <c r="AU1406" t="s">
        <v>218</v>
      </c>
    </row>
    <row r="1407" spans="1:48">
      <c r="A1407" s="1">
        <f>HYPERLINK("https://cms.ls-nyc.org/matter/dynamic-profile/view/1879620","18-1879620")</f>
        <v>0</v>
      </c>
      <c r="B1407" t="s">
        <v>91</v>
      </c>
      <c r="C1407" t="s">
        <v>483</v>
      </c>
      <c r="D1407" t="s">
        <v>504</v>
      </c>
      <c r="E1407" t="s">
        <v>1245</v>
      </c>
      <c r="F1407" t="s">
        <v>2638</v>
      </c>
      <c r="G1407" t="s">
        <v>4085</v>
      </c>
      <c r="H1407" t="s">
        <v>5578</v>
      </c>
      <c r="I1407" t="s">
        <v>6043</v>
      </c>
      <c r="J1407">
        <v>11207</v>
      </c>
      <c r="K1407" t="s">
        <v>6076</v>
      </c>
      <c r="L1407" t="s">
        <v>6076</v>
      </c>
      <c r="M1407" t="s">
        <v>6104</v>
      </c>
      <c r="N1407" t="s">
        <v>7279</v>
      </c>
      <c r="O1407" t="s">
        <v>7311</v>
      </c>
      <c r="P1407" t="s">
        <v>7321</v>
      </c>
      <c r="Q1407" t="s">
        <v>7322</v>
      </c>
      <c r="R1407" t="s">
        <v>6074</v>
      </c>
      <c r="S1407" t="s">
        <v>7324</v>
      </c>
      <c r="T1407" t="s">
        <v>7336</v>
      </c>
      <c r="U1407" t="s">
        <v>7344</v>
      </c>
      <c r="V1407">
        <v>1000</v>
      </c>
      <c r="W1407" t="s">
        <v>7362</v>
      </c>
      <c r="X1407" t="s">
        <v>7368</v>
      </c>
      <c r="Y1407" t="s">
        <v>7387</v>
      </c>
      <c r="Z1407" t="s">
        <v>8492</v>
      </c>
      <c r="AA1407" t="s">
        <v>9871</v>
      </c>
      <c r="AB1407" t="s">
        <v>11244</v>
      </c>
      <c r="AC1407">
        <v>6</v>
      </c>
      <c r="AD1407" t="s">
        <v>12422</v>
      </c>
      <c r="AE1407" t="s">
        <v>6110</v>
      </c>
      <c r="AF1407">
        <v>4</v>
      </c>
      <c r="AG1407">
        <v>1</v>
      </c>
      <c r="AH1407">
        <v>3</v>
      </c>
      <c r="AI1407">
        <v>82.87</v>
      </c>
      <c r="AL1407" t="s">
        <v>12460</v>
      </c>
      <c r="AM1407">
        <v>20800</v>
      </c>
      <c r="AS1407">
        <v>0.25</v>
      </c>
      <c r="AT1407" t="s">
        <v>504</v>
      </c>
      <c r="AU1407" t="s">
        <v>218</v>
      </c>
    </row>
    <row r="1408" spans="1:48">
      <c r="A1408" s="1">
        <f>HYPERLINK("https://cms.ls-nyc.org/matter/dynamic-profile/view/1879623","18-1879623")</f>
        <v>0</v>
      </c>
      <c r="B1408" t="s">
        <v>89</v>
      </c>
      <c r="C1408" t="s">
        <v>483</v>
      </c>
      <c r="E1408" t="s">
        <v>1245</v>
      </c>
      <c r="F1408" t="s">
        <v>2638</v>
      </c>
      <c r="G1408" t="s">
        <v>4085</v>
      </c>
      <c r="H1408" t="s">
        <v>5578</v>
      </c>
      <c r="I1408" t="s">
        <v>6043</v>
      </c>
      <c r="J1408">
        <v>11207</v>
      </c>
      <c r="K1408" t="s">
        <v>6076</v>
      </c>
      <c r="L1408" t="s">
        <v>6076</v>
      </c>
      <c r="M1408" t="s">
        <v>6104</v>
      </c>
      <c r="N1408" t="s">
        <v>7279</v>
      </c>
      <c r="O1408" t="s">
        <v>7311</v>
      </c>
      <c r="Q1408" t="s">
        <v>7322</v>
      </c>
      <c r="R1408" t="s">
        <v>6074</v>
      </c>
      <c r="S1408" t="s">
        <v>7324</v>
      </c>
      <c r="T1408" t="s">
        <v>7336</v>
      </c>
      <c r="U1408" t="s">
        <v>442</v>
      </c>
      <c r="V1408">
        <v>1000</v>
      </c>
      <c r="W1408" t="s">
        <v>7362</v>
      </c>
      <c r="X1408" t="s">
        <v>7368</v>
      </c>
      <c r="Z1408" t="s">
        <v>8492</v>
      </c>
      <c r="AA1408" t="s">
        <v>9871</v>
      </c>
      <c r="AB1408" t="s">
        <v>11244</v>
      </c>
      <c r="AC1408">
        <v>6</v>
      </c>
      <c r="AD1408" t="s">
        <v>12422</v>
      </c>
      <c r="AE1408" t="s">
        <v>6110</v>
      </c>
      <c r="AF1408">
        <v>4</v>
      </c>
      <c r="AG1408">
        <v>1</v>
      </c>
      <c r="AH1408">
        <v>3</v>
      </c>
      <c r="AI1408">
        <v>82.87</v>
      </c>
      <c r="AL1408" t="s">
        <v>12460</v>
      </c>
      <c r="AM1408">
        <v>20800</v>
      </c>
      <c r="AS1408">
        <v>0.5</v>
      </c>
      <c r="AT1408" t="s">
        <v>462</v>
      </c>
      <c r="AU1408" t="s">
        <v>218</v>
      </c>
    </row>
    <row r="1409" spans="1:47">
      <c r="A1409" s="1">
        <f>HYPERLINK("https://cms.ls-nyc.org/matter/dynamic-profile/view/1879613","18-1879613")</f>
        <v>0</v>
      </c>
      <c r="B1409" t="s">
        <v>144</v>
      </c>
      <c r="C1409" t="s">
        <v>483</v>
      </c>
      <c r="E1409" t="s">
        <v>1245</v>
      </c>
      <c r="F1409" t="s">
        <v>2638</v>
      </c>
      <c r="G1409" t="s">
        <v>4085</v>
      </c>
      <c r="H1409" t="s">
        <v>5578</v>
      </c>
      <c r="I1409" t="s">
        <v>6043</v>
      </c>
      <c r="J1409">
        <v>11207</v>
      </c>
      <c r="K1409" t="s">
        <v>6076</v>
      </c>
      <c r="L1409" t="s">
        <v>6076</v>
      </c>
      <c r="N1409" t="s">
        <v>6104</v>
      </c>
      <c r="O1409" t="s">
        <v>7307</v>
      </c>
      <c r="Q1409" t="s">
        <v>7322</v>
      </c>
      <c r="R1409" t="s">
        <v>6074</v>
      </c>
      <c r="S1409" t="s">
        <v>7324</v>
      </c>
      <c r="T1409" t="s">
        <v>7336</v>
      </c>
      <c r="U1409" t="s">
        <v>442</v>
      </c>
      <c r="V1409">
        <v>1000</v>
      </c>
      <c r="W1409" t="s">
        <v>7362</v>
      </c>
      <c r="X1409" t="s">
        <v>7368</v>
      </c>
      <c r="Z1409" t="s">
        <v>8492</v>
      </c>
      <c r="AB1409" t="s">
        <v>11244</v>
      </c>
      <c r="AC1409">
        <v>6</v>
      </c>
      <c r="AD1409" t="s">
        <v>12422</v>
      </c>
      <c r="AE1409" t="s">
        <v>6110</v>
      </c>
      <c r="AF1409">
        <v>4</v>
      </c>
      <c r="AG1409">
        <v>1</v>
      </c>
      <c r="AH1409">
        <v>3</v>
      </c>
      <c r="AI1409">
        <v>82.87</v>
      </c>
      <c r="AL1409" t="s">
        <v>12460</v>
      </c>
      <c r="AM1409">
        <v>20800</v>
      </c>
      <c r="AS1409">
        <v>0</v>
      </c>
      <c r="AU1409" t="s">
        <v>218</v>
      </c>
    </row>
    <row r="1410" spans="1:47">
      <c r="A1410" s="1">
        <f>HYPERLINK("https://cms.ls-nyc.org/matter/dynamic-profile/view/1879615","18-1879615")</f>
        <v>0</v>
      </c>
      <c r="B1410" t="s">
        <v>144</v>
      </c>
      <c r="C1410" t="s">
        <v>483</v>
      </c>
      <c r="E1410" t="s">
        <v>1245</v>
      </c>
      <c r="F1410" t="s">
        <v>2638</v>
      </c>
      <c r="G1410" t="s">
        <v>4085</v>
      </c>
      <c r="H1410" t="s">
        <v>5578</v>
      </c>
      <c r="I1410" t="s">
        <v>6043</v>
      </c>
      <c r="J1410">
        <v>11207</v>
      </c>
      <c r="K1410" t="s">
        <v>6076</v>
      </c>
      <c r="L1410" t="s">
        <v>6076</v>
      </c>
      <c r="M1410" t="s">
        <v>6104</v>
      </c>
      <c r="N1410" t="s">
        <v>7275</v>
      </c>
      <c r="O1410" t="s">
        <v>7309</v>
      </c>
      <c r="Q1410" t="s">
        <v>7322</v>
      </c>
      <c r="R1410" t="s">
        <v>6074</v>
      </c>
      <c r="S1410" t="s">
        <v>7324</v>
      </c>
      <c r="T1410" t="s">
        <v>7336</v>
      </c>
      <c r="U1410" t="s">
        <v>7344</v>
      </c>
      <c r="V1410">
        <v>1000</v>
      </c>
      <c r="W1410" t="s">
        <v>7362</v>
      </c>
      <c r="X1410" t="s">
        <v>7368</v>
      </c>
      <c r="Z1410" t="s">
        <v>8492</v>
      </c>
      <c r="AA1410" t="s">
        <v>9871</v>
      </c>
      <c r="AB1410" t="s">
        <v>11244</v>
      </c>
      <c r="AC1410">
        <v>6</v>
      </c>
      <c r="AD1410" t="s">
        <v>12422</v>
      </c>
      <c r="AE1410" t="s">
        <v>6110</v>
      </c>
      <c r="AF1410">
        <v>4</v>
      </c>
      <c r="AG1410">
        <v>1</v>
      </c>
      <c r="AH1410">
        <v>3</v>
      </c>
      <c r="AI1410">
        <v>82.87</v>
      </c>
      <c r="AL1410" t="s">
        <v>12460</v>
      </c>
      <c r="AM1410">
        <v>20800</v>
      </c>
      <c r="AS1410">
        <v>0</v>
      </c>
      <c r="AU1410" t="s">
        <v>218</v>
      </c>
    </row>
    <row r="1411" spans="1:47">
      <c r="A1411" s="1">
        <f>HYPERLINK("https://cms.ls-nyc.org/matter/dynamic-profile/view/1881840","18-1881840")</f>
        <v>0</v>
      </c>
      <c r="B1411" t="s">
        <v>96</v>
      </c>
      <c r="C1411" t="s">
        <v>451</v>
      </c>
      <c r="D1411" t="s">
        <v>313</v>
      </c>
      <c r="E1411" t="s">
        <v>1188</v>
      </c>
      <c r="F1411" t="s">
        <v>2834</v>
      </c>
      <c r="G1411" t="s">
        <v>4527</v>
      </c>
      <c r="H1411" t="s">
        <v>5444</v>
      </c>
      <c r="I1411" t="s">
        <v>6047</v>
      </c>
      <c r="J1411">
        <v>10456</v>
      </c>
      <c r="K1411" t="s">
        <v>6074</v>
      </c>
      <c r="L1411" t="s">
        <v>6074</v>
      </c>
      <c r="N1411" t="s">
        <v>7279</v>
      </c>
      <c r="O1411" t="s">
        <v>7306</v>
      </c>
      <c r="P1411" t="s">
        <v>7314</v>
      </c>
      <c r="Q1411" t="s">
        <v>7322</v>
      </c>
      <c r="R1411" t="s">
        <v>6076</v>
      </c>
      <c r="S1411" t="s">
        <v>7324</v>
      </c>
      <c r="U1411" t="s">
        <v>359</v>
      </c>
      <c r="V1411">
        <v>1400</v>
      </c>
      <c r="W1411" t="s">
        <v>7363</v>
      </c>
      <c r="X1411" t="s">
        <v>7376</v>
      </c>
      <c r="Y1411" t="s">
        <v>7386</v>
      </c>
      <c r="Z1411" t="s">
        <v>8493</v>
      </c>
      <c r="AB1411" t="s">
        <v>11245</v>
      </c>
      <c r="AC1411">
        <v>49</v>
      </c>
      <c r="AD1411" t="s">
        <v>12422</v>
      </c>
      <c r="AF1411">
        <v>4</v>
      </c>
      <c r="AG1411">
        <v>2</v>
      </c>
      <c r="AH1411">
        <v>2</v>
      </c>
      <c r="AI1411">
        <v>82.87</v>
      </c>
      <c r="AL1411" t="s">
        <v>12462</v>
      </c>
      <c r="AM1411">
        <v>20800</v>
      </c>
      <c r="AS1411">
        <v>0.8</v>
      </c>
      <c r="AT1411" t="s">
        <v>313</v>
      </c>
      <c r="AU1411" t="s">
        <v>99</v>
      </c>
    </row>
    <row r="1412" spans="1:47">
      <c r="A1412" s="1">
        <f>HYPERLINK("https://cms.ls-nyc.org/matter/dynamic-profile/view/1886592","18-1886592")</f>
        <v>0</v>
      </c>
      <c r="B1412" t="s">
        <v>99</v>
      </c>
      <c r="C1412" t="s">
        <v>346</v>
      </c>
      <c r="D1412" t="s">
        <v>379</v>
      </c>
      <c r="E1412" t="s">
        <v>782</v>
      </c>
      <c r="F1412" t="s">
        <v>2835</v>
      </c>
      <c r="G1412" t="s">
        <v>4528</v>
      </c>
      <c r="I1412" t="s">
        <v>6047</v>
      </c>
      <c r="J1412">
        <v>10452</v>
      </c>
      <c r="K1412" t="s">
        <v>6074</v>
      </c>
      <c r="L1412" t="s">
        <v>6074</v>
      </c>
      <c r="N1412" t="s">
        <v>6104</v>
      </c>
      <c r="O1412" t="s">
        <v>7306</v>
      </c>
      <c r="P1412" t="s">
        <v>7314</v>
      </c>
      <c r="Q1412" t="s">
        <v>7322</v>
      </c>
      <c r="R1412" t="s">
        <v>6076</v>
      </c>
      <c r="S1412" t="s">
        <v>7324</v>
      </c>
      <c r="U1412" t="s">
        <v>390</v>
      </c>
      <c r="V1412">
        <v>0</v>
      </c>
      <c r="W1412" t="s">
        <v>7363</v>
      </c>
      <c r="X1412" t="s">
        <v>7376</v>
      </c>
      <c r="Y1412" t="s">
        <v>7386</v>
      </c>
      <c r="Z1412" t="s">
        <v>8494</v>
      </c>
      <c r="AB1412" t="s">
        <v>11246</v>
      </c>
      <c r="AC1412">
        <v>0</v>
      </c>
      <c r="AD1412" t="s">
        <v>6322</v>
      </c>
      <c r="AE1412" t="s">
        <v>6110</v>
      </c>
      <c r="AF1412">
        <v>0</v>
      </c>
      <c r="AG1412">
        <v>2</v>
      </c>
      <c r="AH1412">
        <v>2</v>
      </c>
      <c r="AI1412">
        <v>82.87</v>
      </c>
      <c r="AL1412" t="s">
        <v>12461</v>
      </c>
      <c r="AM1412">
        <v>20800</v>
      </c>
      <c r="AR1412" t="s">
        <v>12941</v>
      </c>
      <c r="AS1412">
        <v>3.1</v>
      </c>
      <c r="AT1412" t="s">
        <v>379</v>
      </c>
      <c r="AU1412" t="s">
        <v>99</v>
      </c>
    </row>
    <row r="1413" spans="1:47">
      <c r="A1413" s="1">
        <f>HYPERLINK("https://cms.ls-nyc.org/matter/dynamic-profile/view/1883527","18-1883527")</f>
        <v>0</v>
      </c>
      <c r="B1413" t="s">
        <v>136</v>
      </c>
      <c r="C1413" t="s">
        <v>320</v>
      </c>
      <c r="E1413" t="s">
        <v>1071</v>
      </c>
      <c r="F1413" t="s">
        <v>2836</v>
      </c>
      <c r="G1413" t="s">
        <v>4093</v>
      </c>
      <c r="H1413" t="s">
        <v>5712</v>
      </c>
      <c r="I1413" t="s">
        <v>6049</v>
      </c>
      <c r="J1413">
        <v>10029</v>
      </c>
      <c r="K1413" t="s">
        <v>6074</v>
      </c>
      <c r="L1413" t="s">
        <v>6074</v>
      </c>
      <c r="M1413" t="s">
        <v>6692</v>
      </c>
      <c r="N1413" t="s">
        <v>7276</v>
      </c>
      <c r="O1413" t="s">
        <v>7308</v>
      </c>
      <c r="Q1413" t="s">
        <v>7322</v>
      </c>
      <c r="R1413" t="s">
        <v>6076</v>
      </c>
      <c r="S1413" t="s">
        <v>7324</v>
      </c>
      <c r="T1413" t="s">
        <v>7336</v>
      </c>
      <c r="U1413" t="s">
        <v>269</v>
      </c>
      <c r="V1413">
        <v>2944</v>
      </c>
      <c r="W1413" t="s">
        <v>7365</v>
      </c>
      <c r="X1413" t="s">
        <v>7305</v>
      </c>
      <c r="Z1413" t="s">
        <v>8495</v>
      </c>
      <c r="AB1413" t="s">
        <v>11247</v>
      </c>
      <c r="AC1413">
        <v>700</v>
      </c>
      <c r="AD1413" t="s">
        <v>12419</v>
      </c>
      <c r="AE1413" t="s">
        <v>7305</v>
      </c>
      <c r="AF1413">
        <v>35</v>
      </c>
      <c r="AG1413">
        <v>4</v>
      </c>
      <c r="AH1413">
        <v>1</v>
      </c>
      <c r="AI1413">
        <v>82.94</v>
      </c>
      <c r="AL1413" t="s">
        <v>12460</v>
      </c>
      <c r="AM1413">
        <v>24400</v>
      </c>
      <c r="AS1413">
        <v>69.27</v>
      </c>
      <c r="AT1413" t="s">
        <v>294</v>
      </c>
      <c r="AU1413" t="s">
        <v>13096</v>
      </c>
    </row>
    <row r="1414" spans="1:47">
      <c r="A1414" s="1">
        <f>HYPERLINK("https://cms.ls-nyc.org/matter/dynamic-profile/view/1872452","18-1872452")</f>
        <v>0</v>
      </c>
      <c r="B1414" t="s">
        <v>52</v>
      </c>
      <c r="C1414" t="s">
        <v>376</v>
      </c>
      <c r="D1414" t="s">
        <v>384</v>
      </c>
      <c r="E1414" t="s">
        <v>667</v>
      </c>
      <c r="F1414" t="s">
        <v>1209</v>
      </c>
      <c r="G1414" t="s">
        <v>4367</v>
      </c>
      <c r="H1414" t="s">
        <v>5578</v>
      </c>
      <c r="I1414" t="s">
        <v>6027</v>
      </c>
      <c r="J1414">
        <v>11427</v>
      </c>
      <c r="K1414" t="s">
        <v>6074</v>
      </c>
      <c r="L1414" t="s">
        <v>6074</v>
      </c>
      <c r="M1414" t="s">
        <v>6693</v>
      </c>
      <c r="N1414" t="s">
        <v>7276</v>
      </c>
      <c r="O1414" t="s">
        <v>7308</v>
      </c>
      <c r="P1414" t="s">
        <v>7320</v>
      </c>
      <c r="Q1414" t="s">
        <v>7322</v>
      </c>
      <c r="R1414" t="s">
        <v>6076</v>
      </c>
      <c r="S1414" t="s">
        <v>7324</v>
      </c>
      <c r="T1414" t="s">
        <v>7336</v>
      </c>
      <c r="U1414" t="s">
        <v>376</v>
      </c>
      <c r="V1414">
        <v>1073</v>
      </c>
      <c r="W1414" t="s">
        <v>7361</v>
      </c>
      <c r="X1414" t="s">
        <v>7366</v>
      </c>
      <c r="Y1414" t="s">
        <v>7388</v>
      </c>
      <c r="Z1414" t="s">
        <v>8272</v>
      </c>
      <c r="AA1414" t="s">
        <v>6110</v>
      </c>
      <c r="AB1414" t="s">
        <v>11043</v>
      </c>
      <c r="AC1414">
        <v>4</v>
      </c>
      <c r="AD1414" t="s">
        <v>12422</v>
      </c>
      <c r="AE1414" t="s">
        <v>6110</v>
      </c>
      <c r="AF1414">
        <v>23</v>
      </c>
      <c r="AG1414">
        <v>1</v>
      </c>
      <c r="AH1414">
        <v>0</v>
      </c>
      <c r="AI1414">
        <v>83.03</v>
      </c>
      <c r="AL1414" t="s">
        <v>12460</v>
      </c>
      <c r="AM1414">
        <v>10080</v>
      </c>
      <c r="AO1414" t="s">
        <v>12846</v>
      </c>
      <c r="AP1414" t="s">
        <v>12858</v>
      </c>
      <c r="AQ1414" t="s">
        <v>12909</v>
      </c>
      <c r="AR1414" t="s">
        <v>13009</v>
      </c>
      <c r="AS1414">
        <v>3.1</v>
      </c>
      <c r="AT1414" t="s">
        <v>495</v>
      </c>
      <c r="AU1414" t="s">
        <v>189</v>
      </c>
    </row>
    <row r="1415" spans="1:47">
      <c r="A1415" s="1">
        <f>HYPERLINK("https://cms.ls-nyc.org/matter/dynamic-profile/view/1874661","18-1874661")</f>
        <v>0</v>
      </c>
      <c r="B1415" t="s">
        <v>72</v>
      </c>
      <c r="C1415" t="s">
        <v>237</v>
      </c>
      <c r="D1415" t="s">
        <v>307</v>
      </c>
      <c r="E1415" t="s">
        <v>1362</v>
      </c>
      <c r="F1415" t="s">
        <v>2161</v>
      </c>
      <c r="G1415" t="s">
        <v>4006</v>
      </c>
      <c r="H1415" t="s">
        <v>5470</v>
      </c>
      <c r="I1415" t="s">
        <v>6043</v>
      </c>
      <c r="J1415">
        <v>11213</v>
      </c>
      <c r="K1415" t="s">
        <v>6074</v>
      </c>
      <c r="L1415" t="s">
        <v>6076</v>
      </c>
      <c r="M1415" t="s">
        <v>6694</v>
      </c>
      <c r="N1415" t="s">
        <v>7276</v>
      </c>
      <c r="O1415" t="s">
        <v>7308</v>
      </c>
      <c r="P1415" t="s">
        <v>7316</v>
      </c>
      <c r="Q1415" t="s">
        <v>7322</v>
      </c>
      <c r="R1415" t="s">
        <v>6074</v>
      </c>
      <c r="S1415" t="s">
        <v>7324</v>
      </c>
      <c r="U1415" t="s">
        <v>419</v>
      </c>
      <c r="V1415">
        <v>590.58</v>
      </c>
      <c r="W1415" t="s">
        <v>7362</v>
      </c>
      <c r="X1415" t="s">
        <v>7368</v>
      </c>
      <c r="Y1415" t="s">
        <v>7388</v>
      </c>
      <c r="Z1415" t="s">
        <v>8496</v>
      </c>
      <c r="AB1415" t="s">
        <v>11248</v>
      </c>
      <c r="AC1415">
        <v>23</v>
      </c>
      <c r="AD1415" t="s">
        <v>12422</v>
      </c>
      <c r="AF1415">
        <v>45</v>
      </c>
      <c r="AG1415">
        <v>1</v>
      </c>
      <c r="AH1415">
        <v>0</v>
      </c>
      <c r="AI1415">
        <v>83.03</v>
      </c>
      <c r="AL1415" t="s">
        <v>12461</v>
      </c>
      <c r="AM1415">
        <v>10080</v>
      </c>
      <c r="AP1415" t="s">
        <v>12863</v>
      </c>
      <c r="AQ1415" t="s">
        <v>12909</v>
      </c>
      <c r="AR1415" t="s">
        <v>12961</v>
      </c>
      <c r="AS1415">
        <v>1.3</v>
      </c>
      <c r="AT1415" t="s">
        <v>307</v>
      </c>
      <c r="AU1415" t="s">
        <v>92</v>
      </c>
    </row>
    <row r="1416" spans="1:47">
      <c r="A1416" s="1">
        <f>HYPERLINK("https://cms.ls-nyc.org/matter/dynamic-profile/view/1877830","18-1877830")</f>
        <v>0</v>
      </c>
      <c r="B1416" t="s">
        <v>102</v>
      </c>
      <c r="C1416" t="s">
        <v>432</v>
      </c>
      <c r="D1416" t="s">
        <v>465</v>
      </c>
      <c r="E1416" t="s">
        <v>1363</v>
      </c>
      <c r="F1416" t="s">
        <v>1977</v>
      </c>
      <c r="G1416" t="s">
        <v>4529</v>
      </c>
      <c r="H1416" t="s">
        <v>5713</v>
      </c>
      <c r="I1416" t="s">
        <v>6047</v>
      </c>
      <c r="J1416">
        <v>10459</v>
      </c>
      <c r="K1416" t="s">
        <v>6074</v>
      </c>
      <c r="L1416" t="s">
        <v>6074</v>
      </c>
      <c r="M1416" t="s">
        <v>6695</v>
      </c>
      <c r="N1416" t="s">
        <v>7276</v>
      </c>
      <c r="O1416" t="s">
        <v>7306</v>
      </c>
      <c r="P1416" t="s">
        <v>7314</v>
      </c>
      <c r="Q1416" t="s">
        <v>7322</v>
      </c>
      <c r="R1416" t="s">
        <v>6076</v>
      </c>
      <c r="S1416" t="s">
        <v>7324</v>
      </c>
      <c r="U1416" t="s">
        <v>465</v>
      </c>
      <c r="V1416">
        <v>0</v>
      </c>
      <c r="W1416" t="s">
        <v>7363</v>
      </c>
      <c r="X1416" t="s">
        <v>7366</v>
      </c>
      <c r="Y1416" t="s">
        <v>7388</v>
      </c>
      <c r="Z1416" t="s">
        <v>8497</v>
      </c>
      <c r="AB1416" t="s">
        <v>11249</v>
      </c>
      <c r="AC1416">
        <v>0</v>
      </c>
      <c r="AD1416" t="s">
        <v>12424</v>
      </c>
      <c r="AE1416" t="s">
        <v>6110</v>
      </c>
      <c r="AF1416">
        <v>12</v>
      </c>
      <c r="AG1416">
        <v>1</v>
      </c>
      <c r="AH1416">
        <v>0</v>
      </c>
      <c r="AI1416">
        <v>83.03</v>
      </c>
      <c r="AL1416" t="s">
        <v>12461</v>
      </c>
      <c r="AM1416">
        <v>10080</v>
      </c>
      <c r="AS1416">
        <v>0.1</v>
      </c>
      <c r="AT1416" t="s">
        <v>346</v>
      </c>
      <c r="AU1416" t="s">
        <v>13099</v>
      </c>
    </row>
    <row r="1417" spans="1:47">
      <c r="A1417" s="1">
        <f>HYPERLINK("https://cms.ls-nyc.org/matter/dynamic-profile/view/1872283","18-1872283")</f>
        <v>0</v>
      </c>
      <c r="B1417" t="s">
        <v>101</v>
      </c>
      <c r="C1417" t="s">
        <v>497</v>
      </c>
      <c r="D1417" t="s">
        <v>472</v>
      </c>
      <c r="E1417" t="s">
        <v>1324</v>
      </c>
      <c r="F1417" t="s">
        <v>2739</v>
      </c>
      <c r="G1417" t="s">
        <v>3939</v>
      </c>
      <c r="H1417" t="s">
        <v>5436</v>
      </c>
      <c r="I1417" t="s">
        <v>6047</v>
      </c>
      <c r="J1417">
        <v>10456</v>
      </c>
      <c r="K1417" t="s">
        <v>6074</v>
      </c>
      <c r="L1417" t="s">
        <v>6074</v>
      </c>
      <c r="N1417" t="s">
        <v>7285</v>
      </c>
      <c r="O1417" t="s">
        <v>7306</v>
      </c>
      <c r="P1417" t="s">
        <v>7314</v>
      </c>
      <c r="Q1417" t="s">
        <v>7322</v>
      </c>
      <c r="R1417" t="s">
        <v>6074</v>
      </c>
      <c r="S1417" t="s">
        <v>7324</v>
      </c>
      <c r="T1417" t="s">
        <v>7336</v>
      </c>
      <c r="U1417" t="s">
        <v>467</v>
      </c>
      <c r="V1417">
        <v>589</v>
      </c>
      <c r="W1417" t="s">
        <v>7363</v>
      </c>
      <c r="X1417" t="s">
        <v>7376</v>
      </c>
      <c r="Y1417" t="s">
        <v>7386</v>
      </c>
      <c r="Z1417" t="s">
        <v>8498</v>
      </c>
      <c r="AA1417" t="s">
        <v>10149</v>
      </c>
      <c r="AC1417">
        <v>131</v>
      </c>
      <c r="AD1417" t="s">
        <v>12425</v>
      </c>
      <c r="AE1417" t="s">
        <v>12434</v>
      </c>
      <c r="AF1417">
        <v>23</v>
      </c>
      <c r="AG1417">
        <v>1</v>
      </c>
      <c r="AH1417">
        <v>0</v>
      </c>
      <c r="AI1417">
        <v>83.03</v>
      </c>
      <c r="AL1417" t="s">
        <v>12460</v>
      </c>
      <c r="AM1417">
        <v>10080</v>
      </c>
      <c r="AP1417" t="s">
        <v>7305</v>
      </c>
      <c r="AS1417">
        <v>0.2</v>
      </c>
      <c r="AT1417" t="s">
        <v>310</v>
      </c>
      <c r="AU1417" t="s">
        <v>13095</v>
      </c>
    </row>
    <row r="1418" spans="1:47">
      <c r="A1418" s="1">
        <f>HYPERLINK("https://cms.ls-nyc.org/matter/dynamic-profile/view/1877140","18-1877140")</f>
        <v>0</v>
      </c>
      <c r="B1418" t="s">
        <v>96</v>
      </c>
      <c r="C1418" t="s">
        <v>404</v>
      </c>
      <c r="E1418" t="s">
        <v>1364</v>
      </c>
      <c r="F1418" t="s">
        <v>2467</v>
      </c>
      <c r="G1418" t="s">
        <v>4530</v>
      </c>
      <c r="H1418">
        <v>45</v>
      </c>
      <c r="I1418" t="s">
        <v>6047</v>
      </c>
      <c r="J1418">
        <v>10453</v>
      </c>
      <c r="K1418" t="s">
        <v>6074</v>
      </c>
      <c r="L1418" t="s">
        <v>6074</v>
      </c>
      <c r="M1418" t="s">
        <v>6192</v>
      </c>
      <c r="N1418" t="s">
        <v>7279</v>
      </c>
      <c r="O1418" t="s">
        <v>7311</v>
      </c>
      <c r="Q1418" t="s">
        <v>7322</v>
      </c>
      <c r="R1418" t="s">
        <v>6074</v>
      </c>
      <c r="S1418" t="s">
        <v>7324</v>
      </c>
      <c r="U1418" t="s">
        <v>457</v>
      </c>
      <c r="V1418">
        <v>841</v>
      </c>
      <c r="W1418" t="s">
        <v>7363</v>
      </c>
      <c r="X1418" t="s">
        <v>7375</v>
      </c>
      <c r="Z1418" t="s">
        <v>8499</v>
      </c>
      <c r="AB1418" t="s">
        <v>11250</v>
      </c>
      <c r="AC1418">
        <v>46</v>
      </c>
      <c r="AD1418" t="s">
        <v>12422</v>
      </c>
      <c r="AF1418">
        <v>37</v>
      </c>
      <c r="AG1418">
        <v>1</v>
      </c>
      <c r="AH1418">
        <v>0</v>
      </c>
      <c r="AI1418">
        <v>83.03</v>
      </c>
      <c r="AL1418" t="s">
        <v>12460</v>
      </c>
      <c r="AM1418">
        <v>10080</v>
      </c>
      <c r="AS1418">
        <v>10.8</v>
      </c>
      <c r="AT1418" t="s">
        <v>278</v>
      </c>
      <c r="AU1418" t="s">
        <v>96</v>
      </c>
    </row>
    <row r="1419" spans="1:47">
      <c r="A1419" s="1">
        <f>HYPERLINK("https://cms.ls-nyc.org/matter/dynamic-profile/view/1878954","18-1878954")</f>
        <v>0</v>
      </c>
      <c r="B1419" t="s">
        <v>133</v>
      </c>
      <c r="C1419" t="s">
        <v>438</v>
      </c>
      <c r="E1419" t="s">
        <v>1012</v>
      </c>
      <c r="F1419" t="s">
        <v>2590</v>
      </c>
      <c r="G1419" t="s">
        <v>4531</v>
      </c>
      <c r="H1419" t="s">
        <v>5714</v>
      </c>
      <c r="I1419" t="s">
        <v>6049</v>
      </c>
      <c r="J1419">
        <v>10040</v>
      </c>
      <c r="K1419" t="s">
        <v>6074</v>
      </c>
      <c r="L1419" t="s">
        <v>6074</v>
      </c>
      <c r="N1419" t="s">
        <v>7279</v>
      </c>
      <c r="O1419" t="s">
        <v>7308</v>
      </c>
      <c r="Q1419" t="s">
        <v>7322</v>
      </c>
      <c r="R1419" t="s">
        <v>6074</v>
      </c>
      <c r="S1419" t="s">
        <v>7324</v>
      </c>
      <c r="U1419" t="s">
        <v>438</v>
      </c>
      <c r="V1419">
        <v>1065</v>
      </c>
      <c r="W1419" t="s">
        <v>7365</v>
      </c>
      <c r="X1419" t="s">
        <v>7375</v>
      </c>
      <c r="Z1419" t="s">
        <v>8500</v>
      </c>
      <c r="AB1419" t="s">
        <v>11251</v>
      </c>
      <c r="AC1419">
        <v>88</v>
      </c>
      <c r="AD1419" t="s">
        <v>12422</v>
      </c>
      <c r="AE1419" t="s">
        <v>12441</v>
      </c>
      <c r="AF1419">
        <v>22</v>
      </c>
      <c r="AG1419">
        <v>1</v>
      </c>
      <c r="AH1419">
        <v>0</v>
      </c>
      <c r="AI1419">
        <v>83.03</v>
      </c>
      <c r="AL1419" t="s">
        <v>12461</v>
      </c>
      <c r="AM1419">
        <v>10080</v>
      </c>
      <c r="AS1419">
        <v>0</v>
      </c>
      <c r="AU1419" t="s">
        <v>13106</v>
      </c>
    </row>
    <row r="1420" spans="1:47">
      <c r="A1420" s="1">
        <f>HYPERLINK("https://cms.ls-nyc.org/matter/dynamic-profile/view/1888054","19-1888054")</f>
        <v>0</v>
      </c>
      <c r="B1420" t="s">
        <v>131</v>
      </c>
      <c r="C1420" t="s">
        <v>466</v>
      </c>
      <c r="E1420" t="s">
        <v>966</v>
      </c>
      <c r="F1420" t="s">
        <v>2837</v>
      </c>
      <c r="G1420" t="s">
        <v>4532</v>
      </c>
      <c r="H1420" t="s">
        <v>5483</v>
      </c>
      <c r="I1420" t="s">
        <v>6049</v>
      </c>
      <c r="J1420">
        <v>10034</v>
      </c>
      <c r="K1420" t="s">
        <v>6074</v>
      </c>
      <c r="L1420" t="s">
        <v>6074</v>
      </c>
      <c r="N1420" t="s">
        <v>7278</v>
      </c>
      <c r="O1420" t="s">
        <v>7306</v>
      </c>
      <c r="Q1420" t="s">
        <v>7322</v>
      </c>
      <c r="R1420" t="s">
        <v>6076</v>
      </c>
      <c r="S1420" t="s">
        <v>7324</v>
      </c>
      <c r="U1420" t="s">
        <v>466</v>
      </c>
      <c r="V1420">
        <v>800</v>
      </c>
      <c r="W1420" t="s">
        <v>7365</v>
      </c>
      <c r="X1420" t="s">
        <v>7367</v>
      </c>
      <c r="Z1420" t="s">
        <v>8501</v>
      </c>
      <c r="AC1420">
        <v>60</v>
      </c>
      <c r="AD1420" t="s">
        <v>12422</v>
      </c>
      <c r="AE1420" t="s">
        <v>12441</v>
      </c>
      <c r="AF1420">
        <v>35</v>
      </c>
      <c r="AG1420">
        <v>1</v>
      </c>
      <c r="AH1420">
        <v>0</v>
      </c>
      <c r="AI1420">
        <v>83.03</v>
      </c>
      <c r="AL1420" t="s">
        <v>12460</v>
      </c>
      <c r="AM1420">
        <v>10080</v>
      </c>
      <c r="AS1420">
        <v>0.1</v>
      </c>
      <c r="AT1420" t="s">
        <v>466</v>
      </c>
      <c r="AU1420" t="s">
        <v>13106</v>
      </c>
    </row>
    <row r="1421" spans="1:47">
      <c r="A1421" s="1">
        <f>HYPERLINK("https://cms.ls-nyc.org/matter/dynamic-profile/view/1882276","18-1882276")</f>
        <v>0</v>
      </c>
      <c r="B1421" t="s">
        <v>81</v>
      </c>
      <c r="C1421" t="s">
        <v>403</v>
      </c>
      <c r="E1421" t="s">
        <v>767</v>
      </c>
      <c r="F1421" t="s">
        <v>2076</v>
      </c>
      <c r="G1421" t="s">
        <v>4247</v>
      </c>
      <c r="H1421" t="s">
        <v>5436</v>
      </c>
      <c r="I1421" t="s">
        <v>6043</v>
      </c>
      <c r="J1421">
        <v>11220</v>
      </c>
      <c r="K1421" t="s">
        <v>6074</v>
      </c>
      <c r="L1421" t="s">
        <v>6074</v>
      </c>
      <c r="N1421" t="s">
        <v>7279</v>
      </c>
      <c r="O1421" t="s">
        <v>7311</v>
      </c>
      <c r="Q1421" t="s">
        <v>7322</v>
      </c>
      <c r="R1421" t="s">
        <v>6074</v>
      </c>
      <c r="S1421" t="s">
        <v>7324</v>
      </c>
      <c r="U1421" t="s">
        <v>305</v>
      </c>
      <c r="V1421">
        <v>0</v>
      </c>
      <c r="W1421" t="s">
        <v>7362</v>
      </c>
      <c r="Z1421" t="s">
        <v>8502</v>
      </c>
      <c r="AB1421" t="s">
        <v>11252</v>
      </c>
      <c r="AC1421">
        <v>28</v>
      </c>
      <c r="AF1421">
        <v>0</v>
      </c>
      <c r="AG1421">
        <v>1</v>
      </c>
      <c r="AH1421">
        <v>0</v>
      </c>
      <c r="AI1421">
        <v>83.23</v>
      </c>
      <c r="AL1421" t="s">
        <v>12461</v>
      </c>
      <c r="AM1421">
        <v>10104</v>
      </c>
      <c r="AS1421">
        <v>3</v>
      </c>
      <c r="AT1421" t="s">
        <v>380</v>
      </c>
      <c r="AU1421" t="s">
        <v>13129</v>
      </c>
    </row>
    <row r="1422" spans="1:47">
      <c r="A1422" s="1">
        <f>HYPERLINK("https://cms.ls-nyc.org/matter/dynamic-profile/view/1882883","18-1882883")</f>
        <v>0</v>
      </c>
      <c r="B1422" t="s">
        <v>84</v>
      </c>
      <c r="C1422" t="s">
        <v>246</v>
      </c>
      <c r="E1422" t="s">
        <v>1263</v>
      </c>
      <c r="F1422" t="s">
        <v>2838</v>
      </c>
      <c r="G1422" t="s">
        <v>4533</v>
      </c>
      <c r="H1422">
        <v>224</v>
      </c>
      <c r="I1422" t="s">
        <v>6043</v>
      </c>
      <c r="J1422">
        <v>11217</v>
      </c>
      <c r="K1422" t="s">
        <v>6074</v>
      </c>
      <c r="L1422" t="s">
        <v>6074</v>
      </c>
      <c r="M1422" t="s">
        <v>6696</v>
      </c>
      <c r="N1422" t="s">
        <v>7274</v>
      </c>
      <c r="O1422" t="s">
        <v>7308</v>
      </c>
      <c r="Q1422" t="s">
        <v>7322</v>
      </c>
      <c r="R1422" t="s">
        <v>6076</v>
      </c>
      <c r="S1422" t="s">
        <v>7324</v>
      </c>
      <c r="U1422" t="s">
        <v>396</v>
      </c>
      <c r="V1422">
        <v>0</v>
      </c>
      <c r="W1422" t="s">
        <v>7362</v>
      </c>
      <c r="Z1422" t="s">
        <v>8503</v>
      </c>
      <c r="AB1422" t="s">
        <v>11253</v>
      </c>
      <c r="AC1422">
        <v>0</v>
      </c>
      <c r="AF1422">
        <v>0</v>
      </c>
      <c r="AG1422">
        <v>1</v>
      </c>
      <c r="AH1422">
        <v>0</v>
      </c>
      <c r="AI1422">
        <v>83.23</v>
      </c>
      <c r="AL1422" t="s">
        <v>12460</v>
      </c>
      <c r="AM1422">
        <v>10104</v>
      </c>
      <c r="AS1422">
        <v>57.05</v>
      </c>
      <c r="AT1422" t="s">
        <v>423</v>
      </c>
      <c r="AU1422" t="s">
        <v>69</v>
      </c>
    </row>
    <row r="1423" spans="1:47">
      <c r="A1423" s="1">
        <f>HYPERLINK("https://cms.ls-nyc.org/matter/dynamic-profile/view/1866053","18-1866053")</f>
        <v>0</v>
      </c>
      <c r="B1423" t="s">
        <v>104</v>
      </c>
      <c r="C1423" t="s">
        <v>498</v>
      </c>
      <c r="D1423" t="s">
        <v>472</v>
      </c>
      <c r="E1423" t="s">
        <v>1365</v>
      </c>
      <c r="F1423" t="s">
        <v>2839</v>
      </c>
      <c r="G1423" t="s">
        <v>4231</v>
      </c>
      <c r="H1423" t="s">
        <v>5625</v>
      </c>
      <c r="I1423" t="s">
        <v>6047</v>
      </c>
      <c r="J1423">
        <v>10463</v>
      </c>
      <c r="K1423" t="s">
        <v>6074</v>
      </c>
      <c r="L1423" t="s">
        <v>6074</v>
      </c>
      <c r="M1423" t="s">
        <v>6697</v>
      </c>
      <c r="N1423" t="s">
        <v>7278</v>
      </c>
      <c r="O1423" t="s">
        <v>7307</v>
      </c>
      <c r="P1423" t="s">
        <v>7315</v>
      </c>
      <c r="Q1423" t="s">
        <v>7322</v>
      </c>
      <c r="R1423" t="s">
        <v>6074</v>
      </c>
      <c r="S1423" t="s">
        <v>7324</v>
      </c>
      <c r="U1423" t="s">
        <v>465</v>
      </c>
      <c r="V1423">
        <v>870.5</v>
      </c>
      <c r="W1423" t="s">
        <v>7363</v>
      </c>
      <c r="X1423" t="s">
        <v>7368</v>
      </c>
      <c r="Y1423" t="s">
        <v>7394</v>
      </c>
      <c r="Z1423" t="s">
        <v>8504</v>
      </c>
      <c r="AA1423" t="s">
        <v>10150</v>
      </c>
      <c r="AB1423" t="s">
        <v>11254</v>
      </c>
      <c r="AC1423">
        <v>67</v>
      </c>
      <c r="AD1423" t="s">
        <v>12422</v>
      </c>
      <c r="AE1423" t="s">
        <v>12440</v>
      </c>
      <c r="AF1423">
        <v>3</v>
      </c>
      <c r="AG1423">
        <v>1</v>
      </c>
      <c r="AH1423">
        <v>0</v>
      </c>
      <c r="AI1423">
        <v>83.23</v>
      </c>
      <c r="AL1423" t="s">
        <v>12460</v>
      </c>
      <c r="AM1423">
        <v>10104</v>
      </c>
      <c r="AS1423">
        <v>0.2</v>
      </c>
      <c r="AT1423" t="s">
        <v>246</v>
      </c>
      <c r="AU1423" t="s">
        <v>13099</v>
      </c>
    </row>
    <row r="1424" spans="1:47">
      <c r="A1424" s="1">
        <f>HYPERLINK("https://cms.ls-nyc.org/matter/dynamic-profile/view/1887387","19-1887387")</f>
        <v>0</v>
      </c>
      <c r="B1424" t="s">
        <v>96</v>
      </c>
      <c r="C1424" t="s">
        <v>267</v>
      </c>
      <c r="E1424" t="s">
        <v>1004</v>
      </c>
      <c r="F1424" t="s">
        <v>2840</v>
      </c>
      <c r="G1424" t="s">
        <v>3791</v>
      </c>
      <c r="H1424">
        <v>16</v>
      </c>
      <c r="I1424" t="s">
        <v>6047</v>
      </c>
      <c r="J1424">
        <v>10453</v>
      </c>
      <c r="K1424" t="s">
        <v>6074</v>
      </c>
      <c r="L1424" t="s">
        <v>6074</v>
      </c>
      <c r="M1424" t="s">
        <v>6192</v>
      </c>
      <c r="N1424" t="s">
        <v>7279</v>
      </c>
      <c r="O1424" t="s">
        <v>7311</v>
      </c>
      <c r="Q1424" t="s">
        <v>7322</v>
      </c>
      <c r="R1424" t="s">
        <v>6074</v>
      </c>
      <c r="S1424" t="s">
        <v>7324</v>
      </c>
      <c r="U1424" t="s">
        <v>457</v>
      </c>
      <c r="V1424">
        <v>856.08</v>
      </c>
      <c r="W1424" t="s">
        <v>7363</v>
      </c>
      <c r="X1424" t="s">
        <v>7375</v>
      </c>
      <c r="Z1424" t="s">
        <v>8505</v>
      </c>
      <c r="AB1424" t="s">
        <v>11255</v>
      </c>
      <c r="AC1424">
        <v>43</v>
      </c>
      <c r="AD1424" t="s">
        <v>12422</v>
      </c>
      <c r="AE1424" t="s">
        <v>12437</v>
      </c>
      <c r="AF1424">
        <v>38</v>
      </c>
      <c r="AG1424">
        <v>1</v>
      </c>
      <c r="AH1424">
        <v>0</v>
      </c>
      <c r="AI1424">
        <v>83.23</v>
      </c>
      <c r="AL1424" t="s">
        <v>12460</v>
      </c>
      <c r="AM1424">
        <v>10104</v>
      </c>
      <c r="AS1424">
        <v>0</v>
      </c>
      <c r="AU1424" t="s">
        <v>13099</v>
      </c>
    </row>
    <row r="1425" spans="1:48">
      <c r="A1425" s="1">
        <f>HYPERLINK("https://cms.ls-nyc.org/matter/dynamic-profile/view/1892457","19-1892457")</f>
        <v>0</v>
      </c>
      <c r="B1425" t="s">
        <v>81</v>
      </c>
      <c r="C1425" t="s">
        <v>337</v>
      </c>
      <c r="E1425" t="s">
        <v>1366</v>
      </c>
      <c r="F1425" t="s">
        <v>1245</v>
      </c>
      <c r="G1425" t="s">
        <v>4534</v>
      </c>
      <c r="H1425" t="s">
        <v>5372</v>
      </c>
      <c r="I1425" t="s">
        <v>6043</v>
      </c>
      <c r="J1425">
        <v>11225</v>
      </c>
      <c r="K1425" t="s">
        <v>6074</v>
      </c>
      <c r="L1425" t="s">
        <v>6074</v>
      </c>
      <c r="N1425" t="s">
        <v>7282</v>
      </c>
      <c r="O1425" t="s">
        <v>7308</v>
      </c>
      <c r="Q1425" t="s">
        <v>7322</v>
      </c>
      <c r="S1425" t="s">
        <v>7324</v>
      </c>
      <c r="U1425" t="s">
        <v>477</v>
      </c>
      <c r="V1425">
        <v>0</v>
      </c>
      <c r="W1425" t="s">
        <v>7362</v>
      </c>
      <c r="Z1425" t="s">
        <v>8506</v>
      </c>
      <c r="AB1425" t="s">
        <v>11256</v>
      </c>
      <c r="AC1425">
        <v>0</v>
      </c>
      <c r="AF1425">
        <v>0</v>
      </c>
      <c r="AG1425">
        <v>1</v>
      </c>
      <c r="AH1425">
        <v>0</v>
      </c>
      <c r="AI1425">
        <v>83.27</v>
      </c>
      <c r="AL1425" t="s">
        <v>12460</v>
      </c>
      <c r="AM1425">
        <v>10400</v>
      </c>
      <c r="AS1425">
        <v>0</v>
      </c>
      <c r="AU1425" t="s">
        <v>88</v>
      </c>
    </row>
    <row r="1426" spans="1:48">
      <c r="A1426" s="1">
        <f>HYPERLINK("https://cms.ls-nyc.org/matter/dynamic-profile/view/1892480","19-1892480")</f>
        <v>0</v>
      </c>
      <c r="B1426" t="s">
        <v>81</v>
      </c>
      <c r="C1426" t="s">
        <v>277</v>
      </c>
      <c r="E1426" t="s">
        <v>1366</v>
      </c>
      <c r="F1426" t="s">
        <v>1245</v>
      </c>
      <c r="G1426" t="s">
        <v>4534</v>
      </c>
      <c r="H1426" t="s">
        <v>5372</v>
      </c>
      <c r="I1426" t="s">
        <v>6043</v>
      </c>
      <c r="J1426">
        <v>11225</v>
      </c>
      <c r="K1426" t="s">
        <v>6074</v>
      </c>
      <c r="L1426" t="s">
        <v>6074</v>
      </c>
      <c r="O1426" t="s">
        <v>7308</v>
      </c>
      <c r="Q1426" t="s">
        <v>7322</v>
      </c>
      <c r="R1426" t="s">
        <v>6074</v>
      </c>
      <c r="S1426" t="s">
        <v>7324</v>
      </c>
      <c r="U1426" t="s">
        <v>477</v>
      </c>
      <c r="V1426">
        <v>0</v>
      </c>
      <c r="W1426" t="s">
        <v>7362</v>
      </c>
      <c r="Z1426" t="s">
        <v>8506</v>
      </c>
      <c r="AB1426" t="s">
        <v>11256</v>
      </c>
      <c r="AC1426">
        <v>0</v>
      </c>
      <c r="AF1426">
        <v>0</v>
      </c>
      <c r="AG1426">
        <v>1</v>
      </c>
      <c r="AH1426">
        <v>0</v>
      </c>
      <c r="AI1426">
        <v>83.27</v>
      </c>
      <c r="AL1426" t="s">
        <v>12460</v>
      </c>
      <c r="AM1426">
        <v>10400</v>
      </c>
      <c r="AS1426">
        <v>0.5</v>
      </c>
      <c r="AT1426" t="s">
        <v>445</v>
      </c>
      <c r="AU1426" t="s">
        <v>88</v>
      </c>
    </row>
    <row r="1427" spans="1:48">
      <c r="A1427" s="1">
        <f>HYPERLINK("https://cms.ls-nyc.org/matter/dynamic-profile/view/1892729","19-1892729")</f>
        <v>0</v>
      </c>
      <c r="B1427" t="s">
        <v>81</v>
      </c>
      <c r="C1427" t="s">
        <v>395</v>
      </c>
      <c r="E1427" t="s">
        <v>1366</v>
      </c>
      <c r="F1427" t="s">
        <v>1245</v>
      </c>
      <c r="G1427" t="s">
        <v>4534</v>
      </c>
      <c r="H1427" t="s">
        <v>5372</v>
      </c>
      <c r="I1427" t="s">
        <v>6043</v>
      </c>
      <c r="J1427">
        <v>11225</v>
      </c>
      <c r="K1427" t="s">
        <v>6074</v>
      </c>
      <c r="L1427" t="s">
        <v>6074</v>
      </c>
      <c r="O1427" t="s">
        <v>7308</v>
      </c>
      <c r="Q1427" t="s">
        <v>7322</v>
      </c>
      <c r="R1427" t="s">
        <v>6074</v>
      </c>
      <c r="S1427" t="s">
        <v>7324</v>
      </c>
      <c r="U1427" t="s">
        <v>477</v>
      </c>
      <c r="V1427">
        <v>1480.9</v>
      </c>
      <c r="W1427" t="s">
        <v>7362</v>
      </c>
      <c r="Z1427" t="s">
        <v>8506</v>
      </c>
      <c r="AB1427" t="s">
        <v>11256</v>
      </c>
      <c r="AC1427">
        <v>0</v>
      </c>
      <c r="AF1427">
        <v>11</v>
      </c>
      <c r="AG1427">
        <v>1</v>
      </c>
      <c r="AH1427">
        <v>0</v>
      </c>
      <c r="AI1427">
        <v>83.27</v>
      </c>
      <c r="AL1427" t="s">
        <v>12460</v>
      </c>
      <c r="AM1427">
        <v>10400</v>
      </c>
      <c r="AS1427">
        <v>0</v>
      </c>
      <c r="AU1427" t="s">
        <v>88</v>
      </c>
    </row>
    <row r="1428" spans="1:48">
      <c r="A1428" s="1">
        <f>HYPERLINK("https://cms.ls-nyc.org/matter/dynamic-profile/view/1894672","19-1894672")</f>
        <v>0</v>
      </c>
      <c r="B1428" t="s">
        <v>74</v>
      </c>
      <c r="C1428" t="s">
        <v>235</v>
      </c>
      <c r="E1428" t="s">
        <v>637</v>
      </c>
      <c r="F1428" t="s">
        <v>2731</v>
      </c>
      <c r="G1428" t="s">
        <v>4535</v>
      </c>
      <c r="H1428" t="s">
        <v>5446</v>
      </c>
      <c r="I1428" t="s">
        <v>6043</v>
      </c>
      <c r="J1428">
        <v>11206</v>
      </c>
      <c r="K1428" t="s">
        <v>6074</v>
      </c>
      <c r="L1428" t="s">
        <v>6074</v>
      </c>
      <c r="N1428" t="s">
        <v>7274</v>
      </c>
      <c r="O1428" t="s">
        <v>7310</v>
      </c>
      <c r="Q1428" t="s">
        <v>7322</v>
      </c>
      <c r="R1428" t="s">
        <v>6074</v>
      </c>
      <c r="S1428" t="s">
        <v>7324</v>
      </c>
      <c r="U1428" t="s">
        <v>338</v>
      </c>
      <c r="V1428">
        <v>700</v>
      </c>
      <c r="W1428" t="s">
        <v>7362</v>
      </c>
      <c r="Z1428" t="s">
        <v>8507</v>
      </c>
      <c r="AB1428" t="s">
        <v>11257</v>
      </c>
      <c r="AC1428">
        <v>20</v>
      </c>
      <c r="AD1428" t="s">
        <v>12422</v>
      </c>
      <c r="AE1428" t="s">
        <v>6110</v>
      </c>
      <c r="AF1428">
        <v>12</v>
      </c>
      <c r="AG1428">
        <v>1</v>
      </c>
      <c r="AH1428">
        <v>0</v>
      </c>
      <c r="AI1428">
        <v>83.27</v>
      </c>
      <c r="AL1428" t="s">
        <v>12460</v>
      </c>
      <c r="AM1428">
        <v>10400</v>
      </c>
      <c r="AS1428">
        <v>0.1</v>
      </c>
      <c r="AT1428" t="s">
        <v>302</v>
      </c>
      <c r="AU1428" t="s">
        <v>180</v>
      </c>
    </row>
    <row r="1429" spans="1:48">
      <c r="A1429" s="1">
        <f>HYPERLINK("https://cms.ls-nyc.org/matter/dynamic-profile/view/1893509","19-1893509")</f>
        <v>0</v>
      </c>
      <c r="B1429" t="s">
        <v>136</v>
      </c>
      <c r="C1429" t="s">
        <v>367</v>
      </c>
      <c r="D1429" t="s">
        <v>387</v>
      </c>
      <c r="E1429" t="s">
        <v>1367</v>
      </c>
      <c r="F1429" t="s">
        <v>2173</v>
      </c>
      <c r="G1429" t="s">
        <v>4536</v>
      </c>
      <c r="H1429" t="s">
        <v>5438</v>
      </c>
      <c r="I1429" t="s">
        <v>6049</v>
      </c>
      <c r="J1429">
        <v>10029</v>
      </c>
      <c r="K1429" t="s">
        <v>6074</v>
      </c>
      <c r="L1429" t="s">
        <v>6074</v>
      </c>
      <c r="M1429" t="s">
        <v>6698</v>
      </c>
      <c r="N1429" t="s">
        <v>7276</v>
      </c>
      <c r="O1429" t="s">
        <v>7306</v>
      </c>
      <c r="P1429" t="s">
        <v>7314</v>
      </c>
      <c r="Q1429" t="s">
        <v>7322</v>
      </c>
      <c r="R1429" t="s">
        <v>6076</v>
      </c>
      <c r="S1429" t="s">
        <v>7324</v>
      </c>
      <c r="T1429" t="s">
        <v>7338</v>
      </c>
      <c r="U1429" t="s">
        <v>322</v>
      </c>
      <c r="V1429">
        <v>1200</v>
      </c>
      <c r="W1429" t="s">
        <v>7365</v>
      </c>
      <c r="X1429" t="s">
        <v>7383</v>
      </c>
      <c r="Y1429" t="s">
        <v>7386</v>
      </c>
      <c r="Z1429" t="s">
        <v>8508</v>
      </c>
      <c r="AA1429" t="s">
        <v>6110</v>
      </c>
      <c r="AB1429" t="s">
        <v>11258</v>
      </c>
      <c r="AC1429">
        <v>30</v>
      </c>
      <c r="AD1429" t="s">
        <v>12422</v>
      </c>
      <c r="AE1429" t="s">
        <v>6110</v>
      </c>
      <c r="AF1429">
        <v>25</v>
      </c>
      <c r="AG1429">
        <v>1</v>
      </c>
      <c r="AH1429">
        <v>0</v>
      </c>
      <c r="AI1429">
        <v>83.27</v>
      </c>
      <c r="AL1429" t="s">
        <v>12460</v>
      </c>
      <c r="AM1429">
        <v>10400</v>
      </c>
      <c r="AS1429">
        <v>3.8</v>
      </c>
      <c r="AT1429" t="s">
        <v>417</v>
      </c>
      <c r="AU1429" t="s">
        <v>13117</v>
      </c>
    </row>
    <row r="1430" spans="1:48">
      <c r="A1430" s="1">
        <f>HYPERLINK("https://cms.ls-nyc.org/matter/dynamic-profile/view/1886089","18-1886089")</f>
        <v>0</v>
      </c>
      <c r="B1430" t="s">
        <v>72</v>
      </c>
      <c r="C1430" t="s">
        <v>326</v>
      </c>
      <c r="E1430" t="s">
        <v>636</v>
      </c>
      <c r="F1430" t="s">
        <v>2798</v>
      </c>
      <c r="G1430" t="s">
        <v>3700</v>
      </c>
      <c r="H1430" t="s">
        <v>5699</v>
      </c>
      <c r="I1430" t="s">
        <v>6043</v>
      </c>
      <c r="J1430">
        <v>11233</v>
      </c>
      <c r="K1430" t="s">
        <v>6074</v>
      </c>
      <c r="L1430" t="s">
        <v>6074</v>
      </c>
      <c r="M1430" t="s">
        <v>6104</v>
      </c>
      <c r="N1430" t="s">
        <v>7279</v>
      </c>
      <c r="O1430" t="s">
        <v>7309</v>
      </c>
      <c r="Q1430" t="s">
        <v>7322</v>
      </c>
      <c r="R1430" t="s">
        <v>6074</v>
      </c>
      <c r="S1430" t="s">
        <v>7324</v>
      </c>
      <c r="T1430" t="s">
        <v>7336</v>
      </c>
      <c r="U1430" t="s">
        <v>250</v>
      </c>
      <c r="V1430">
        <v>955.08</v>
      </c>
      <c r="W1430" t="s">
        <v>7362</v>
      </c>
      <c r="X1430" t="s">
        <v>7370</v>
      </c>
      <c r="Z1430" t="s">
        <v>8029</v>
      </c>
      <c r="AA1430" t="s">
        <v>10136</v>
      </c>
      <c r="AB1430" t="s">
        <v>11184</v>
      </c>
      <c r="AC1430">
        <v>764</v>
      </c>
      <c r="AD1430" t="s">
        <v>12422</v>
      </c>
      <c r="AE1430" t="s">
        <v>6110</v>
      </c>
      <c r="AF1430">
        <v>16</v>
      </c>
      <c r="AG1430">
        <v>2</v>
      </c>
      <c r="AH1430">
        <v>0</v>
      </c>
      <c r="AI1430">
        <v>83.37</v>
      </c>
      <c r="AL1430" t="s">
        <v>12460</v>
      </c>
      <c r="AM1430">
        <v>13722.36</v>
      </c>
      <c r="AN1430" t="s">
        <v>12616</v>
      </c>
      <c r="AS1430">
        <v>548.85</v>
      </c>
      <c r="AT1430" t="s">
        <v>324</v>
      </c>
      <c r="AU1430" t="s">
        <v>218</v>
      </c>
    </row>
    <row r="1431" spans="1:48">
      <c r="A1431" s="1">
        <f>HYPERLINK("https://cms.ls-nyc.org/matter/dynamic-profile/view/1878029","18-1878029")</f>
        <v>0</v>
      </c>
      <c r="B1431" t="s">
        <v>68</v>
      </c>
      <c r="C1431" t="s">
        <v>244</v>
      </c>
      <c r="D1431" t="s">
        <v>329</v>
      </c>
      <c r="E1431" t="s">
        <v>636</v>
      </c>
      <c r="F1431" t="s">
        <v>2798</v>
      </c>
      <c r="G1431" t="s">
        <v>3700</v>
      </c>
      <c r="H1431" t="s">
        <v>5699</v>
      </c>
      <c r="I1431" t="s">
        <v>6043</v>
      </c>
      <c r="J1431">
        <v>11233</v>
      </c>
      <c r="K1431" t="s">
        <v>6074</v>
      </c>
      <c r="L1431" t="s">
        <v>6074</v>
      </c>
      <c r="M1431" t="s">
        <v>6699</v>
      </c>
      <c r="N1431" t="s">
        <v>7276</v>
      </c>
      <c r="O1431" t="s">
        <v>7308</v>
      </c>
      <c r="P1431" t="s">
        <v>7317</v>
      </c>
      <c r="Q1431" t="s">
        <v>7322</v>
      </c>
      <c r="R1431" t="s">
        <v>6076</v>
      </c>
      <c r="S1431" t="s">
        <v>7324</v>
      </c>
      <c r="U1431" t="s">
        <v>365</v>
      </c>
      <c r="V1431">
        <v>955.08</v>
      </c>
      <c r="W1431" t="s">
        <v>7362</v>
      </c>
      <c r="X1431" t="s">
        <v>7370</v>
      </c>
      <c r="Y1431" t="s">
        <v>7388</v>
      </c>
      <c r="Z1431" t="s">
        <v>8029</v>
      </c>
      <c r="AA1431">
        <v>6004868123</v>
      </c>
      <c r="AB1431" t="s">
        <v>11184</v>
      </c>
      <c r="AC1431">
        <v>764</v>
      </c>
      <c r="AD1431" t="s">
        <v>12422</v>
      </c>
      <c r="AE1431" t="s">
        <v>6110</v>
      </c>
      <c r="AF1431">
        <v>16</v>
      </c>
      <c r="AG1431">
        <v>2</v>
      </c>
      <c r="AH1431">
        <v>0</v>
      </c>
      <c r="AI1431">
        <v>83.37</v>
      </c>
      <c r="AL1431" t="s">
        <v>12460</v>
      </c>
      <c r="AM1431">
        <v>13722.36</v>
      </c>
      <c r="AS1431">
        <v>13.9</v>
      </c>
      <c r="AT1431" t="s">
        <v>279</v>
      </c>
      <c r="AU1431" t="s">
        <v>218</v>
      </c>
    </row>
    <row r="1432" spans="1:48">
      <c r="A1432" s="1">
        <f>HYPERLINK("https://cms.ls-nyc.org/matter/dynamic-profile/view/1891519","19-1891519")</f>
        <v>0</v>
      </c>
      <c r="B1432" t="s">
        <v>106</v>
      </c>
      <c r="C1432" t="s">
        <v>278</v>
      </c>
      <c r="D1432" t="s">
        <v>469</v>
      </c>
      <c r="E1432" t="s">
        <v>1368</v>
      </c>
      <c r="F1432" t="s">
        <v>2514</v>
      </c>
      <c r="G1432" t="s">
        <v>4537</v>
      </c>
      <c r="H1432" t="s">
        <v>5447</v>
      </c>
      <c r="I1432" t="s">
        <v>6047</v>
      </c>
      <c r="J1432">
        <v>10452</v>
      </c>
      <c r="K1432" t="s">
        <v>6074</v>
      </c>
      <c r="L1432" t="s">
        <v>6074</v>
      </c>
      <c r="N1432" t="s">
        <v>6104</v>
      </c>
      <c r="O1432" t="s">
        <v>7307</v>
      </c>
      <c r="P1432" t="s">
        <v>7315</v>
      </c>
      <c r="Q1432" t="s">
        <v>7322</v>
      </c>
      <c r="R1432" t="s">
        <v>6076</v>
      </c>
      <c r="S1432" t="s">
        <v>7324</v>
      </c>
      <c r="U1432" t="s">
        <v>278</v>
      </c>
      <c r="V1432">
        <v>687.74</v>
      </c>
      <c r="W1432" t="s">
        <v>7363</v>
      </c>
      <c r="X1432" t="s">
        <v>7376</v>
      </c>
      <c r="Y1432" t="s">
        <v>7386</v>
      </c>
      <c r="Z1432" t="s">
        <v>8509</v>
      </c>
      <c r="AB1432" t="s">
        <v>11259</v>
      </c>
      <c r="AC1432">
        <v>58</v>
      </c>
      <c r="AD1432" t="s">
        <v>12422</v>
      </c>
      <c r="AE1432" t="s">
        <v>12441</v>
      </c>
      <c r="AF1432">
        <v>46</v>
      </c>
      <c r="AG1432">
        <v>1</v>
      </c>
      <c r="AH1432">
        <v>0</v>
      </c>
      <c r="AI1432">
        <v>83.39</v>
      </c>
      <c r="AL1432" t="s">
        <v>12460</v>
      </c>
      <c r="AM1432">
        <v>10416</v>
      </c>
      <c r="AS1432">
        <v>2.1</v>
      </c>
      <c r="AT1432" t="s">
        <v>469</v>
      </c>
      <c r="AU1432" t="s">
        <v>106</v>
      </c>
    </row>
    <row r="1433" spans="1:48">
      <c r="A1433" s="1">
        <f>HYPERLINK("https://cms.ls-nyc.org/matter/dynamic-profile/view/1863313","18-1863313")</f>
        <v>0</v>
      </c>
      <c r="B1433" t="s">
        <v>82</v>
      </c>
      <c r="C1433" t="s">
        <v>444</v>
      </c>
      <c r="E1433" t="s">
        <v>1369</v>
      </c>
      <c r="F1433" t="s">
        <v>2099</v>
      </c>
      <c r="G1433" t="s">
        <v>3728</v>
      </c>
      <c r="H1433" t="s">
        <v>5565</v>
      </c>
      <c r="I1433" t="s">
        <v>6043</v>
      </c>
      <c r="J1433">
        <v>11226</v>
      </c>
      <c r="K1433" t="s">
        <v>6074</v>
      </c>
      <c r="L1433" t="s">
        <v>6074</v>
      </c>
      <c r="N1433" t="s">
        <v>7278</v>
      </c>
      <c r="O1433" t="s">
        <v>7308</v>
      </c>
      <c r="Q1433" t="s">
        <v>7322</v>
      </c>
      <c r="R1433" t="s">
        <v>6074</v>
      </c>
      <c r="S1433" t="s">
        <v>7324</v>
      </c>
      <c r="U1433" t="s">
        <v>333</v>
      </c>
      <c r="V1433">
        <v>0</v>
      </c>
      <c r="W1433" t="s">
        <v>7362</v>
      </c>
      <c r="X1433" t="s">
        <v>7368</v>
      </c>
      <c r="Z1433" t="s">
        <v>8510</v>
      </c>
      <c r="AC1433">
        <v>65</v>
      </c>
      <c r="AD1433" t="s">
        <v>6322</v>
      </c>
      <c r="AE1433" t="s">
        <v>12434</v>
      </c>
      <c r="AF1433">
        <v>0</v>
      </c>
      <c r="AG1433">
        <v>2</v>
      </c>
      <c r="AH1433">
        <v>0</v>
      </c>
      <c r="AI1433">
        <v>83.40000000000001</v>
      </c>
      <c r="AL1433" t="s">
        <v>12460</v>
      </c>
      <c r="AM1433">
        <v>13728</v>
      </c>
      <c r="AS1433">
        <v>0.5</v>
      </c>
      <c r="AT1433" t="s">
        <v>444</v>
      </c>
      <c r="AU1433" t="s">
        <v>13087</v>
      </c>
    </row>
    <row r="1434" spans="1:48">
      <c r="A1434" s="1">
        <f>HYPERLINK("https://cms.ls-nyc.org/matter/dynamic-profile/view/1877784","18-1877784")</f>
        <v>0</v>
      </c>
      <c r="B1434" t="s">
        <v>59</v>
      </c>
      <c r="C1434" t="s">
        <v>291</v>
      </c>
      <c r="D1434" t="s">
        <v>322</v>
      </c>
      <c r="E1434" t="s">
        <v>901</v>
      </c>
      <c r="F1434" t="s">
        <v>2395</v>
      </c>
      <c r="G1434" t="s">
        <v>4538</v>
      </c>
      <c r="H1434" t="s">
        <v>5446</v>
      </c>
      <c r="I1434" t="s">
        <v>6026</v>
      </c>
      <c r="J1434">
        <v>11432</v>
      </c>
      <c r="K1434" t="s">
        <v>6074</v>
      </c>
      <c r="L1434" t="s">
        <v>6074</v>
      </c>
      <c r="M1434" t="s">
        <v>6101</v>
      </c>
      <c r="N1434" t="s">
        <v>7279</v>
      </c>
      <c r="O1434" t="s">
        <v>7309</v>
      </c>
      <c r="P1434" t="s">
        <v>7315</v>
      </c>
      <c r="Q1434" t="s">
        <v>7322</v>
      </c>
      <c r="R1434" t="s">
        <v>6074</v>
      </c>
      <c r="S1434" t="s">
        <v>7324</v>
      </c>
      <c r="T1434" t="s">
        <v>7336</v>
      </c>
      <c r="U1434" t="s">
        <v>291</v>
      </c>
      <c r="V1434">
        <v>877.9299999999999</v>
      </c>
      <c r="W1434" t="s">
        <v>7361</v>
      </c>
      <c r="X1434" t="s">
        <v>7368</v>
      </c>
      <c r="Y1434" t="s">
        <v>7387</v>
      </c>
      <c r="Z1434" t="s">
        <v>8511</v>
      </c>
      <c r="AB1434" t="s">
        <v>11260</v>
      </c>
      <c r="AC1434">
        <v>60</v>
      </c>
      <c r="AD1434" t="s">
        <v>12422</v>
      </c>
      <c r="AE1434" t="s">
        <v>6110</v>
      </c>
      <c r="AF1434">
        <v>38</v>
      </c>
      <c r="AG1434">
        <v>4</v>
      </c>
      <c r="AH1434">
        <v>0</v>
      </c>
      <c r="AI1434">
        <v>83.43000000000001</v>
      </c>
      <c r="AL1434" t="s">
        <v>12461</v>
      </c>
      <c r="AM1434">
        <v>20940</v>
      </c>
      <c r="AQ1434" t="s">
        <v>12910</v>
      </c>
      <c r="AR1434" t="s">
        <v>13010</v>
      </c>
      <c r="AS1434">
        <v>0.4</v>
      </c>
      <c r="AT1434" t="s">
        <v>366</v>
      </c>
      <c r="AU1434" t="s">
        <v>189</v>
      </c>
    </row>
    <row r="1435" spans="1:48">
      <c r="A1435" s="1">
        <f>HYPERLINK("https://cms.ls-nyc.org/matter/dynamic-profile/view/1873573","18-1873573")</f>
        <v>0</v>
      </c>
      <c r="B1435" t="s">
        <v>108</v>
      </c>
      <c r="C1435" t="s">
        <v>447</v>
      </c>
      <c r="E1435" t="s">
        <v>1370</v>
      </c>
      <c r="F1435" t="s">
        <v>2841</v>
      </c>
      <c r="G1435" t="s">
        <v>3805</v>
      </c>
      <c r="H1435" t="s">
        <v>5609</v>
      </c>
      <c r="I1435" t="s">
        <v>6047</v>
      </c>
      <c r="J1435">
        <v>10452</v>
      </c>
      <c r="K1435" t="s">
        <v>6074</v>
      </c>
      <c r="L1435" t="s">
        <v>6074</v>
      </c>
      <c r="M1435" t="s">
        <v>6382</v>
      </c>
      <c r="N1435" t="s">
        <v>7273</v>
      </c>
      <c r="O1435" t="s">
        <v>7308</v>
      </c>
      <c r="Q1435" t="s">
        <v>7322</v>
      </c>
      <c r="R1435" t="s">
        <v>6074</v>
      </c>
      <c r="S1435" t="s">
        <v>7324</v>
      </c>
      <c r="U1435" t="s">
        <v>467</v>
      </c>
      <c r="V1435">
        <v>177</v>
      </c>
      <c r="W1435" t="s">
        <v>7363</v>
      </c>
      <c r="X1435" t="s">
        <v>7376</v>
      </c>
      <c r="Z1435" t="s">
        <v>8481</v>
      </c>
      <c r="AC1435">
        <v>149</v>
      </c>
      <c r="AD1435" t="s">
        <v>12422</v>
      </c>
      <c r="AE1435" t="s">
        <v>12441</v>
      </c>
      <c r="AF1435">
        <v>11</v>
      </c>
      <c r="AG1435">
        <v>1</v>
      </c>
      <c r="AH1435">
        <v>0</v>
      </c>
      <c r="AI1435">
        <v>83.62</v>
      </c>
      <c r="AL1435" t="s">
        <v>12460</v>
      </c>
      <c r="AM1435">
        <v>10152</v>
      </c>
      <c r="AS1435">
        <v>33.4</v>
      </c>
      <c r="AT1435" t="s">
        <v>496</v>
      </c>
      <c r="AU1435" t="s">
        <v>13099</v>
      </c>
    </row>
    <row r="1436" spans="1:48">
      <c r="A1436" s="1">
        <f>HYPERLINK("https://cms.ls-nyc.org/matter/dynamic-profile/view/1876787","18-1876787")</f>
        <v>0</v>
      </c>
      <c r="B1436" t="s">
        <v>108</v>
      </c>
      <c r="C1436" t="s">
        <v>238</v>
      </c>
      <c r="E1436" t="s">
        <v>1370</v>
      </c>
      <c r="F1436" t="s">
        <v>2841</v>
      </c>
      <c r="G1436" t="s">
        <v>3805</v>
      </c>
      <c r="H1436" t="s">
        <v>5609</v>
      </c>
      <c r="I1436" t="s">
        <v>6047</v>
      </c>
      <c r="J1436">
        <v>10452</v>
      </c>
      <c r="K1436" t="s">
        <v>6074</v>
      </c>
      <c r="L1436" t="s">
        <v>6075</v>
      </c>
      <c r="N1436" t="s">
        <v>6104</v>
      </c>
      <c r="O1436" t="s">
        <v>7309</v>
      </c>
      <c r="Q1436" t="s">
        <v>7322</v>
      </c>
      <c r="R1436" t="s">
        <v>6074</v>
      </c>
      <c r="S1436" t="s">
        <v>7324</v>
      </c>
      <c r="U1436" t="s">
        <v>374</v>
      </c>
      <c r="V1436">
        <v>177</v>
      </c>
      <c r="W1436" t="s">
        <v>7363</v>
      </c>
      <c r="X1436" t="s">
        <v>7376</v>
      </c>
      <c r="Z1436" t="s">
        <v>8481</v>
      </c>
      <c r="AC1436">
        <v>149</v>
      </c>
      <c r="AD1436" t="s">
        <v>12422</v>
      </c>
      <c r="AE1436" t="s">
        <v>12441</v>
      </c>
      <c r="AF1436">
        <v>11</v>
      </c>
      <c r="AG1436">
        <v>1</v>
      </c>
      <c r="AH1436">
        <v>0</v>
      </c>
      <c r="AI1436">
        <v>83.62</v>
      </c>
      <c r="AL1436" t="s">
        <v>12460</v>
      </c>
      <c r="AM1436">
        <v>10152</v>
      </c>
      <c r="AS1436">
        <v>0</v>
      </c>
      <c r="AU1436" t="s">
        <v>13099</v>
      </c>
    </row>
    <row r="1437" spans="1:48">
      <c r="A1437" s="1">
        <f>HYPERLINK("https://cms.ls-nyc.org/matter/dynamic-profile/view/1895954","19-1895954")</f>
        <v>0</v>
      </c>
      <c r="B1437" t="s">
        <v>116</v>
      </c>
      <c r="C1437" t="s">
        <v>315</v>
      </c>
      <c r="D1437" t="s">
        <v>343</v>
      </c>
      <c r="E1437" t="s">
        <v>1371</v>
      </c>
      <c r="F1437" t="s">
        <v>2083</v>
      </c>
      <c r="G1437" t="s">
        <v>4539</v>
      </c>
      <c r="H1437" t="s">
        <v>5438</v>
      </c>
      <c r="I1437" t="s">
        <v>6047</v>
      </c>
      <c r="J1437">
        <v>10468</v>
      </c>
      <c r="K1437" t="s">
        <v>6074</v>
      </c>
      <c r="L1437" t="s">
        <v>6074</v>
      </c>
      <c r="N1437" t="s">
        <v>6104</v>
      </c>
      <c r="O1437" t="s">
        <v>7306</v>
      </c>
      <c r="P1437" t="s">
        <v>7314</v>
      </c>
      <c r="Q1437" t="s">
        <v>7322</v>
      </c>
      <c r="R1437" t="s">
        <v>6076</v>
      </c>
      <c r="S1437" t="s">
        <v>7324</v>
      </c>
      <c r="U1437" t="s">
        <v>315</v>
      </c>
      <c r="V1437">
        <v>893.95</v>
      </c>
      <c r="W1437" t="s">
        <v>7363</v>
      </c>
      <c r="X1437" t="s">
        <v>7376</v>
      </c>
      <c r="Y1437" t="s">
        <v>7386</v>
      </c>
      <c r="Z1437" t="s">
        <v>8512</v>
      </c>
      <c r="AB1437" t="s">
        <v>9856</v>
      </c>
      <c r="AC1437">
        <v>0</v>
      </c>
      <c r="AD1437" t="s">
        <v>12422</v>
      </c>
      <c r="AF1437">
        <v>37</v>
      </c>
      <c r="AG1437">
        <v>2</v>
      </c>
      <c r="AH1437">
        <v>2</v>
      </c>
      <c r="AI1437">
        <v>83.68000000000001</v>
      </c>
      <c r="AL1437" t="s">
        <v>12460</v>
      </c>
      <c r="AM1437">
        <v>21548</v>
      </c>
      <c r="AS1437">
        <v>1.25</v>
      </c>
      <c r="AT1437" t="s">
        <v>270</v>
      </c>
      <c r="AU1437" t="s">
        <v>116</v>
      </c>
    </row>
    <row r="1438" spans="1:48">
      <c r="A1438" s="1">
        <f>HYPERLINK("https://cms.ls-nyc.org/matter/dynamic-profile/view/1889049","19-1889049")</f>
        <v>0</v>
      </c>
      <c r="B1438" t="s">
        <v>126</v>
      </c>
      <c r="C1438" t="s">
        <v>379</v>
      </c>
      <c r="E1438" t="s">
        <v>1372</v>
      </c>
      <c r="F1438" t="s">
        <v>2842</v>
      </c>
      <c r="G1438" t="s">
        <v>4540</v>
      </c>
      <c r="H1438" t="s">
        <v>5435</v>
      </c>
      <c r="I1438" t="s">
        <v>6049</v>
      </c>
      <c r="J1438">
        <v>10035</v>
      </c>
      <c r="K1438" t="s">
        <v>6074</v>
      </c>
      <c r="L1438" t="s">
        <v>6074</v>
      </c>
      <c r="N1438" t="s">
        <v>6104</v>
      </c>
      <c r="O1438" t="s">
        <v>7306</v>
      </c>
      <c r="Q1438" t="s">
        <v>7322</v>
      </c>
      <c r="R1438" t="s">
        <v>6076</v>
      </c>
      <c r="S1438" t="s">
        <v>7324</v>
      </c>
      <c r="T1438" t="s">
        <v>7336</v>
      </c>
      <c r="U1438" t="s">
        <v>370</v>
      </c>
      <c r="V1438">
        <v>1483.36</v>
      </c>
      <c r="W1438" t="s">
        <v>7365</v>
      </c>
      <c r="X1438" t="s">
        <v>7375</v>
      </c>
      <c r="Z1438" t="s">
        <v>8513</v>
      </c>
      <c r="AB1438" t="s">
        <v>11261</v>
      </c>
      <c r="AC1438">
        <v>1</v>
      </c>
      <c r="AD1438" t="s">
        <v>12422</v>
      </c>
      <c r="AE1438" t="s">
        <v>12434</v>
      </c>
      <c r="AF1438">
        <v>16</v>
      </c>
      <c r="AG1438">
        <v>1</v>
      </c>
      <c r="AH1438">
        <v>0</v>
      </c>
      <c r="AI1438">
        <v>83.68000000000001</v>
      </c>
      <c r="AL1438" t="s">
        <v>12460</v>
      </c>
      <c r="AM1438">
        <v>10452</v>
      </c>
      <c r="AN1438" t="s">
        <v>12617</v>
      </c>
      <c r="AS1438">
        <v>0.4</v>
      </c>
      <c r="AT1438" t="s">
        <v>395</v>
      </c>
      <c r="AU1438" t="s">
        <v>13107</v>
      </c>
    </row>
    <row r="1439" spans="1:48">
      <c r="A1439" s="1">
        <f>HYPERLINK("https://cms.ls-nyc.org/matter/dynamic-profile/view/1881478","18-1881478")</f>
        <v>0</v>
      </c>
      <c r="B1439" t="s">
        <v>108</v>
      </c>
      <c r="C1439" t="s">
        <v>369</v>
      </c>
      <c r="E1439" t="s">
        <v>1373</v>
      </c>
      <c r="F1439" t="s">
        <v>2279</v>
      </c>
      <c r="G1439" t="s">
        <v>4541</v>
      </c>
      <c r="H1439" t="s">
        <v>5382</v>
      </c>
      <c r="I1439" t="s">
        <v>6047</v>
      </c>
      <c r="J1439">
        <v>10457</v>
      </c>
      <c r="K1439" t="s">
        <v>6074</v>
      </c>
      <c r="L1439" t="s">
        <v>6074</v>
      </c>
      <c r="M1439" t="s">
        <v>6700</v>
      </c>
      <c r="N1439" t="s">
        <v>7278</v>
      </c>
      <c r="O1439" t="s">
        <v>7312</v>
      </c>
      <c r="Q1439" t="s">
        <v>7322</v>
      </c>
      <c r="R1439" t="s">
        <v>6074</v>
      </c>
      <c r="S1439" t="s">
        <v>7324</v>
      </c>
      <c r="U1439" t="s">
        <v>472</v>
      </c>
      <c r="V1439">
        <v>0</v>
      </c>
      <c r="W1439" t="s">
        <v>7363</v>
      </c>
      <c r="X1439" t="s">
        <v>7376</v>
      </c>
      <c r="Z1439" t="s">
        <v>8514</v>
      </c>
      <c r="AA1439" t="s">
        <v>10151</v>
      </c>
      <c r="AB1439" t="s">
        <v>11262</v>
      </c>
      <c r="AC1439">
        <v>38</v>
      </c>
      <c r="AD1439" t="s">
        <v>6322</v>
      </c>
      <c r="AF1439">
        <v>1</v>
      </c>
      <c r="AG1439">
        <v>1</v>
      </c>
      <c r="AH1439">
        <v>0</v>
      </c>
      <c r="AI1439">
        <v>83.81999999999999</v>
      </c>
      <c r="AL1439" t="s">
        <v>12461</v>
      </c>
      <c r="AM1439">
        <v>10176</v>
      </c>
      <c r="AS1439">
        <v>0</v>
      </c>
      <c r="AU1439" t="s">
        <v>13099</v>
      </c>
    </row>
    <row r="1440" spans="1:48">
      <c r="A1440" s="1">
        <f>HYPERLINK("https://cms.ls-nyc.org/matter/dynamic-profile/view/1901238","19-1901238")</f>
        <v>0</v>
      </c>
      <c r="B1440" t="s">
        <v>133</v>
      </c>
      <c r="C1440" t="s">
        <v>496</v>
      </c>
      <c r="E1440" t="s">
        <v>993</v>
      </c>
      <c r="F1440" t="s">
        <v>1647</v>
      </c>
      <c r="G1440" t="s">
        <v>4542</v>
      </c>
      <c r="H1440">
        <v>35</v>
      </c>
      <c r="I1440" t="s">
        <v>6049</v>
      </c>
      <c r="J1440">
        <v>10032</v>
      </c>
      <c r="K1440" t="s">
        <v>6074</v>
      </c>
      <c r="L1440" t="s">
        <v>6075</v>
      </c>
      <c r="N1440" t="s">
        <v>7278</v>
      </c>
      <c r="O1440" t="s">
        <v>7307</v>
      </c>
      <c r="Q1440" t="s">
        <v>7322</v>
      </c>
      <c r="R1440" t="s">
        <v>6076</v>
      </c>
      <c r="S1440" t="s">
        <v>7324</v>
      </c>
      <c r="U1440" t="s">
        <v>496</v>
      </c>
      <c r="V1440">
        <v>1147.19</v>
      </c>
      <c r="W1440" t="s">
        <v>7365</v>
      </c>
      <c r="X1440" t="s">
        <v>7367</v>
      </c>
      <c r="Z1440" t="s">
        <v>8515</v>
      </c>
      <c r="AB1440" t="s">
        <v>11263</v>
      </c>
      <c r="AC1440">
        <v>30</v>
      </c>
      <c r="AD1440" t="s">
        <v>12422</v>
      </c>
      <c r="AE1440" t="s">
        <v>12441</v>
      </c>
      <c r="AF1440">
        <v>27</v>
      </c>
      <c r="AG1440">
        <v>3</v>
      </c>
      <c r="AH1440">
        <v>0</v>
      </c>
      <c r="AI1440">
        <v>83.83</v>
      </c>
      <c r="AL1440" t="s">
        <v>12461</v>
      </c>
      <c r="AM1440">
        <v>17880</v>
      </c>
      <c r="AS1440">
        <v>1.38</v>
      </c>
      <c r="AT1440" t="s">
        <v>382</v>
      </c>
      <c r="AU1440" t="s">
        <v>13106</v>
      </c>
      <c r="AV1440" t="s">
        <v>13145</v>
      </c>
    </row>
    <row r="1441" spans="1:48">
      <c r="A1441" s="1">
        <f>HYPERLINK("https://cms.ls-nyc.org/matter/dynamic-profile/view/1890309","19-1890309")</f>
        <v>0</v>
      </c>
      <c r="B1441" t="s">
        <v>92</v>
      </c>
      <c r="C1441" t="s">
        <v>358</v>
      </c>
      <c r="D1441" t="s">
        <v>496</v>
      </c>
      <c r="E1441" t="s">
        <v>916</v>
      </c>
      <c r="F1441" t="s">
        <v>2642</v>
      </c>
      <c r="G1441" t="s">
        <v>4302</v>
      </c>
      <c r="H1441" t="s">
        <v>5422</v>
      </c>
      <c r="I1441" t="s">
        <v>6043</v>
      </c>
      <c r="J1441">
        <v>11237</v>
      </c>
      <c r="K1441" t="s">
        <v>6074</v>
      </c>
      <c r="L1441" t="s">
        <v>6074</v>
      </c>
      <c r="M1441" t="s">
        <v>6104</v>
      </c>
      <c r="N1441" t="s">
        <v>7275</v>
      </c>
      <c r="O1441" t="s">
        <v>7309</v>
      </c>
      <c r="P1441" t="s">
        <v>7319</v>
      </c>
      <c r="Q1441" t="s">
        <v>7322</v>
      </c>
      <c r="R1441" t="s">
        <v>6074</v>
      </c>
      <c r="S1441" t="s">
        <v>7324</v>
      </c>
      <c r="U1441" t="s">
        <v>428</v>
      </c>
      <c r="V1441">
        <v>1080</v>
      </c>
      <c r="W1441" t="s">
        <v>7362</v>
      </c>
      <c r="X1441" t="s">
        <v>7375</v>
      </c>
      <c r="Y1441" t="s">
        <v>7387</v>
      </c>
      <c r="Z1441" t="s">
        <v>8516</v>
      </c>
      <c r="AA1441">
        <v>12563767</v>
      </c>
      <c r="AB1441" t="s">
        <v>9856</v>
      </c>
      <c r="AC1441">
        <v>6</v>
      </c>
      <c r="AD1441" t="s">
        <v>12422</v>
      </c>
      <c r="AF1441">
        <v>7</v>
      </c>
      <c r="AG1441">
        <v>2</v>
      </c>
      <c r="AH1441">
        <v>2</v>
      </c>
      <c r="AI1441">
        <v>83.88</v>
      </c>
      <c r="AL1441" t="s">
        <v>12461</v>
      </c>
      <c r="AM1441">
        <v>21600</v>
      </c>
      <c r="AS1441">
        <v>0.1</v>
      </c>
      <c r="AT1441" t="s">
        <v>420</v>
      </c>
      <c r="AU1441" t="s">
        <v>218</v>
      </c>
      <c r="AV1441" t="s">
        <v>13145</v>
      </c>
    </row>
    <row r="1442" spans="1:48">
      <c r="A1442" s="1">
        <f>HYPERLINK("https://cms.ls-nyc.org/matter/dynamic-profile/view/1885676","18-1885676")</f>
        <v>0</v>
      </c>
      <c r="B1442" t="s">
        <v>102</v>
      </c>
      <c r="C1442" t="s">
        <v>344</v>
      </c>
      <c r="E1442" t="s">
        <v>982</v>
      </c>
      <c r="F1442" t="s">
        <v>2453</v>
      </c>
      <c r="G1442" t="s">
        <v>3779</v>
      </c>
      <c r="H1442" t="s">
        <v>5406</v>
      </c>
      <c r="I1442" t="s">
        <v>6047</v>
      </c>
      <c r="J1442">
        <v>10460</v>
      </c>
      <c r="K1442" t="s">
        <v>6074</v>
      </c>
      <c r="L1442" t="s">
        <v>6074</v>
      </c>
      <c r="M1442" t="s">
        <v>6182</v>
      </c>
      <c r="N1442" t="s">
        <v>7273</v>
      </c>
      <c r="O1442" t="s">
        <v>7308</v>
      </c>
      <c r="Q1442" t="s">
        <v>7322</v>
      </c>
      <c r="R1442" t="s">
        <v>6074</v>
      </c>
      <c r="S1442" t="s">
        <v>7324</v>
      </c>
      <c r="U1442" t="s">
        <v>457</v>
      </c>
      <c r="V1442">
        <v>391</v>
      </c>
      <c r="W1442" t="s">
        <v>7363</v>
      </c>
      <c r="X1442" t="s">
        <v>7376</v>
      </c>
      <c r="Z1442" t="s">
        <v>8517</v>
      </c>
      <c r="AA1442" t="s">
        <v>10152</v>
      </c>
      <c r="AB1442" t="s">
        <v>11264</v>
      </c>
      <c r="AC1442">
        <v>168</v>
      </c>
      <c r="AD1442" t="s">
        <v>12419</v>
      </c>
      <c r="AE1442" t="s">
        <v>12434</v>
      </c>
      <c r="AF1442">
        <v>10</v>
      </c>
      <c r="AG1442">
        <v>2</v>
      </c>
      <c r="AH1442">
        <v>0</v>
      </c>
      <c r="AI1442">
        <v>83.98999999999999</v>
      </c>
      <c r="AL1442" t="s">
        <v>12461</v>
      </c>
      <c r="AM1442">
        <v>13824</v>
      </c>
      <c r="AS1442">
        <v>0</v>
      </c>
      <c r="AU1442" t="s">
        <v>13092</v>
      </c>
    </row>
    <row r="1443" spans="1:48">
      <c r="A1443" s="1">
        <f>HYPERLINK("https://cms.ls-nyc.org/matter/dynamic-profile/view/1871057","18-1871057")</f>
        <v>0</v>
      </c>
      <c r="B1443" t="s">
        <v>52</v>
      </c>
      <c r="C1443" t="s">
        <v>328</v>
      </c>
      <c r="D1443" t="s">
        <v>297</v>
      </c>
      <c r="E1443" t="s">
        <v>1026</v>
      </c>
      <c r="F1443" t="s">
        <v>2843</v>
      </c>
      <c r="G1443" t="s">
        <v>4351</v>
      </c>
      <c r="H1443">
        <v>1611</v>
      </c>
      <c r="I1443" t="s">
        <v>6024</v>
      </c>
      <c r="J1443">
        <v>11692</v>
      </c>
      <c r="K1443" t="s">
        <v>6074</v>
      </c>
      <c r="L1443" t="s">
        <v>6074</v>
      </c>
      <c r="M1443" t="s">
        <v>6701</v>
      </c>
      <c r="N1443" t="s">
        <v>7276</v>
      </c>
      <c r="O1443" t="s">
        <v>7308</v>
      </c>
      <c r="P1443" t="s">
        <v>7317</v>
      </c>
      <c r="Q1443" t="s">
        <v>7322</v>
      </c>
      <c r="R1443" t="s">
        <v>6076</v>
      </c>
      <c r="S1443" t="s">
        <v>7324</v>
      </c>
      <c r="T1443" t="s">
        <v>7336</v>
      </c>
      <c r="U1443" t="s">
        <v>231</v>
      </c>
      <c r="V1443">
        <v>1400</v>
      </c>
      <c r="W1443" t="s">
        <v>7361</v>
      </c>
      <c r="X1443" t="s">
        <v>7366</v>
      </c>
      <c r="Y1443" t="s">
        <v>7388</v>
      </c>
      <c r="Z1443" t="s">
        <v>8518</v>
      </c>
      <c r="AB1443" t="s">
        <v>11265</v>
      </c>
      <c r="AC1443">
        <v>40</v>
      </c>
      <c r="AD1443" t="s">
        <v>6322</v>
      </c>
      <c r="AE1443" t="s">
        <v>12434</v>
      </c>
      <c r="AF1443">
        <v>10</v>
      </c>
      <c r="AG1443">
        <v>1</v>
      </c>
      <c r="AH1443">
        <v>0</v>
      </c>
      <c r="AI1443">
        <v>84.02</v>
      </c>
      <c r="AL1443" t="s">
        <v>12460</v>
      </c>
      <c r="AM1443">
        <v>10200</v>
      </c>
      <c r="AO1443" t="s">
        <v>12846</v>
      </c>
      <c r="AP1443" t="s">
        <v>12858</v>
      </c>
      <c r="AQ1443" t="s">
        <v>12909</v>
      </c>
      <c r="AR1443" t="s">
        <v>13011</v>
      </c>
      <c r="AS1443">
        <v>14.1</v>
      </c>
      <c r="AT1443" t="s">
        <v>412</v>
      </c>
      <c r="AU1443" t="s">
        <v>51</v>
      </c>
    </row>
    <row r="1444" spans="1:48">
      <c r="A1444" s="1">
        <f>HYPERLINK("https://cms.ls-nyc.org/matter/dynamic-profile/view/1872231","18-1872231")</f>
        <v>0</v>
      </c>
      <c r="B1444" t="s">
        <v>171</v>
      </c>
      <c r="C1444" t="s">
        <v>497</v>
      </c>
      <c r="D1444" t="s">
        <v>369</v>
      </c>
      <c r="E1444" t="s">
        <v>636</v>
      </c>
      <c r="F1444" t="s">
        <v>2287</v>
      </c>
      <c r="G1444" t="s">
        <v>4491</v>
      </c>
      <c r="H1444" t="s">
        <v>5702</v>
      </c>
      <c r="I1444" t="s">
        <v>6043</v>
      </c>
      <c r="J1444">
        <v>11208</v>
      </c>
      <c r="K1444" t="s">
        <v>6074</v>
      </c>
      <c r="L1444" t="s">
        <v>6074</v>
      </c>
      <c r="M1444" t="s">
        <v>6702</v>
      </c>
      <c r="N1444" t="s">
        <v>7274</v>
      </c>
      <c r="O1444" t="s">
        <v>7308</v>
      </c>
      <c r="P1444" t="s">
        <v>7316</v>
      </c>
      <c r="Q1444" t="s">
        <v>7322</v>
      </c>
      <c r="S1444" t="s">
        <v>7324</v>
      </c>
      <c r="U1444" t="s">
        <v>437</v>
      </c>
      <c r="V1444">
        <v>400</v>
      </c>
      <c r="W1444" t="s">
        <v>7362</v>
      </c>
      <c r="X1444" t="s">
        <v>7379</v>
      </c>
      <c r="Y1444" t="s">
        <v>7388</v>
      </c>
      <c r="Z1444" t="s">
        <v>8441</v>
      </c>
      <c r="AB1444" t="s">
        <v>11195</v>
      </c>
      <c r="AC1444">
        <v>9</v>
      </c>
      <c r="AE1444" t="s">
        <v>6110</v>
      </c>
      <c r="AF1444">
        <v>0</v>
      </c>
      <c r="AG1444">
        <v>1</v>
      </c>
      <c r="AH1444">
        <v>0</v>
      </c>
      <c r="AI1444">
        <v>84.02</v>
      </c>
      <c r="AL1444" t="s">
        <v>12460</v>
      </c>
      <c r="AM1444">
        <v>10200</v>
      </c>
      <c r="AN1444" t="s">
        <v>12525</v>
      </c>
      <c r="AO1444" t="s">
        <v>12846</v>
      </c>
      <c r="AP1444" t="s">
        <v>12863</v>
      </c>
      <c r="AQ1444" t="s">
        <v>12909</v>
      </c>
      <c r="AR1444" t="s">
        <v>12975</v>
      </c>
      <c r="AS1444">
        <v>53.2</v>
      </c>
      <c r="AT1444" t="s">
        <v>313</v>
      </c>
      <c r="AU1444" t="s">
        <v>13085</v>
      </c>
    </row>
    <row r="1445" spans="1:48">
      <c r="A1445" s="1">
        <f>HYPERLINK("https://cms.ls-nyc.org/matter/dynamic-profile/view/1878082","18-1878082")</f>
        <v>0</v>
      </c>
      <c r="B1445" t="s">
        <v>149</v>
      </c>
      <c r="C1445" t="s">
        <v>255</v>
      </c>
      <c r="D1445" t="s">
        <v>351</v>
      </c>
      <c r="E1445" t="s">
        <v>919</v>
      </c>
      <c r="F1445" t="s">
        <v>1977</v>
      </c>
      <c r="G1445" t="s">
        <v>4543</v>
      </c>
      <c r="H1445" t="s">
        <v>5504</v>
      </c>
      <c r="I1445" t="s">
        <v>6047</v>
      </c>
      <c r="J1445">
        <v>10467</v>
      </c>
      <c r="K1445" t="s">
        <v>6074</v>
      </c>
      <c r="L1445" t="s">
        <v>6074</v>
      </c>
      <c r="M1445" t="s">
        <v>6703</v>
      </c>
      <c r="N1445" t="s">
        <v>7283</v>
      </c>
      <c r="O1445" t="s">
        <v>7309</v>
      </c>
      <c r="P1445" t="s">
        <v>7314</v>
      </c>
      <c r="Q1445" t="s">
        <v>7322</v>
      </c>
      <c r="R1445" t="s">
        <v>6076</v>
      </c>
      <c r="S1445" t="s">
        <v>7326</v>
      </c>
      <c r="U1445" t="s">
        <v>255</v>
      </c>
      <c r="V1445">
        <v>1017</v>
      </c>
      <c r="W1445" t="s">
        <v>7363</v>
      </c>
      <c r="X1445" t="s">
        <v>7370</v>
      </c>
      <c r="Y1445" t="s">
        <v>7386</v>
      </c>
      <c r="Z1445" t="s">
        <v>8519</v>
      </c>
      <c r="AB1445" t="s">
        <v>11266</v>
      </c>
      <c r="AC1445">
        <v>90</v>
      </c>
      <c r="AD1445" t="s">
        <v>12422</v>
      </c>
      <c r="AE1445" t="s">
        <v>12441</v>
      </c>
      <c r="AF1445">
        <v>6</v>
      </c>
      <c r="AG1445">
        <v>1</v>
      </c>
      <c r="AH1445">
        <v>0</v>
      </c>
      <c r="AI1445">
        <v>84.02</v>
      </c>
      <c r="AL1445" t="s">
        <v>12461</v>
      </c>
      <c r="AM1445">
        <v>10200</v>
      </c>
      <c r="AS1445">
        <v>0.1</v>
      </c>
      <c r="AT1445" t="s">
        <v>425</v>
      </c>
      <c r="AU1445" t="s">
        <v>13099</v>
      </c>
    </row>
    <row r="1446" spans="1:48">
      <c r="A1446" s="1">
        <f>HYPERLINK("https://cms.ls-nyc.org/matter/dynamic-profile/view/1888208","19-1888208")</f>
        <v>0</v>
      </c>
      <c r="B1446" t="s">
        <v>102</v>
      </c>
      <c r="C1446" t="s">
        <v>466</v>
      </c>
      <c r="E1446" t="s">
        <v>628</v>
      </c>
      <c r="F1446" t="s">
        <v>2132</v>
      </c>
      <c r="G1446" t="s">
        <v>3779</v>
      </c>
      <c r="H1446" t="s">
        <v>5462</v>
      </c>
      <c r="I1446" t="s">
        <v>6047</v>
      </c>
      <c r="J1446">
        <v>10460</v>
      </c>
      <c r="K1446" t="s">
        <v>6074</v>
      </c>
      <c r="L1446" t="s">
        <v>6074</v>
      </c>
      <c r="M1446" t="s">
        <v>6182</v>
      </c>
      <c r="N1446" t="s">
        <v>7273</v>
      </c>
      <c r="O1446" t="s">
        <v>7308</v>
      </c>
      <c r="Q1446" t="s">
        <v>7322</v>
      </c>
      <c r="R1446" t="s">
        <v>6074</v>
      </c>
      <c r="S1446" t="s">
        <v>7324</v>
      </c>
      <c r="U1446" t="s">
        <v>457</v>
      </c>
      <c r="V1446">
        <v>1200</v>
      </c>
      <c r="W1446" t="s">
        <v>7363</v>
      </c>
      <c r="X1446" t="s">
        <v>7376</v>
      </c>
      <c r="Z1446" t="s">
        <v>8520</v>
      </c>
      <c r="AB1446" t="s">
        <v>11267</v>
      </c>
      <c r="AC1446">
        <v>168</v>
      </c>
      <c r="AD1446" t="s">
        <v>12422</v>
      </c>
      <c r="AE1446" t="s">
        <v>12434</v>
      </c>
      <c r="AF1446">
        <v>4</v>
      </c>
      <c r="AG1446">
        <v>1</v>
      </c>
      <c r="AH1446">
        <v>0</v>
      </c>
      <c r="AI1446">
        <v>84.02</v>
      </c>
      <c r="AL1446" t="s">
        <v>12460</v>
      </c>
      <c r="AM1446">
        <v>10200</v>
      </c>
      <c r="AS1446">
        <v>0</v>
      </c>
      <c r="AU1446" t="s">
        <v>13099</v>
      </c>
    </row>
    <row r="1447" spans="1:48">
      <c r="A1447" s="1">
        <f>HYPERLINK("https://cms.ls-nyc.org/matter/dynamic-profile/view/1882713","18-1882713")</f>
        <v>0</v>
      </c>
      <c r="B1447" t="s">
        <v>132</v>
      </c>
      <c r="C1447" t="s">
        <v>296</v>
      </c>
      <c r="D1447" t="s">
        <v>504</v>
      </c>
      <c r="E1447" t="s">
        <v>901</v>
      </c>
      <c r="F1447" t="s">
        <v>2844</v>
      </c>
      <c r="G1447" t="s">
        <v>4544</v>
      </c>
      <c r="H1447" t="s">
        <v>5538</v>
      </c>
      <c r="I1447" t="s">
        <v>6049</v>
      </c>
      <c r="J1447">
        <v>10034</v>
      </c>
      <c r="K1447" t="s">
        <v>6074</v>
      </c>
      <c r="L1447" t="s">
        <v>6074</v>
      </c>
      <c r="N1447" t="s">
        <v>7279</v>
      </c>
      <c r="O1447" t="s">
        <v>7306</v>
      </c>
      <c r="P1447" t="s">
        <v>7314</v>
      </c>
      <c r="Q1447" t="s">
        <v>7322</v>
      </c>
      <c r="R1447" t="s">
        <v>6076</v>
      </c>
      <c r="S1447" t="s">
        <v>7324</v>
      </c>
      <c r="U1447" t="s">
        <v>296</v>
      </c>
      <c r="V1447">
        <v>959</v>
      </c>
      <c r="W1447" t="s">
        <v>7365</v>
      </c>
      <c r="X1447" t="s">
        <v>7368</v>
      </c>
      <c r="Y1447" t="s">
        <v>7386</v>
      </c>
      <c r="Z1447" t="s">
        <v>8521</v>
      </c>
      <c r="AB1447" t="s">
        <v>11268</v>
      </c>
      <c r="AC1447">
        <v>54</v>
      </c>
      <c r="AD1447" t="s">
        <v>12422</v>
      </c>
      <c r="AE1447" t="s">
        <v>6110</v>
      </c>
      <c r="AF1447">
        <v>19</v>
      </c>
      <c r="AG1447">
        <v>1</v>
      </c>
      <c r="AH1447">
        <v>0</v>
      </c>
      <c r="AI1447">
        <v>84.02</v>
      </c>
      <c r="AL1447" t="s">
        <v>12461</v>
      </c>
      <c r="AM1447">
        <v>10200</v>
      </c>
      <c r="AS1447">
        <v>0.15</v>
      </c>
      <c r="AT1447" t="s">
        <v>504</v>
      </c>
      <c r="AU1447" t="s">
        <v>13106</v>
      </c>
    </row>
    <row r="1448" spans="1:48">
      <c r="A1448" s="1">
        <f>HYPERLINK("https://cms.ls-nyc.org/matter/dynamic-profile/view/1892320","19-1892320")</f>
        <v>0</v>
      </c>
      <c r="B1448" t="s">
        <v>96</v>
      </c>
      <c r="C1448" t="s">
        <v>359</v>
      </c>
      <c r="E1448" t="s">
        <v>715</v>
      </c>
      <c r="F1448" t="s">
        <v>2845</v>
      </c>
      <c r="G1448" t="s">
        <v>4396</v>
      </c>
      <c r="H1448" t="s">
        <v>5715</v>
      </c>
      <c r="I1448" t="s">
        <v>6047</v>
      </c>
      <c r="J1448">
        <v>10453</v>
      </c>
      <c r="K1448" t="s">
        <v>6074</v>
      </c>
      <c r="L1448" t="s">
        <v>6074</v>
      </c>
      <c r="N1448" t="s">
        <v>7279</v>
      </c>
      <c r="O1448" t="s">
        <v>7311</v>
      </c>
      <c r="Q1448" t="s">
        <v>7322</v>
      </c>
      <c r="R1448" t="s">
        <v>6074</v>
      </c>
      <c r="S1448" t="s">
        <v>7324</v>
      </c>
      <c r="U1448" t="s">
        <v>457</v>
      </c>
      <c r="V1448">
        <v>1069.19</v>
      </c>
      <c r="W1448" t="s">
        <v>7363</v>
      </c>
      <c r="X1448" t="s">
        <v>7375</v>
      </c>
      <c r="Z1448" t="s">
        <v>8522</v>
      </c>
      <c r="AB1448" t="s">
        <v>11269</v>
      </c>
      <c r="AC1448">
        <v>170</v>
      </c>
      <c r="AD1448" t="s">
        <v>12422</v>
      </c>
      <c r="AE1448" t="s">
        <v>12434</v>
      </c>
      <c r="AF1448">
        <v>33</v>
      </c>
      <c r="AG1448">
        <v>1</v>
      </c>
      <c r="AH1448">
        <v>0</v>
      </c>
      <c r="AI1448">
        <v>84.06999999999999</v>
      </c>
      <c r="AL1448" t="s">
        <v>12460</v>
      </c>
      <c r="AM1448">
        <v>10500</v>
      </c>
      <c r="AS1448">
        <v>0</v>
      </c>
      <c r="AU1448" t="s">
        <v>13093</v>
      </c>
    </row>
    <row r="1449" spans="1:48">
      <c r="A1449" s="1">
        <f>HYPERLINK("https://cms.ls-nyc.org/matter/dynamic-profile/view/1891900","19-1891900")</f>
        <v>0</v>
      </c>
      <c r="B1449" t="s">
        <v>96</v>
      </c>
      <c r="C1449" t="s">
        <v>366</v>
      </c>
      <c r="E1449" t="s">
        <v>715</v>
      </c>
      <c r="F1449" t="s">
        <v>2845</v>
      </c>
      <c r="G1449" t="s">
        <v>4396</v>
      </c>
      <c r="I1449" t="s">
        <v>6047</v>
      </c>
      <c r="J1449">
        <v>10453</v>
      </c>
      <c r="K1449" t="s">
        <v>6074</v>
      </c>
      <c r="L1449" t="s">
        <v>6074</v>
      </c>
      <c r="M1449" t="s">
        <v>6259</v>
      </c>
      <c r="N1449" t="s">
        <v>7273</v>
      </c>
      <c r="O1449" t="s">
        <v>7308</v>
      </c>
      <c r="Q1449" t="s">
        <v>7322</v>
      </c>
      <c r="R1449" t="s">
        <v>6074</v>
      </c>
      <c r="S1449" t="s">
        <v>7324</v>
      </c>
      <c r="U1449" t="s">
        <v>457</v>
      </c>
      <c r="V1449">
        <v>1069.18</v>
      </c>
      <c r="W1449" t="s">
        <v>7363</v>
      </c>
      <c r="X1449" t="s">
        <v>7375</v>
      </c>
      <c r="Z1449" t="s">
        <v>8522</v>
      </c>
      <c r="AB1449" t="s">
        <v>11269</v>
      </c>
      <c r="AC1449">
        <v>170</v>
      </c>
      <c r="AD1449" t="s">
        <v>12422</v>
      </c>
      <c r="AE1449" t="s">
        <v>12434</v>
      </c>
      <c r="AF1449">
        <v>33</v>
      </c>
      <c r="AG1449">
        <v>1</v>
      </c>
      <c r="AH1449">
        <v>0</v>
      </c>
      <c r="AI1449">
        <v>84.06999999999999</v>
      </c>
      <c r="AL1449" t="s">
        <v>12460</v>
      </c>
      <c r="AM1449">
        <v>10500</v>
      </c>
      <c r="AS1449">
        <v>0</v>
      </c>
      <c r="AU1449" t="s">
        <v>13093</v>
      </c>
    </row>
    <row r="1450" spans="1:48">
      <c r="A1450" s="1">
        <f>HYPERLINK("https://cms.ls-nyc.org/matter/dynamic-profile/view/1873011","18-1873011")</f>
        <v>0</v>
      </c>
      <c r="B1450" t="s">
        <v>111</v>
      </c>
      <c r="C1450" t="s">
        <v>289</v>
      </c>
      <c r="E1450" t="s">
        <v>901</v>
      </c>
      <c r="F1450" t="s">
        <v>2846</v>
      </c>
      <c r="G1450" t="s">
        <v>4545</v>
      </c>
      <c r="H1450" t="s">
        <v>5444</v>
      </c>
      <c r="I1450" t="s">
        <v>6047</v>
      </c>
      <c r="J1450">
        <v>10460</v>
      </c>
      <c r="K1450" t="s">
        <v>6074</v>
      </c>
      <c r="L1450" t="s">
        <v>6074</v>
      </c>
      <c r="M1450" t="s">
        <v>6704</v>
      </c>
      <c r="N1450" t="s">
        <v>7276</v>
      </c>
      <c r="O1450" t="s">
        <v>7308</v>
      </c>
      <c r="Q1450" t="s">
        <v>7322</v>
      </c>
      <c r="R1450" t="s">
        <v>6076</v>
      </c>
      <c r="S1450" t="s">
        <v>7324</v>
      </c>
      <c r="T1450" t="s">
        <v>7336</v>
      </c>
      <c r="U1450" t="s">
        <v>231</v>
      </c>
      <c r="V1450">
        <v>1379.07</v>
      </c>
      <c r="W1450" t="s">
        <v>7363</v>
      </c>
      <c r="X1450" t="s">
        <v>7377</v>
      </c>
      <c r="Z1450" t="s">
        <v>8523</v>
      </c>
      <c r="AA1450" t="s">
        <v>10153</v>
      </c>
      <c r="AB1450" t="s">
        <v>11270</v>
      </c>
      <c r="AC1450">
        <v>34</v>
      </c>
      <c r="AD1450" t="s">
        <v>12422</v>
      </c>
      <c r="AE1450" t="s">
        <v>12434</v>
      </c>
      <c r="AF1450">
        <v>10</v>
      </c>
      <c r="AG1450">
        <v>1</v>
      </c>
      <c r="AH1450">
        <v>0</v>
      </c>
      <c r="AI1450">
        <v>84.12</v>
      </c>
      <c r="AL1450" t="s">
        <v>12460</v>
      </c>
      <c r="AM1450">
        <v>10212</v>
      </c>
      <c r="AO1450" t="s">
        <v>12846</v>
      </c>
      <c r="AS1450">
        <v>51.55</v>
      </c>
      <c r="AT1450" t="s">
        <v>324</v>
      </c>
      <c r="AU1450" t="s">
        <v>13077</v>
      </c>
    </row>
    <row r="1451" spans="1:48">
      <c r="A1451" s="1">
        <f>HYPERLINK("https://cms.ls-nyc.org/matter/dynamic-profile/view/1874524","18-1874524")</f>
        <v>0</v>
      </c>
      <c r="B1451" t="s">
        <v>111</v>
      </c>
      <c r="C1451" t="s">
        <v>237</v>
      </c>
      <c r="E1451" t="s">
        <v>901</v>
      </c>
      <c r="F1451" t="s">
        <v>2846</v>
      </c>
      <c r="G1451" t="s">
        <v>4545</v>
      </c>
      <c r="H1451" t="s">
        <v>5444</v>
      </c>
      <c r="I1451" t="s">
        <v>6047</v>
      </c>
      <c r="J1451">
        <v>10460</v>
      </c>
      <c r="K1451" t="s">
        <v>6074</v>
      </c>
      <c r="L1451" t="s">
        <v>6074</v>
      </c>
      <c r="N1451" t="s">
        <v>7288</v>
      </c>
      <c r="O1451" t="s">
        <v>7309</v>
      </c>
      <c r="Q1451" t="s">
        <v>7322</v>
      </c>
      <c r="R1451" t="s">
        <v>6076</v>
      </c>
      <c r="S1451" t="s">
        <v>7331</v>
      </c>
      <c r="U1451" t="s">
        <v>237</v>
      </c>
      <c r="V1451">
        <v>1379.07</v>
      </c>
      <c r="W1451" t="s">
        <v>7363</v>
      </c>
      <c r="X1451" t="s">
        <v>7373</v>
      </c>
      <c r="Z1451" t="s">
        <v>8523</v>
      </c>
      <c r="AA1451" t="s">
        <v>10153</v>
      </c>
      <c r="AB1451" t="s">
        <v>11270</v>
      </c>
      <c r="AC1451">
        <v>34</v>
      </c>
      <c r="AD1451" t="s">
        <v>12422</v>
      </c>
      <c r="AE1451" t="s">
        <v>12434</v>
      </c>
      <c r="AF1451">
        <v>10</v>
      </c>
      <c r="AG1451">
        <v>1</v>
      </c>
      <c r="AH1451">
        <v>0</v>
      </c>
      <c r="AI1451">
        <v>84.12</v>
      </c>
      <c r="AL1451" t="s">
        <v>12460</v>
      </c>
      <c r="AM1451">
        <v>10212</v>
      </c>
      <c r="AS1451">
        <v>10.3</v>
      </c>
      <c r="AT1451" t="s">
        <v>393</v>
      </c>
      <c r="AU1451" t="s">
        <v>13113</v>
      </c>
    </row>
    <row r="1452" spans="1:48">
      <c r="A1452" s="1">
        <f>HYPERLINK("https://cms.ls-nyc.org/matter/dynamic-profile/view/1881819","18-1881819")</f>
        <v>0</v>
      </c>
      <c r="B1452" t="s">
        <v>103</v>
      </c>
      <c r="C1452" t="s">
        <v>360</v>
      </c>
      <c r="E1452" t="s">
        <v>1374</v>
      </c>
      <c r="F1452" t="s">
        <v>1882</v>
      </c>
      <c r="G1452" t="s">
        <v>3810</v>
      </c>
      <c r="H1452" t="s">
        <v>5716</v>
      </c>
      <c r="I1452" t="s">
        <v>6047</v>
      </c>
      <c r="J1452">
        <v>10451</v>
      </c>
      <c r="K1452" t="s">
        <v>6074</v>
      </c>
      <c r="L1452" t="s">
        <v>6074</v>
      </c>
      <c r="M1452" t="s">
        <v>6201</v>
      </c>
      <c r="N1452" t="s">
        <v>7273</v>
      </c>
      <c r="O1452" t="s">
        <v>7308</v>
      </c>
      <c r="Q1452" t="s">
        <v>7322</v>
      </c>
      <c r="R1452" t="s">
        <v>6074</v>
      </c>
      <c r="S1452" t="s">
        <v>7324</v>
      </c>
      <c r="U1452" t="s">
        <v>472</v>
      </c>
      <c r="V1452">
        <v>1000</v>
      </c>
      <c r="W1452" t="s">
        <v>7363</v>
      </c>
      <c r="X1452" t="s">
        <v>7376</v>
      </c>
      <c r="Z1452" t="s">
        <v>8524</v>
      </c>
      <c r="AB1452" t="s">
        <v>11271</v>
      </c>
      <c r="AC1452">
        <v>100</v>
      </c>
      <c r="AD1452" t="s">
        <v>12422</v>
      </c>
      <c r="AE1452" t="s">
        <v>6110</v>
      </c>
      <c r="AF1452">
        <v>19</v>
      </c>
      <c r="AG1452">
        <v>1</v>
      </c>
      <c r="AH1452">
        <v>0</v>
      </c>
      <c r="AI1452">
        <v>84.12</v>
      </c>
      <c r="AL1452" t="s">
        <v>12461</v>
      </c>
      <c r="AM1452">
        <v>10212</v>
      </c>
      <c r="AS1452">
        <v>1</v>
      </c>
      <c r="AT1452" t="s">
        <v>501</v>
      </c>
      <c r="AU1452" t="s">
        <v>13095</v>
      </c>
    </row>
    <row r="1453" spans="1:48">
      <c r="A1453" s="1">
        <f>HYPERLINK("https://cms.ls-nyc.org/matter/dynamic-profile/view/1867775","18-1867775")</f>
        <v>0</v>
      </c>
      <c r="B1453" t="s">
        <v>141</v>
      </c>
      <c r="C1453" t="s">
        <v>499</v>
      </c>
      <c r="E1453" t="s">
        <v>1375</v>
      </c>
      <c r="F1453" t="s">
        <v>2847</v>
      </c>
      <c r="G1453" t="s">
        <v>4546</v>
      </c>
      <c r="H1453">
        <v>3</v>
      </c>
      <c r="I1453" t="s">
        <v>6043</v>
      </c>
      <c r="J1453">
        <v>11212</v>
      </c>
      <c r="K1453" t="s">
        <v>6074</v>
      </c>
      <c r="L1453" t="s">
        <v>6074</v>
      </c>
      <c r="N1453" t="s">
        <v>6104</v>
      </c>
      <c r="O1453" t="s">
        <v>7309</v>
      </c>
      <c r="Q1453" t="s">
        <v>7322</v>
      </c>
      <c r="S1453" t="s">
        <v>7324</v>
      </c>
      <c r="U1453" t="s">
        <v>7344</v>
      </c>
      <c r="V1453">
        <v>231.6</v>
      </c>
      <c r="W1453" t="s">
        <v>7365</v>
      </c>
      <c r="X1453" t="s">
        <v>7375</v>
      </c>
      <c r="Z1453" t="s">
        <v>8525</v>
      </c>
      <c r="AB1453" t="s">
        <v>11272</v>
      </c>
      <c r="AC1453">
        <v>0</v>
      </c>
      <c r="AD1453" t="s">
        <v>6322</v>
      </c>
      <c r="AE1453" t="s">
        <v>6110</v>
      </c>
      <c r="AF1453">
        <v>1</v>
      </c>
      <c r="AG1453">
        <v>1</v>
      </c>
      <c r="AH1453">
        <v>0</v>
      </c>
      <c r="AI1453">
        <v>84.22</v>
      </c>
      <c r="AL1453" t="s">
        <v>12460</v>
      </c>
      <c r="AM1453">
        <v>10224</v>
      </c>
      <c r="AS1453">
        <v>0.8</v>
      </c>
      <c r="AT1453" t="s">
        <v>549</v>
      </c>
      <c r="AU1453" t="s">
        <v>13111</v>
      </c>
    </row>
    <row r="1454" spans="1:48">
      <c r="A1454" s="1">
        <f>HYPERLINK("https://cms.ls-nyc.org/matter/dynamic-profile/view/1891346","19-1891346")</f>
        <v>0</v>
      </c>
      <c r="B1454" t="s">
        <v>96</v>
      </c>
      <c r="C1454" t="s">
        <v>261</v>
      </c>
      <c r="E1454" t="s">
        <v>767</v>
      </c>
      <c r="F1454" t="s">
        <v>2285</v>
      </c>
      <c r="G1454" t="s">
        <v>3792</v>
      </c>
      <c r="H1454" t="s">
        <v>5717</v>
      </c>
      <c r="I1454" t="s">
        <v>6047</v>
      </c>
      <c r="J1454">
        <v>10453</v>
      </c>
      <c r="K1454" t="s">
        <v>6074</v>
      </c>
      <c r="L1454" t="s">
        <v>6074</v>
      </c>
      <c r="N1454" t="s">
        <v>7279</v>
      </c>
      <c r="O1454" t="s">
        <v>7311</v>
      </c>
      <c r="Q1454" t="s">
        <v>7322</v>
      </c>
      <c r="R1454" t="s">
        <v>6074</v>
      </c>
      <c r="S1454" t="s">
        <v>7324</v>
      </c>
      <c r="U1454" t="s">
        <v>457</v>
      </c>
      <c r="V1454">
        <v>1270</v>
      </c>
      <c r="W1454" t="s">
        <v>7363</v>
      </c>
      <c r="X1454" t="s">
        <v>7376</v>
      </c>
      <c r="Z1454" t="s">
        <v>8526</v>
      </c>
      <c r="AC1454">
        <v>170</v>
      </c>
      <c r="AD1454" t="s">
        <v>12422</v>
      </c>
      <c r="AE1454" t="s">
        <v>12434</v>
      </c>
      <c r="AF1454">
        <v>8</v>
      </c>
      <c r="AG1454">
        <v>1</v>
      </c>
      <c r="AH1454">
        <v>0</v>
      </c>
      <c r="AI1454">
        <v>84.36</v>
      </c>
      <c r="AL1454" t="s">
        <v>12461</v>
      </c>
      <c r="AM1454">
        <v>10536</v>
      </c>
      <c r="AS1454">
        <v>0</v>
      </c>
      <c r="AU1454" t="s">
        <v>13095</v>
      </c>
    </row>
    <row r="1455" spans="1:48">
      <c r="A1455" s="1">
        <f>HYPERLINK("https://cms.ls-nyc.org/matter/dynamic-profile/view/1891344","19-1891344")</f>
        <v>0</v>
      </c>
      <c r="B1455" t="s">
        <v>96</v>
      </c>
      <c r="C1455" t="s">
        <v>261</v>
      </c>
      <c r="E1455" t="s">
        <v>767</v>
      </c>
      <c r="F1455" t="s">
        <v>2285</v>
      </c>
      <c r="G1455" t="s">
        <v>3792</v>
      </c>
      <c r="H1455" t="s">
        <v>5717</v>
      </c>
      <c r="I1455" t="s">
        <v>6047</v>
      </c>
      <c r="J1455">
        <v>10453</v>
      </c>
      <c r="K1455" t="s">
        <v>6074</v>
      </c>
      <c r="L1455" t="s">
        <v>6074</v>
      </c>
      <c r="M1455" t="s">
        <v>6259</v>
      </c>
      <c r="N1455" t="s">
        <v>7273</v>
      </c>
      <c r="O1455" t="s">
        <v>7308</v>
      </c>
      <c r="Q1455" t="s">
        <v>7322</v>
      </c>
      <c r="R1455" t="s">
        <v>6074</v>
      </c>
      <c r="S1455" t="s">
        <v>7324</v>
      </c>
      <c r="U1455" t="s">
        <v>457</v>
      </c>
      <c r="V1455">
        <v>1270</v>
      </c>
      <c r="W1455" t="s">
        <v>7363</v>
      </c>
      <c r="X1455" t="s">
        <v>7376</v>
      </c>
      <c r="Z1455" t="s">
        <v>8526</v>
      </c>
      <c r="AC1455">
        <v>170</v>
      </c>
      <c r="AD1455" t="s">
        <v>12422</v>
      </c>
      <c r="AE1455" t="s">
        <v>12434</v>
      </c>
      <c r="AF1455">
        <v>8</v>
      </c>
      <c r="AG1455">
        <v>1</v>
      </c>
      <c r="AH1455">
        <v>0</v>
      </c>
      <c r="AI1455">
        <v>84.36</v>
      </c>
      <c r="AL1455" t="s">
        <v>12461</v>
      </c>
      <c r="AM1455">
        <v>10536</v>
      </c>
      <c r="AS1455">
        <v>0</v>
      </c>
      <c r="AU1455" t="s">
        <v>13095</v>
      </c>
    </row>
    <row r="1456" spans="1:48">
      <c r="A1456" s="1">
        <f>HYPERLINK("https://cms.ls-nyc.org/matter/dynamic-profile/view/1890302","19-1890302")</f>
        <v>0</v>
      </c>
      <c r="B1456" t="s">
        <v>97</v>
      </c>
      <c r="C1456" t="s">
        <v>358</v>
      </c>
      <c r="D1456" t="s">
        <v>356</v>
      </c>
      <c r="E1456" t="s">
        <v>737</v>
      </c>
      <c r="F1456" t="s">
        <v>2204</v>
      </c>
      <c r="G1456" t="s">
        <v>4547</v>
      </c>
      <c r="H1456" t="s">
        <v>5385</v>
      </c>
      <c r="I1456" t="s">
        <v>6047</v>
      </c>
      <c r="J1456">
        <v>10452</v>
      </c>
      <c r="K1456" t="s">
        <v>6074</v>
      </c>
      <c r="L1456" t="s">
        <v>6074</v>
      </c>
      <c r="N1456" t="s">
        <v>6104</v>
      </c>
      <c r="O1456" t="s">
        <v>7306</v>
      </c>
      <c r="P1456" t="s">
        <v>7314</v>
      </c>
      <c r="Q1456" t="s">
        <v>7322</v>
      </c>
      <c r="R1456" t="s">
        <v>6076</v>
      </c>
      <c r="S1456" t="s">
        <v>7324</v>
      </c>
      <c r="U1456" t="s">
        <v>358</v>
      </c>
      <c r="V1456">
        <v>786.4</v>
      </c>
      <c r="W1456" t="s">
        <v>7363</v>
      </c>
      <c r="X1456" t="s">
        <v>7376</v>
      </c>
      <c r="Y1456" t="s">
        <v>7386</v>
      </c>
      <c r="Z1456" t="s">
        <v>8527</v>
      </c>
      <c r="AC1456">
        <v>72</v>
      </c>
      <c r="AD1456" t="s">
        <v>12422</v>
      </c>
      <c r="AE1456" t="s">
        <v>12434</v>
      </c>
      <c r="AF1456">
        <v>33</v>
      </c>
      <c r="AG1456">
        <v>1</v>
      </c>
      <c r="AH1456">
        <v>0</v>
      </c>
      <c r="AI1456">
        <v>84.36</v>
      </c>
      <c r="AL1456" t="s">
        <v>12461</v>
      </c>
      <c r="AM1456">
        <v>10536</v>
      </c>
      <c r="AS1456">
        <v>1.3</v>
      </c>
      <c r="AT1456" t="s">
        <v>356</v>
      </c>
      <c r="AU1456" t="s">
        <v>97</v>
      </c>
    </row>
    <row r="1457" spans="1:48">
      <c r="A1457" s="1">
        <f>HYPERLINK("https://cms.ls-nyc.org/matter/dynamic-profile/view/1892617","19-1892617")</f>
        <v>0</v>
      </c>
      <c r="B1457" t="s">
        <v>81</v>
      </c>
      <c r="C1457" t="s">
        <v>277</v>
      </c>
      <c r="E1457" t="s">
        <v>1268</v>
      </c>
      <c r="F1457" t="s">
        <v>2194</v>
      </c>
      <c r="G1457" t="s">
        <v>4398</v>
      </c>
      <c r="H1457">
        <v>2</v>
      </c>
      <c r="I1457" t="s">
        <v>6043</v>
      </c>
      <c r="J1457">
        <v>11206</v>
      </c>
      <c r="K1457" t="s">
        <v>6074</v>
      </c>
      <c r="L1457" t="s">
        <v>6074</v>
      </c>
      <c r="N1457" t="s">
        <v>7273</v>
      </c>
      <c r="O1457" t="s">
        <v>7308</v>
      </c>
      <c r="Q1457" t="s">
        <v>7322</v>
      </c>
      <c r="R1457" t="s">
        <v>6076</v>
      </c>
      <c r="S1457" t="s">
        <v>7324</v>
      </c>
      <c r="U1457" t="s">
        <v>337</v>
      </c>
      <c r="V1457">
        <v>0</v>
      </c>
      <c r="W1457" t="s">
        <v>7362</v>
      </c>
      <c r="Z1457" t="s">
        <v>8310</v>
      </c>
      <c r="AB1457" t="s">
        <v>11081</v>
      </c>
      <c r="AC1457">
        <v>0</v>
      </c>
      <c r="AF1457">
        <v>0</v>
      </c>
      <c r="AG1457">
        <v>2</v>
      </c>
      <c r="AH1457">
        <v>1</v>
      </c>
      <c r="AI1457">
        <v>84.39</v>
      </c>
      <c r="AL1457" t="s">
        <v>12461</v>
      </c>
      <c r="AM1457">
        <v>18000</v>
      </c>
      <c r="AS1457">
        <v>7.8</v>
      </c>
      <c r="AT1457" t="s">
        <v>280</v>
      </c>
      <c r="AU1457" t="s">
        <v>88</v>
      </c>
    </row>
    <row r="1458" spans="1:48">
      <c r="A1458" s="1">
        <f>HYPERLINK("https://cms.ls-nyc.org/matter/dynamic-profile/view/1874975","18-1874975")</f>
        <v>0</v>
      </c>
      <c r="B1458" t="s">
        <v>50</v>
      </c>
      <c r="C1458" t="s">
        <v>262</v>
      </c>
      <c r="D1458" t="s">
        <v>233</v>
      </c>
      <c r="E1458" t="s">
        <v>1376</v>
      </c>
      <c r="F1458" t="s">
        <v>2848</v>
      </c>
      <c r="G1458" t="s">
        <v>4548</v>
      </c>
      <c r="H1458">
        <v>905</v>
      </c>
      <c r="I1458" t="s">
        <v>6065</v>
      </c>
      <c r="J1458">
        <v>11415</v>
      </c>
      <c r="K1458" t="s">
        <v>6074</v>
      </c>
      <c r="L1458" t="s">
        <v>6074</v>
      </c>
      <c r="M1458" t="s">
        <v>6705</v>
      </c>
      <c r="N1458" t="s">
        <v>7274</v>
      </c>
      <c r="O1458" t="s">
        <v>7306</v>
      </c>
      <c r="P1458" t="s">
        <v>7314</v>
      </c>
      <c r="Q1458" t="s">
        <v>7322</v>
      </c>
      <c r="R1458" t="s">
        <v>6076</v>
      </c>
      <c r="S1458" t="s">
        <v>7324</v>
      </c>
      <c r="T1458" t="s">
        <v>7339</v>
      </c>
      <c r="U1458" t="s">
        <v>262</v>
      </c>
      <c r="V1458">
        <v>633</v>
      </c>
      <c r="W1458" t="s">
        <v>7361</v>
      </c>
      <c r="X1458" t="s">
        <v>7366</v>
      </c>
      <c r="Y1458" t="s">
        <v>7386</v>
      </c>
      <c r="Z1458" t="s">
        <v>8528</v>
      </c>
      <c r="AA1458" t="s">
        <v>10154</v>
      </c>
      <c r="AB1458" t="s">
        <v>11273</v>
      </c>
      <c r="AC1458">
        <v>100</v>
      </c>
      <c r="AD1458" t="s">
        <v>12423</v>
      </c>
      <c r="AE1458" t="s">
        <v>6110</v>
      </c>
      <c r="AF1458">
        <v>29</v>
      </c>
      <c r="AG1458">
        <v>1</v>
      </c>
      <c r="AH1458">
        <v>0</v>
      </c>
      <c r="AI1458">
        <v>84.42</v>
      </c>
      <c r="AL1458" t="s">
        <v>12460</v>
      </c>
      <c r="AM1458">
        <v>10248</v>
      </c>
      <c r="AS1458">
        <v>1.75</v>
      </c>
      <c r="AT1458" t="s">
        <v>233</v>
      </c>
      <c r="AU1458" t="s">
        <v>189</v>
      </c>
    </row>
    <row r="1459" spans="1:48">
      <c r="A1459" s="1">
        <f>HYPERLINK("https://cms.ls-nyc.org/matter/dynamic-profile/view/0832363","17-0832363")</f>
        <v>0</v>
      </c>
      <c r="B1459" t="s">
        <v>128</v>
      </c>
      <c r="C1459" t="s">
        <v>500</v>
      </c>
      <c r="D1459" t="s">
        <v>344</v>
      </c>
      <c r="E1459" t="s">
        <v>762</v>
      </c>
      <c r="F1459" t="s">
        <v>1977</v>
      </c>
      <c r="G1459" t="s">
        <v>4549</v>
      </c>
      <c r="H1459">
        <v>53</v>
      </c>
      <c r="I1459" t="s">
        <v>6049</v>
      </c>
      <c r="J1459">
        <v>10034</v>
      </c>
      <c r="K1459" t="s">
        <v>6074</v>
      </c>
      <c r="L1459" t="s">
        <v>6074</v>
      </c>
      <c r="N1459" t="s">
        <v>6104</v>
      </c>
      <c r="O1459" t="s">
        <v>7307</v>
      </c>
      <c r="P1459" t="s">
        <v>7315</v>
      </c>
      <c r="Q1459" t="s">
        <v>7322</v>
      </c>
      <c r="R1459" t="s">
        <v>6076</v>
      </c>
      <c r="S1459" t="s">
        <v>7324</v>
      </c>
      <c r="U1459" t="s">
        <v>7343</v>
      </c>
      <c r="V1459">
        <v>310.58</v>
      </c>
      <c r="W1459" t="s">
        <v>7365</v>
      </c>
      <c r="X1459" t="s">
        <v>7381</v>
      </c>
      <c r="Y1459" t="s">
        <v>7387</v>
      </c>
      <c r="Z1459" t="s">
        <v>8529</v>
      </c>
      <c r="AC1459">
        <v>20</v>
      </c>
      <c r="AD1459" t="s">
        <v>12425</v>
      </c>
      <c r="AE1459" t="s">
        <v>12441</v>
      </c>
      <c r="AF1459">
        <v>39</v>
      </c>
      <c r="AG1459">
        <v>1</v>
      </c>
      <c r="AH1459">
        <v>0</v>
      </c>
      <c r="AI1459">
        <v>84.48</v>
      </c>
      <c r="AL1459" t="s">
        <v>12461</v>
      </c>
      <c r="AM1459">
        <v>10188</v>
      </c>
      <c r="AS1459">
        <v>2.7</v>
      </c>
      <c r="AT1459" t="s">
        <v>13070</v>
      </c>
      <c r="AU1459" t="s">
        <v>13133</v>
      </c>
    </row>
    <row r="1460" spans="1:48">
      <c r="A1460" s="1">
        <f>HYPERLINK("https://cms.ls-nyc.org/matter/dynamic-profile/view/1891306","19-1891306")</f>
        <v>0</v>
      </c>
      <c r="B1460" t="s">
        <v>136</v>
      </c>
      <c r="C1460" t="s">
        <v>287</v>
      </c>
      <c r="E1460" t="s">
        <v>1313</v>
      </c>
      <c r="F1460" t="s">
        <v>2774</v>
      </c>
      <c r="G1460" t="s">
        <v>4458</v>
      </c>
      <c r="H1460" t="s">
        <v>5686</v>
      </c>
      <c r="I1460" t="s">
        <v>6049</v>
      </c>
      <c r="J1460">
        <v>10029</v>
      </c>
      <c r="K1460" t="s">
        <v>6074</v>
      </c>
      <c r="L1460" t="s">
        <v>6074</v>
      </c>
      <c r="N1460" t="s">
        <v>6104</v>
      </c>
      <c r="O1460" t="s">
        <v>7310</v>
      </c>
      <c r="Q1460" t="s">
        <v>7322</v>
      </c>
      <c r="R1460" t="s">
        <v>6076</v>
      </c>
      <c r="S1460" t="s">
        <v>7324</v>
      </c>
      <c r="T1460" t="s">
        <v>7336</v>
      </c>
      <c r="U1460" t="s">
        <v>278</v>
      </c>
      <c r="V1460">
        <v>1500</v>
      </c>
      <c r="W1460" t="s">
        <v>7365</v>
      </c>
      <c r="X1460" t="s">
        <v>7367</v>
      </c>
      <c r="Z1460" t="s">
        <v>8392</v>
      </c>
      <c r="AB1460" t="s">
        <v>11152</v>
      </c>
      <c r="AC1460">
        <v>8</v>
      </c>
      <c r="AD1460" t="s">
        <v>6322</v>
      </c>
      <c r="AE1460" t="s">
        <v>6110</v>
      </c>
      <c r="AF1460">
        <v>18</v>
      </c>
      <c r="AG1460">
        <v>1</v>
      </c>
      <c r="AH1460">
        <v>0</v>
      </c>
      <c r="AI1460">
        <v>84.55</v>
      </c>
      <c r="AL1460" t="s">
        <v>12461</v>
      </c>
      <c r="AM1460">
        <v>10560</v>
      </c>
      <c r="AS1460">
        <v>5.5</v>
      </c>
      <c r="AT1460" t="s">
        <v>279</v>
      </c>
      <c r="AU1460" t="s">
        <v>13090</v>
      </c>
    </row>
    <row r="1461" spans="1:48">
      <c r="A1461" s="1">
        <f>HYPERLINK("https://cms.ls-nyc.org/matter/dynamic-profile/view/1901257","19-1901257")</f>
        <v>0</v>
      </c>
      <c r="B1461" t="s">
        <v>200</v>
      </c>
      <c r="C1461" t="s">
        <v>496</v>
      </c>
      <c r="E1461" t="s">
        <v>1165</v>
      </c>
      <c r="F1461" t="s">
        <v>2849</v>
      </c>
      <c r="G1461" t="s">
        <v>4550</v>
      </c>
      <c r="H1461" t="s">
        <v>5358</v>
      </c>
      <c r="I1461" t="s">
        <v>6049</v>
      </c>
      <c r="J1461">
        <v>10023</v>
      </c>
      <c r="K1461" t="s">
        <v>6074</v>
      </c>
      <c r="L1461" t="s">
        <v>6075</v>
      </c>
      <c r="M1461" t="s">
        <v>6706</v>
      </c>
      <c r="N1461" t="s">
        <v>7276</v>
      </c>
      <c r="O1461" t="s">
        <v>7310</v>
      </c>
      <c r="Q1461" t="s">
        <v>7322</v>
      </c>
      <c r="R1461" t="s">
        <v>6076</v>
      </c>
      <c r="S1461" t="s">
        <v>7324</v>
      </c>
      <c r="T1461" t="s">
        <v>7336</v>
      </c>
      <c r="U1461" t="s">
        <v>496</v>
      </c>
      <c r="V1461">
        <v>364.74</v>
      </c>
      <c r="W1461" t="s">
        <v>7365</v>
      </c>
      <c r="X1461" t="s">
        <v>7378</v>
      </c>
      <c r="Z1461" t="s">
        <v>8530</v>
      </c>
      <c r="AB1461" t="s">
        <v>11274</v>
      </c>
      <c r="AC1461">
        <v>0</v>
      </c>
      <c r="AD1461" t="s">
        <v>12422</v>
      </c>
      <c r="AE1461" t="s">
        <v>6110</v>
      </c>
      <c r="AF1461">
        <v>44</v>
      </c>
      <c r="AG1461">
        <v>1</v>
      </c>
      <c r="AH1461">
        <v>0</v>
      </c>
      <c r="AI1461">
        <v>84.64</v>
      </c>
      <c r="AL1461" t="s">
        <v>12460</v>
      </c>
      <c r="AM1461">
        <v>10572</v>
      </c>
      <c r="AS1461">
        <v>0</v>
      </c>
      <c r="AU1461" t="s">
        <v>13107</v>
      </c>
      <c r="AV1461" t="s">
        <v>13145</v>
      </c>
    </row>
    <row r="1462" spans="1:48">
      <c r="A1462" s="1">
        <f>HYPERLINK("https://cms.ls-nyc.org/matter/dynamic-profile/view/1871668","18-1871668")</f>
        <v>0</v>
      </c>
      <c r="B1462" t="s">
        <v>68</v>
      </c>
      <c r="C1462" t="s">
        <v>453</v>
      </c>
      <c r="E1462" t="s">
        <v>1377</v>
      </c>
      <c r="F1462" t="s">
        <v>2850</v>
      </c>
      <c r="G1462" t="s">
        <v>4551</v>
      </c>
      <c r="H1462" t="s">
        <v>5718</v>
      </c>
      <c r="I1462" t="s">
        <v>6043</v>
      </c>
      <c r="J1462">
        <v>11239</v>
      </c>
      <c r="K1462" t="s">
        <v>6074</v>
      </c>
      <c r="L1462" t="s">
        <v>6074</v>
      </c>
      <c r="M1462" t="s">
        <v>6707</v>
      </c>
      <c r="N1462" t="s">
        <v>7274</v>
      </c>
      <c r="O1462" t="s">
        <v>7308</v>
      </c>
      <c r="Q1462" t="s">
        <v>7322</v>
      </c>
      <c r="R1462" t="s">
        <v>6076</v>
      </c>
      <c r="S1462" t="s">
        <v>7324</v>
      </c>
      <c r="U1462" t="s">
        <v>231</v>
      </c>
      <c r="V1462">
        <v>0</v>
      </c>
      <c r="W1462" t="s">
        <v>7362</v>
      </c>
      <c r="X1462" t="s">
        <v>7366</v>
      </c>
      <c r="Z1462" t="s">
        <v>8531</v>
      </c>
      <c r="AB1462" t="s">
        <v>11275</v>
      </c>
      <c r="AC1462">
        <v>1463</v>
      </c>
      <c r="AD1462" t="s">
        <v>12420</v>
      </c>
      <c r="AE1462" t="s">
        <v>12434</v>
      </c>
      <c r="AF1462">
        <v>43</v>
      </c>
      <c r="AG1462">
        <v>1</v>
      </c>
      <c r="AH1462">
        <v>0</v>
      </c>
      <c r="AI1462">
        <v>84.70999999999999</v>
      </c>
      <c r="AL1462" t="s">
        <v>12460</v>
      </c>
      <c r="AM1462">
        <v>10284</v>
      </c>
      <c r="AN1462" t="s">
        <v>12505</v>
      </c>
      <c r="AS1462">
        <v>38.42</v>
      </c>
      <c r="AT1462" t="s">
        <v>501</v>
      </c>
      <c r="AU1462" t="s">
        <v>13087</v>
      </c>
    </row>
    <row r="1463" spans="1:48">
      <c r="A1463" s="1">
        <f>HYPERLINK("https://cms.ls-nyc.org/matter/dynamic-profile/view/1877831","18-1877831")</f>
        <v>0</v>
      </c>
      <c r="B1463" t="s">
        <v>92</v>
      </c>
      <c r="C1463" t="s">
        <v>291</v>
      </c>
      <c r="D1463" t="s">
        <v>496</v>
      </c>
      <c r="E1463" t="s">
        <v>1378</v>
      </c>
      <c r="F1463" t="s">
        <v>2851</v>
      </c>
      <c r="G1463" t="s">
        <v>4065</v>
      </c>
      <c r="H1463" t="s">
        <v>5719</v>
      </c>
      <c r="I1463" t="s">
        <v>6043</v>
      </c>
      <c r="J1463">
        <v>11221</v>
      </c>
      <c r="K1463" t="s">
        <v>6074</v>
      </c>
      <c r="L1463" t="s">
        <v>6074</v>
      </c>
      <c r="N1463" t="s">
        <v>6104</v>
      </c>
      <c r="O1463" t="s">
        <v>7307</v>
      </c>
      <c r="P1463" t="s">
        <v>7315</v>
      </c>
      <c r="Q1463" t="s">
        <v>7322</v>
      </c>
      <c r="R1463" t="s">
        <v>6074</v>
      </c>
      <c r="S1463" t="s">
        <v>7324</v>
      </c>
      <c r="U1463" t="s">
        <v>273</v>
      </c>
      <c r="V1463">
        <v>1500</v>
      </c>
      <c r="W1463" t="s">
        <v>7362</v>
      </c>
      <c r="X1463" t="s">
        <v>7375</v>
      </c>
      <c r="Y1463" t="s">
        <v>7387</v>
      </c>
      <c r="Z1463" t="s">
        <v>7504</v>
      </c>
      <c r="AB1463" t="s">
        <v>11276</v>
      </c>
      <c r="AC1463">
        <v>54</v>
      </c>
      <c r="AD1463" t="s">
        <v>12421</v>
      </c>
      <c r="AE1463" t="s">
        <v>7305</v>
      </c>
      <c r="AF1463">
        <v>12</v>
      </c>
      <c r="AG1463">
        <v>1</v>
      </c>
      <c r="AH1463">
        <v>0</v>
      </c>
      <c r="AI1463">
        <v>84.70999999999999</v>
      </c>
      <c r="AL1463" t="s">
        <v>12461</v>
      </c>
      <c r="AM1463">
        <v>10284</v>
      </c>
      <c r="AN1463" t="s">
        <v>12591</v>
      </c>
      <c r="AS1463">
        <v>2.2</v>
      </c>
      <c r="AT1463" t="s">
        <v>358</v>
      </c>
      <c r="AU1463" t="s">
        <v>218</v>
      </c>
      <c r="AV1463" t="s">
        <v>13145</v>
      </c>
    </row>
    <row r="1464" spans="1:48">
      <c r="A1464" s="1">
        <f>HYPERLINK("https://cms.ls-nyc.org/matter/dynamic-profile/view/1883471","18-1883471")</f>
        <v>0</v>
      </c>
      <c r="B1464" t="s">
        <v>76</v>
      </c>
      <c r="C1464" t="s">
        <v>320</v>
      </c>
      <c r="E1464" t="s">
        <v>598</v>
      </c>
      <c r="F1464" t="s">
        <v>2852</v>
      </c>
      <c r="G1464" t="s">
        <v>3922</v>
      </c>
      <c r="H1464" t="s">
        <v>5355</v>
      </c>
      <c r="I1464" t="s">
        <v>6043</v>
      </c>
      <c r="J1464">
        <v>11208</v>
      </c>
      <c r="K1464" t="s">
        <v>6074</v>
      </c>
      <c r="L1464" t="s">
        <v>6074</v>
      </c>
      <c r="M1464" t="s">
        <v>6708</v>
      </c>
      <c r="N1464" t="s">
        <v>7276</v>
      </c>
      <c r="O1464" t="s">
        <v>7308</v>
      </c>
      <c r="Q1464" t="s">
        <v>7322</v>
      </c>
      <c r="S1464" t="s">
        <v>7324</v>
      </c>
      <c r="U1464" t="s">
        <v>408</v>
      </c>
      <c r="V1464">
        <v>1375</v>
      </c>
      <c r="W1464" t="s">
        <v>7362</v>
      </c>
      <c r="X1464" t="s">
        <v>7366</v>
      </c>
      <c r="Z1464" t="s">
        <v>8532</v>
      </c>
      <c r="AA1464" t="s">
        <v>10155</v>
      </c>
      <c r="AB1464" t="s">
        <v>11277</v>
      </c>
      <c r="AC1464">
        <v>56</v>
      </c>
      <c r="AD1464" t="s">
        <v>12422</v>
      </c>
      <c r="AF1464">
        <v>9</v>
      </c>
      <c r="AG1464">
        <v>1</v>
      </c>
      <c r="AH1464">
        <v>0</v>
      </c>
      <c r="AI1464">
        <v>84.70999999999999</v>
      </c>
      <c r="AL1464" t="s">
        <v>12460</v>
      </c>
      <c r="AM1464">
        <v>10284</v>
      </c>
      <c r="AN1464" t="s">
        <v>12508</v>
      </c>
      <c r="AS1464">
        <v>34.4</v>
      </c>
      <c r="AT1464" t="s">
        <v>423</v>
      </c>
      <c r="AU1464" t="s">
        <v>13084</v>
      </c>
    </row>
    <row r="1465" spans="1:48">
      <c r="A1465" s="1">
        <f>HYPERLINK("https://cms.ls-nyc.org/matter/dynamic-profile/view/1887013","19-1887013")</f>
        <v>0</v>
      </c>
      <c r="B1465" t="s">
        <v>113</v>
      </c>
      <c r="C1465" t="s">
        <v>410</v>
      </c>
      <c r="E1465" t="s">
        <v>656</v>
      </c>
      <c r="F1465" t="s">
        <v>1396</v>
      </c>
      <c r="G1465" t="s">
        <v>3932</v>
      </c>
      <c r="H1465" t="s">
        <v>5564</v>
      </c>
      <c r="I1465" t="s">
        <v>6047</v>
      </c>
      <c r="J1465">
        <v>10459</v>
      </c>
      <c r="K1465" t="s">
        <v>6074</v>
      </c>
      <c r="L1465" t="s">
        <v>6074</v>
      </c>
      <c r="N1465" t="s">
        <v>7273</v>
      </c>
      <c r="O1465" t="s">
        <v>7308</v>
      </c>
      <c r="Q1465" t="s">
        <v>7322</v>
      </c>
      <c r="R1465" t="s">
        <v>6074</v>
      </c>
      <c r="S1465" t="s">
        <v>7324</v>
      </c>
      <c r="U1465" t="s">
        <v>267</v>
      </c>
      <c r="V1465">
        <v>1200</v>
      </c>
      <c r="W1465" t="s">
        <v>7363</v>
      </c>
      <c r="X1465" t="s">
        <v>7376</v>
      </c>
      <c r="Z1465" t="s">
        <v>8533</v>
      </c>
      <c r="AB1465" t="s">
        <v>11278</v>
      </c>
      <c r="AC1465">
        <v>48</v>
      </c>
      <c r="AD1465" t="s">
        <v>12422</v>
      </c>
      <c r="AE1465" t="s">
        <v>12434</v>
      </c>
      <c r="AF1465">
        <v>31</v>
      </c>
      <c r="AG1465">
        <v>1</v>
      </c>
      <c r="AH1465">
        <v>0</v>
      </c>
      <c r="AI1465">
        <v>84.70999999999999</v>
      </c>
      <c r="AL1465" t="s">
        <v>12460</v>
      </c>
      <c r="AM1465">
        <v>10284</v>
      </c>
      <c r="AS1465">
        <v>61.2</v>
      </c>
      <c r="AT1465" t="s">
        <v>564</v>
      </c>
      <c r="AU1465" t="s">
        <v>13095</v>
      </c>
    </row>
    <row r="1466" spans="1:48">
      <c r="A1466" s="1">
        <f>HYPERLINK("https://cms.ls-nyc.org/matter/dynamic-profile/view/1882290","18-1882290")</f>
        <v>0</v>
      </c>
      <c r="B1466" t="s">
        <v>103</v>
      </c>
      <c r="C1466" t="s">
        <v>360</v>
      </c>
      <c r="E1466" t="s">
        <v>1280</v>
      </c>
      <c r="F1466" t="s">
        <v>2083</v>
      </c>
      <c r="G1466" t="s">
        <v>3810</v>
      </c>
      <c r="H1466" t="s">
        <v>5720</v>
      </c>
      <c r="I1466" t="s">
        <v>6047</v>
      </c>
      <c r="J1466">
        <v>10451</v>
      </c>
      <c r="K1466" t="s">
        <v>6074</v>
      </c>
      <c r="L1466" t="s">
        <v>6074</v>
      </c>
      <c r="M1466" t="s">
        <v>6201</v>
      </c>
      <c r="N1466" t="s">
        <v>7273</v>
      </c>
      <c r="O1466" t="s">
        <v>7308</v>
      </c>
      <c r="Q1466" t="s">
        <v>7322</v>
      </c>
      <c r="R1466" t="s">
        <v>6074</v>
      </c>
      <c r="S1466" t="s">
        <v>7324</v>
      </c>
      <c r="U1466" t="s">
        <v>472</v>
      </c>
      <c r="V1466">
        <v>1212.06</v>
      </c>
      <c r="W1466" t="s">
        <v>7363</v>
      </c>
      <c r="X1466" t="s">
        <v>7376</v>
      </c>
      <c r="Z1466" t="s">
        <v>8337</v>
      </c>
      <c r="AB1466" t="s">
        <v>11105</v>
      </c>
      <c r="AC1466">
        <v>100</v>
      </c>
      <c r="AD1466" t="s">
        <v>12422</v>
      </c>
      <c r="AE1466" t="s">
        <v>6110</v>
      </c>
      <c r="AF1466">
        <v>11</v>
      </c>
      <c r="AG1466">
        <v>1</v>
      </c>
      <c r="AH1466">
        <v>0</v>
      </c>
      <c r="AI1466">
        <v>84.70999999999999</v>
      </c>
      <c r="AL1466" t="s">
        <v>12461</v>
      </c>
      <c r="AM1466">
        <v>10284</v>
      </c>
      <c r="AS1466">
        <v>4.3</v>
      </c>
      <c r="AT1466" t="s">
        <v>395</v>
      </c>
      <c r="AU1466" t="s">
        <v>13095</v>
      </c>
    </row>
    <row r="1467" spans="1:48">
      <c r="A1467" s="1">
        <f>HYPERLINK("https://cms.ls-nyc.org/matter/dynamic-profile/view/1900152","19-1900152")</f>
        <v>0</v>
      </c>
      <c r="B1467" t="s">
        <v>117</v>
      </c>
      <c r="C1467" t="s">
        <v>501</v>
      </c>
      <c r="E1467" t="s">
        <v>619</v>
      </c>
      <c r="F1467" t="s">
        <v>2853</v>
      </c>
      <c r="G1467" t="s">
        <v>4552</v>
      </c>
      <c r="H1467" t="s">
        <v>5721</v>
      </c>
      <c r="I1467" t="s">
        <v>6048</v>
      </c>
      <c r="J1467">
        <v>10304</v>
      </c>
      <c r="K1467" t="s">
        <v>6074</v>
      </c>
      <c r="L1467" t="s">
        <v>6075</v>
      </c>
      <c r="M1467" t="s">
        <v>6709</v>
      </c>
      <c r="N1467" t="s">
        <v>7274</v>
      </c>
      <c r="O1467" t="s">
        <v>7308</v>
      </c>
      <c r="Q1467" t="s">
        <v>7322</v>
      </c>
      <c r="R1467" t="s">
        <v>6076</v>
      </c>
      <c r="S1467" t="s">
        <v>7324</v>
      </c>
      <c r="T1467" t="s">
        <v>7336</v>
      </c>
      <c r="U1467" t="s">
        <v>501</v>
      </c>
      <c r="V1467">
        <v>2000</v>
      </c>
      <c r="W1467" t="s">
        <v>7364</v>
      </c>
      <c r="X1467" t="s">
        <v>7374</v>
      </c>
      <c r="Z1467" t="s">
        <v>8534</v>
      </c>
      <c r="AB1467" t="s">
        <v>11279</v>
      </c>
      <c r="AC1467">
        <v>5</v>
      </c>
      <c r="AD1467" t="s">
        <v>12419</v>
      </c>
      <c r="AF1467">
        <v>-1</v>
      </c>
      <c r="AG1467">
        <v>3</v>
      </c>
      <c r="AH1467">
        <v>1</v>
      </c>
      <c r="AI1467">
        <v>84.81999999999999</v>
      </c>
      <c r="AL1467" t="s">
        <v>12460</v>
      </c>
      <c r="AM1467">
        <v>21840</v>
      </c>
      <c r="AS1467">
        <v>2.2</v>
      </c>
      <c r="AT1467" t="s">
        <v>324</v>
      </c>
      <c r="AU1467" t="s">
        <v>13101</v>
      </c>
      <c r="AV1467" t="s">
        <v>13145</v>
      </c>
    </row>
    <row r="1468" spans="1:48">
      <c r="A1468" s="1">
        <f>HYPERLINK("https://cms.ls-nyc.org/matter/dynamic-profile/view/1880606","18-1880606")</f>
        <v>0</v>
      </c>
      <c r="B1468" t="s">
        <v>96</v>
      </c>
      <c r="C1468" t="s">
        <v>360</v>
      </c>
      <c r="E1468" t="s">
        <v>1379</v>
      </c>
      <c r="F1468" t="s">
        <v>2854</v>
      </c>
      <c r="G1468" t="s">
        <v>4152</v>
      </c>
      <c r="H1468" t="s">
        <v>5355</v>
      </c>
      <c r="I1468" t="s">
        <v>6047</v>
      </c>
      <c r="J1468">
        <v>10456</v>
      </c>
      <c r="K1468" t="s">
        <v>6074</v>
      </c>
      <c r="L1468" t="s">
        <v>6074</v>
      </c>
      <c r="M1468" t="s">
        <v>6498</v>
      </c>
      <c r="N1468" t="s">
        <v>7279</v>
      </c>
      <c r="O1468" t="s">
        <v>7311</v>
      </c>
      <c r="Q1468" t="s">
        <v>7322</v>
      </c>
      <c r="R1468" t="s">
        <v>6074</v>
      </c>
      <c r="S1468" t="s">
        <v>7324</v>
      </c>
      <c r="U1468" t="s">
        <v>257</v>
      </c>
      <c r="V1468">
        <v>998</v>
      </c>
      <c r="W1468" t="s">
        <v>7363</v>
      </c>
      <c r="X1468" t="s">
        <v>7376</v>
      </c>
      <c r="Z1468" t="s">
        <v>8535</v>
      </c>
      <c r="AB1468" t="s">
        <v>11280</v>
      </c>
      <c r="AC1468">
        <v>61</v>
      </c>
      <c r="AD1468" t="s">
        <v>12422</v>
      </c>
      <c r="AE1468" t="s">
        <v>12438</v>
      </c>
      <c r="AF1468">
        <v>12</v>
      </c>
      <c r="AG1468">
        <v>1</v>
      </c>
      <c r="AH1468">
        <v>2</v>
      </c>
      <c r="AI1468">
        <v>84.87</v>
      </c>
      <c r="AL1468" t="s">
        <v>12461</v>
      </c>
      <c r="AM1468">
        <v>17636</v>
      </c>
      <c r="AS1468">
        <v>0</v>
      </c>
      <c r="AU1468" t="s">
        <v>13092</v>
      </c>
    </row>
    <row r="1469" spans="1:48">
      <c r="A1469" s="1">
        <f>HYPERLINK("https://cms.ls-nyc.org/matter/dynamic-profile/view/1874415","18-1874415")</f>
        <v>0</v>
      </c>
      <c r="B1469" t="s">
        <v>115</v>
      </c>
      <c r="C1469" t="s">
        <v>236</v>
      </c>
      <c r="E1469" t="s">
        <v>1380</v>
      </c>
      <c r="F1469" t="s">
        <v>2855</v>
      </c>
      <c r="G1469" t="s">
        <v>4553</v>
      </c>
      <c r="H1469" t="s">
        <v>5416</v>
      </c>
      <c r="I1469" t="s">
        <v>6047</v>
      </c>
      <c r="J1469">
        <v>10452</v>
      </c>
      <c r="K1469" t="s">
        <v>6074</v>
      </c>
      <c r="L1469" t="s">
        <v>6074</v>
      </c>
      <c r="M1469" t="s">
        <v>6710</v>
      </c>
      <c r="N1469" t="s">
        <v>7276</v>
      </c>
      <c r="O1469" t="s">
        <v>7308</v>
      </c>
      <c r="Q1469" t="s">
        <v>7322</v>
      </c>
      <c r="R1469" t="s">
        <v>6076</v>
      </c>
      <c r="S1469" t="s">
        <v>7324</v>
      </c>
      <c r="T1469" t="s">
        <v>7336</v>
      </c>
      <c r="U1469" t="s">
        <v>258</v>
      </c>
      <c r="V1469">
        <v>1285</v>
      </c>
      <c r="W1469" t="s">
        <v>7363</v>
      </c>
      <c r="X1469" t="s">
        <v>7368</v>
      </c>
      <c r="Z1469" t="s">
        <v>8536</v>
      </c>
      <c r="AB1469" t="s">
        <v>11281</v>
      </c>
      <c r="AC1469">
        <v>71</v>
      </c>
      <c r="AD1469" t="s">
        <v>12422</v>
      </c>
      <c r="AE1469" t="s">
        <v>6110</v>
      </c>
      <c r="AF1469">
        <v>15</v>
      </c>
      <c r="AG1469">
        <v>1</v>
      </c>
      <c r="AH1469">
        <v>4</v>
      </c>
      <c r="AI1469">
        <v>84.95999999999999</v>
      </c>
      <c r="AL1469" t="s">
        <v>12474</v>
      </c>
      <c r="AM1469">
        <v>24996</v>
      </c>
      <c r="AS1469">
        <v>17.9</v>
      </c>
      <c r="AT1469" t="s">
        <v>451</v>
      </c>
      <c r="AU1469" t="s">
        <v>13113</v>
      </c>
    </row>
    <row r="1470" spans="1:48">
      <c r="A1470" s="1">
        <f>HYPERLINK("https://cms.ls-nyc.org/matter/dynamic-profile/view/1877981","18-1877981")</f>
        <v>0</v>
      </c>
      <c r="B1470" t="s">
        <v>60</v>
      </c>
      <c r="C1470" t="s">
        <v>244</v>
      </c>
      <c r="D1470" t="s">
        <v>443</v>
      </c>
      <c r="E1470" t="s">
        <v>1381</v>
      </c>
      <c r="F1470" t="s">
        <v>2856</v>
      </c>
      <c r="G1470" t="s">
        <v>4554</v>
      </c>
      <c r="H1470">
        <v>302</v>
      </c>
      <c r="I1470" t="s">
        <v>6024</v>
      </c>
      <c r="J1470">
        <v>11692</v>
      </c>
      <c r="K1470" t="s">
        <v>6074</v>
      </c>
      <c r="L1470" t="s">
        <v>6074</v>
      </c>
      <c r="M1470" t="s">
        <v>6711</v>
      </c>
      <c r="N1470" t="s">
        <v>7276</v>
      </c>
      <c r="O1470" t="s">
        <v>7306</v>
      </c>
      <c r="P1470" t="s">
        <v>7314</v>
      </c>
      <c r="Q1470" t="s">
        <v>7322</v>
      </c>
      <c r="R1470" t="s">
        <v>6076</v>
      </c>
      <c r="S1470" t="s">
        <v>7324</v>
      </c>
      <c r="T1470" t="s">
        <v>7336</v>
      </c>
      <c r="U1470" t="s">
        <v>244</v>
      </c>
      <c r="V1470">
        <v>2181</v>
      </c>
      <c r="W1470" t="s">
        <v>7361</v>
      </c>
      <c r="X1470" t="s">
        <v>7366</v>
      </c>
      <c r="Y1470" t="s">
        <v>7386</v>
      </c>
      <c r="Z1470" t="s">
        <v>8537</v>
      </c>
      <c r="AA1470" t="s">
        <v>10156</v>
      </c>
      <c r="AB1470" t="s">
        <v>11282</v>
      </c>
      <c r="AC1470">
        <v>10</v>
      </c>
      <c r="AD1470" t="s">
        <v>12423</v>
      </c>
      <c r="AE1470" t="s">
        <v>12434</v>
      </c>
      <c r="AF1470">
        <v>5</v>
      </c>
      <c r="AG1470">
        <v>1</v>
      </c>
      <c r="AH1470">
        <v>4</v>
      </c>
      <c r="AI1470">
        <v>84.98</v>
      </c>
      <c r="AL1470" t="s">
        <v>12460</v>
      </c>
      <c r="AM1470">
        <v>25000</v>
      </c>
      <c r="AS1470">
        <v>3.98</v>
      </c>
      <c r="AT1470" t="s">
        <v>443</v>
      </c>
      <c r="AU1470" t="s">
        <v>48</v>
      </c>
    </row>
    <row r="1471" spans="1:48">
      <c r="A1471" s="1">
        <f>HYPERLINK("https://cms.ls-nyc.org/matter/dynamic-profile/view/1878919","18-1878919")</f>
        <v>0</v>
      </c>
      <c r="B1471" t="s">
        <v>80</v>
      </c>
      <c r="C1471" t="s">
        <v>438</v>
      </c>
      <c r="E1471" t="s">
        <v>827</v>
      </c>
      <c r="F1471" t="s">
        <v>2832</v>
      </c>
      <c r="G1471" t="s">
        <v>4354</v>
      </c>
      <c r="H1471" t="s">
        <v>5357</v>
      </c>
      <c r="I1471" t="s">
        <v>6043</v>
      </c>
      <c r="J1471">
        <v>11221</v>
      </c>
      <c r="K1471" t="s">
        <v>6074</v>
      </c>
      <c r="L1471" t="s">
        <v>6074</v>
      </c>
      <c r="N1471" t="s">
        <v>7279</v>
      </c>
      <c r="O1471" t="s">
        <v>7311</v>
      </c>
      <c r="Q1471" t="s">
        <v>7322</v>
      </c>
      <c r="R1471" t="s">
        <v>6074</v>
      </c>
      <c r="S1471" t="s">
        <v>7324</v>
      </c>
      <c r="U1471" t="s">
        <v>396</v>
      </c>
      <c r="V1471">
        <v>336.58</v>
      </c>
      <c r="W1471" t="s">
        <v>7362</v>
      </c>
      <c r="X1471" t="s">
        <v>7376</v>
      </c>
      <c r="Z1471" t="s">
        <v>8490</v>
      </c>
      <c r="AA1471" t="s">
        <v>10147</v>
      </c>
      <c r="AB1471" t="s">
        <v>11242</v>
      </c>
      <c r="AC1471">
        <v>12</v>
      </c>
      <c r="AD1471" t="s">
        <v>12422</v>
      </c>
      <c r="AF1471">
        <v>8</v>
      </c>
      <c r="AG1471">
        <v>1</v>
      </c>
      <c r="AH1471">
        <v>1</v>
      </c>
      <c r="AI1471">
        <v>85.05</v>
      </c>
      <c r="AL1471" t="s">
        <v>12460</v>
      </c>
      <c r="AM1471">
        <v>14000</v>
      </c>
      <c r="AS1471">
        <v>0</v>
      </c>
      <c r="AU1471" t="s">
        <v>218</v>
      </c>
    </row>
    <row r="1472" spans="1:48">
      <c r="A1472" s="1">
        <f>HYPERLINK("https://cms.ls-nyc.org/matter/dynamic-profile/view/1878923","18-1878923")</f>
        <v>0</v>
      </c>
      <c r="B1472" t="s">
        <v>80</v>
      </c>
      <c r="C1472" t="s">
        <v>438</v>
      </c>
      <c r="E1472" t="s">
        <v>827</v>
      </c>
      <c r="F1472" t="s">
        <v>2832</v>
      </c>
      <c r="G1472" t="s">
        <v>4354</v>
      </c>
      <c r="H1472" t="s">
        <v>5357</v>
      </c>
      <c r="I1472" t="s">
        <v>6043</v>
      </c>
      <c r="J1472">
        <v>11221</v>
      </c>
      <c r="K1472" t="s">
        <v>6074</v>
      </c>
      <c r="L1472" t="s">
        <v>6074</v>
      </c>
      <c r="M1472" t="s">
        <v>6712</v>
      </c>
      <c r="N1472" t="s">
        <v>7273</v>
      </c>
      <c r="O1472" t="s">
        <v>7308</v>
      </c>
      <c r="Q1472" t="s">
        <v>7322</v>
      </c>
      <c r="R1472" t="s">
        <v>6074</v>
      </c>
      <c r="S1472" t="s">
        <v>7324</v>
      </c>
      <c r="T1472" t="s">
        <v>7336</v>
      </c>
      <c r="U1472" t="s">
        <v>396</v>
      </c>
      <c r="V1472">
        <v>336.58</v>
      </c>
      <c r="W1472" t="s">
        <v>7362</v>
      </c>
      <c r="X1472" t="s">
        <v>7376</v>
      </c>
      <c r="Z1472" t="s">
        <v>8490</v>
      </c>
      <c r="AA1472" t="s">
        <v>10147</v>
      </c>
      <c r="AB1472" t="s">
        <v>11242</v>
      </c>
      <c r="AC1472">
        <v>12</v>
      </c>
      <c r="AD1472" t="s">
        <v>12422</v>
      </c>
      <c r="AE1472" t="s">
        <v>6110</v>
      </c>
      <c r="AF1472">
        <v>8</v>
      </c>
      <c r="AG1472">
        <v>1</v>
      </c>
      <c r="AH1472">
        <v>1</v>
      </c>
      <c r="AI1472">
        <v>85.05</v>
      </c>
      <c r="AL1472" t="s">
        <v>12460</v>
      </c>
      <c r="AM1472">
        <v>14000</v>
      </c>
      <c r="AS1472">
        <v>0</v>
      </c>
      <c r="AU1472" t="s">
        <v>218</v>
      </c>
    </row>
    <row r="1473" spans="1:48">
      <c r="A1473" s="1">
        <f>HYPERLINK("https://cms.ls-nyc.org/matter/dynamic-profile/view/1878916","18-1878916")</f>
        <v>0</v>
      </c>
      <c r="B1473" t="s">
        <v>80</v>
      </c>
      <c r="C1473" t="s">
        <v>438</v>
      </c>
      <c r="D1473" t="s">
        <v>396</v>
      </c>
      <c r="E1473" t="s">
        <v>827</v>
      </c>
      <c r="F1473" t="s">
        <v>2832</v>
      </c>
      <c r="G1473" t="s">
        <v>4354</v>
      </c>
      <c r="H1473" t="s">
        <v>5357</v>
      </c>
      <c r="I1473" t="s">
        <v>6043</v>
      </c>
      <c r="J1473">
        <v>11221</v>
      </c>
      <c r="K1473" t="s">
        <v>6074</v>
      </c>
      <c r="L1473" t="s">
        <v>6074</v>
      </c>
      <c r="N1473" t="s">
        <v>7275</v>
      </c>
      <c r="O1473" t="s">
        <v>7307</v>
      </c>
      <c r="P1473" t="s">
        <v>7315</v>
      </c>
      <c r="Q1473" t="s">
        <v>7322</v>
      </c>
      <c r="R1473" t="s">
        <v>6074</v>
      </c>
      <c r="S1473" t="s">
        <v>7324</v>
      </c>
      <c r="T1473" t="s">
        <v>7336</v>
      </c>
      <c r="U1473" t="s">
        <v>396</v>
      </c>
      <c r="V1473">
        <v>336.58</v>
      </c>
      <c r="W1473" t="s">
        <v>7362</v>
      </c>
      <c r="X1473" t="s">
        <v>7376</v>
      </c>
      <c r="Y1473" t="s">
        <v>7394</v>
      </c>
      <c r="Z1473" t="s">
        <v>8490</v>
      </c>
      <c r="AA1473" t="s">
        <v>10147</v>
      </c>
      <c r="AB1473" t="s">
        <v>11242</v>
      </c>
      <c r="AC1473">
        <v>12</v>
      </c>
      <c r="AD1473" t="s">
        <v>12422</v>
      </c>
      <c r="AE1473" t="s">
        <v>6110</v>
      </c>
      <c r="AF1473">
        <v>7</v>
      </c>
      <c r="AG1473">
        <v>1</v>
      </c>
      <c r="AH1473">
        <v>1</v>
      </c>
      <c r="AI1473">
        <v>85.05</v>
      </c>
      <c r="AL1473" t="s">
        <v>12460</v>
      </c>
      <c r="AM1473">
        <v>14000</v>
      </c>
      <c r="AS1473">
        <v>0.08</v>
      </c>
      <c r="AT1473" t="s">
        <v>466</v>
      </c>
      <c r="AU1473" t="s">
        <v>218</v>
      </c>
    </row>
    <row r="1474" spans="1:48">
      <c r="A1474" s="1">
        <f>HYPERLINK("https://cms.ls-nyc.org/matter/dynamic-profile/view/1883906","18-1883906")</f>
        <v>0</v>
      </c>
      <c r="B1474" t="s">
        <v>113</v>
      </c>
      <c r="C1474" t="s">
        <v>305</v>
      </c>
      <c r="D1474" t="s">
        <v>435</v>
      </c>
      <c r="E1474" t="s">
        <v>1382</v>
      </c>
      <c r="F1474" t="s">
        <v>2471</v>
      </c>
      <c r="G1474" t="s">
        <v>4555</v>
      </c>
      <c r="H1474" t="s">
        <v>5489</v>
      </c>
      <c r="I1474" t="s">
        <v>6047</v>
      </c>
      <c r="J1474">
        <v>10452</v>
      </c>
      <c r="K1474" t="s">
        <v>6074</v>
      </c>
      <c r="L1474" t="s">
        <v>6074</v>
      </c>
      <c r="M1474" t="s">
        <v>6713</v>
      </c>
      <c r="N1474" t="s">
        <v>7276</v>
      </c>
      <c r="O1474" t="s">
        <v>7306</v>
      </c>
      <c r="P1474" t="s">
        <v>7314</v>
      </c>
      <c r="Q1474" t="s">
        <v>7322</v>
      </c>
      <c r="R1474" t="s">
        <v>6076</v>
      </c>
      <c r="S1474" t="s">
        <v>7324</v>
      </c>
      <c r="T1474" t="s">
        <v>7336</v>
      </c>
      <c r="U1474" t="s">
        <v>412</v>
      </c>
      <c r="V1474">
        <v>1375</v>
      </c>
      <c r="W1474" t="s">
        <v>7363</v>
      </c>
      <c r="X1474" t="s">
        <v>7370</v>
      </c>
      <c r="Y1474" t="s">
        <v>7386</v>
      </c>
      <c r="Z1474" t="s">
        <v>8538</v>
      </c>
      <c r="AB1474" t="s">
        <v>11283</v>
      </c>
      <c r="AC1474">
        <v>37</v>
      </c>
      <c r="AD1474" t="s">
        <v>12422</v>
      </c>
      <c r="AE1474" t="s">
        <v>6110</v>
      </c>
      <c r="AF1474">
        <v>5</v>
      </c>
      <c r="AG1474">
        <v>1</v>
      </c>
      <c r="AH1474">
        <v>1</v>
      </c>
      <c r="AI1474">
        <v>85.05</v>
      </c>
      <c r="AL1474" t="s">
        <v>12461</v>
      </c>
      <c r="AM1474">
        <v>14000</v>
      </c>
      <c r="AS1474">
        <v>2.6</v>
      </c>
      <c r="AT1474" t="s">
        <v>435</v>
      </c>
      <c r="AU1474" t="s">
        <v>13099</v>
      </c>
    </row>
    <row r="1475" spans="1:48">
      <c r="A1475" s="1">
        <f>HYPERLINK("https://cms.ls-nyc.org/matter/dynamic-profile/view/1871354","18-1871354")</f>
        <v>0</v>
      </c>
      <c r="B1475" t="s">
        <v>117</v>
      </c>
      <c r="C1475" t="s">
        <v>342</v>
      </c>
      <c r="E1475" t="s">
        <v>633</v>
      </c>
      <c r="F1475" t="s">
        <v>2646</v>
      </c>
      <c r="G1475" t="s">
        <v>4556</v>
      </c>
      <c r="H1475" t="s">
        <v>5489</v>
      </c>
      <c r="I1475" t="s">
        <v>6048</v>
      </c>
      <c r="J1475">
        <v>10301</v>
      </c>
      <c r="K1475" t="s">
        <v>6074</v>
      </c>
      <c r="L1475" t="s">
        <v>6074</v>
      </c>
      <c r="M1475" t="s">
        <v>6204</v>
      </c>
      <c r="N1475" t="s">
        <v>7274</v>
      </c>
      <c r="O1475" t="s">
        <v>7307</v>
      </c>
      <c r="Q1475" t="s">
        <v>7322</v>
      </c>
      <c r="R1475" t="s">
        <v>6076</v>
      </c>
      <c r="S1475" t="s">
        <v>7324</v>
      </c>
      <c r="T1475" t="s">
        <v>7336</v>
      </c>
      <c r="U1475" t="s">
        <v>342</v>
      </c>
      <c r="V1475">
        <v>650</v>
      </c>
      <c r="W1475" t="s">
        <v>7364</v>
      </c>
      <c r="X1475" t="s">
        <v>7368</v>
      </c>
      <c r="Z1475" t="s">
        <v>8539</v>
      </c>
      <c r="AB1475" t="s">
        <v>11284</v>
      </c>
      <c r="AC1475">
        <v>19</v>
      </c>
      <c r="AD1475" t="s">
        <v>12422</v>
      </c>
      <c r="AE1475" t="s">
        <v>6110</v>
      </c>
      <c r="AF1475">
        <v>21</v>
      </c>
      <c r="AG1475">
        <v>1</v>
      </c>
      <c r="AH1475">
        <v>0</v>
      </c>
      <c r="AI1475">
        <v>85.11</v>
      </c>
      <c r="AL1475" t="s">
        <v>12460</v>
      </c>
      <c r="AM1475">
        <v>10332</v>
      </c>
      <c r="AS1475">
        <v>4.9</v>
      </c>
      <c r="AT1475" t="s">
        <v>387</v>
      </c>
      <c r="AU1475" t="s">
        <v>117</v>
      </c>
    </row>
    <row r="1476" spans="1:48">
      <c r="A1476" s="1">
        <f>HYPERLINK("https://cms.ls-nyc.org/matter/dynamic-profile/view/1900433","19-1900433")</f>
        <v>0</v>
      </c>
      <c r="B1476" t="s">
        <v>83</v>
      </c>
      <c r="C1476" t="s">
        <v>241</v>
      </c>
      <c r="E1476" t="s">
        <v>1383</v>
      </c>
      <c r="F1476" t="s">
        <v>2857</v>
      </c>
      <c r="G1476" t="s">
        <v>4209</v>
      </c>
      <c r="H1476" t="s">
        <v>5354</v>
      </c>
      <c r="I1476" t="s">
        <v>6043</v>
      </c>
      <c r="J1476">
        <v>11226</v>
      </c>
      <c r="K1476" t="s">
        <v>6074</v>
      </c>
      <c r="L1476" t="s">
        <v>6075</v>
      </c>
      <c r="Q1476" t="s">
        <v>7322</v>
      </c>
      <c r="S1476" t="s">
        <v>7324</v>
      </c>
      <c r="U1476" t="s">
        <v>241</v>
      </c>
      <c r="V1476">
        <v>0</v>
      </c>
      <c r="W1476" t="s">
        <v>7362</v>
      </c>
      <c r="Z1476" t="s">
        <v>8540</v>
      </c>
      <c r="AB1476" t="s">
        <v>11285</v>
      </c>
      <c r="AC1476">
        <v>0</v>
      </c>
      <c r="AF1476">
        <v>0</v>
      </c>
      <c r="AG1476">
        <v>2</v>
      </c>
      <c r="AH1476">
        <v>0</v>
      </c>
      <c r="AI1476">
        <v>85.16</v>
      </c>
      <c r="AL1476" t="s">
        <v>12460</v>
      </c>
      <c r="AM1476">
        <v>14400</v>
      </c>
      <c r="AS1476">
        <v>5.4</v>
      </c>
      <c r="AT1476" t="s">
        <v>496</v>
      </c>
      <c r="AU1476" t="s">
        <v>69</v>
      </c>
    </row>
    <row r="1477" spans="1:48">
      <c r="A1477" s="1">
        <f>HYPERLINK("https://cms.ls-nyc.org/matter/dynamic-profile/view/1900700","19-1900700")</f>
        <v>0</v>
      </c>
      <c r="B1477" t="s">
        <v>89</v>
      </c>
      <c r="C1477" t="s">
        <v>381</v>
      </c>
      <c r="E1477" t="s">
        <v>567</v>
      </c>
      <c r="F1477" t="s">
        <v>2858</v>
      </c>
      <c r="G1477" t="s">
        <v>4439</v>
      </c>
      <c r="H1477" t="s">
        <v>5483</v>
      </c>
      <c r="I1477" t="s">
        <v>6043</v>
      </c>
      <c r="J1477">
        <v>11213</v>
      </c>
      <c r="K1477" t="s">
        <v>6074</v>
      </c>
      <c r="L1477" t="s">
        <v>6075</v>
      </c>
      <c r="N1477" t="s">
        <v>6104</v>
      </c>
      <c r="O1477" t="s">
        <v>7309</v>
      </c>
      <c r="Q1477" t="s">
        <v>7322</v>
      </c>
      <c r="R1477" t="s">
        <v>6074</v>
      </c>
      <c r="S1477" t="s">
        <v>7324</v>
      </c>
      <c r="T1477" t="s">
        <v>7336</v>
      </c>
      <c r="U1477" t="s">
        <v>263</v>
      </c>
      <c r="V1477">
        <v>659.52</v>
      </c>
      <c r="W1477" t="s">
        <v>7362</v>
      </c>
      <c r="X1477" t="s">
        <v>7376</v>
      </c>
      <c r="Z1477" t="s">
        <v>8541</v>
      </c>
      <c r="AA1477" t="s">
        <v>10157</v>
      </c>
      <c r="AC1477">
        <v>35</v>
      </c>
      <c r="AD1477" t="s">
        <v>12422</v>
      </c>
      <c r="AE1477" t="s">
        <v>6110</v>
      </c>
      <c r="AF1477">
        <v>30</v>
      </c>
      <c r="AG1477">
        <v>2</v>
      </c>
      <c r="AH1477">
        <v>0</v>
      </c>
      <c r="AI1477">
        <v>85.16</v>
      </c>
      <c r="AL1477" t="s">
        <v>12460</v>
      </c>
      <c r="AM1477">
        <v>14400</v>
      </c>
      <c r="AN1477" t="s">
        <v>12618</v>
      </c>
      <c r="AS1477">
        <v>0</v>
      </c>
      <c r="AU1477" t="s">
        <v>218</v>
      </c>
      <c r="AV1477" t="s">
        <v>13145</v>
      </c>
    </row>
    <row r="1478" spans="1:48">
      <c r="A1478" s="1">
        <f>HYPERLINK("https://cms.ls-nyc.org/matter/dynamic-profile/view/1896324","19-1896324")</f>
        <v>0</v>
      </c>
      <c r="B1478" t="s">
        <v>96</v>
      </c>
      <c r="C1478" t="s">
        <v>302</v>
      </c>
      <c r="E1478" t="s">
        <v>679</v>
      </c>
      <c r="F1478" t="s">
        <v>2841</v>
      </c>
      <c r="G1478" t="s">
        <v>4152</v>
      </c>
      <c r="H1478" t="s">
        <v>5483</v>
      </c>
      <c r="I1478" t="s">
        <v>6047</v>
      </c>
      <c r="J1478">
        <v>10456</v>
      </c>
      <c r="K1478" t="s">
        <v>6074</v>
      </c>
      <c r="L1478" t="s">
        <v>6074</v>
      </c>
      <c r="N1478" t="s">
        <v>7279</v>
      </c>
      <c r="O1478" t="s">
        <v>7311</v>
      </c>
      <c r="Q1478" t="s">
        <v>7322</v>
      </c>
      <c r="R1478" t="s">
        <v>6074</v>
      </c>
      <c r="S1478" t="s">
        <v>7324</v>
      </c>
      <c r="T1478" t="s">
        <v>7336</v>
      </c>
      <c r="U1478" t="s">
        <v>263</v>
      </c>
      <c r="V1478">
        <v>1200</v>
      </c>
      <c r="W1478" t="s">
        <v>7363</v>
      </c>
      <c r="Z1478" t="s">
        <v>8542</v>
      </c>
      <c r="AB1478" t="s">
        <v>11286</v>
      </c>
      <c r="AC1478">
        <v>61</v>
      </c>
      <c r="AD1478" t="s">
        <v>12422</v>
      </c>
      <c r="AF1478">
        <v>0</v>
      </c>
      <c r="AG1478">
        <v>2</v>
      </c>
      <c r="AH1478">
        <v>0</v>
      </c>
      <c r="AI1478">
        <v>85.16</v>
      </c>
      <c r="AL1478" t="s">
        <v>12460</v>
      </c>
      <c r="AM1478">
        <v>14400</v>
      </c>
      <c r="AS1478">
        <v>22.4</v>
      </c>
      <c r="AT1478" t="s">
        <v>276</v>
      </c>
      <c r="AU1478" t="s">
        <v>96</v>
      </c>
    </row>
    <row r="1479" spans="1:48">
      <c r="A1479" s="1">
        <f>HYPERLINK("https://cms.ls-nyc.org/matter/dynamic-profile/view/1885736","18-1885736")</f>
        <v>0</v>
      </c>
      <c r="B1479" t="s">
        <v>102</v>
      </c>
      <c r="C1479" t="s">
        <v>344</v>
      </c>
      <c r="E1479" t="s">
        <v>723</v>
      </c>
      <c r="F1479" t="s">
        <v>2480</v>
      </c>
      <c r="G1479" t="s">
        <v>3779</v>
      </c>
      <c r="H1479" t="s">
        <v>5517</v>
      </c>
      <c r="I1479" t="s">
        <v>6047</v>
      </c>
      <c r="J1479">
        <v>10460</v>
      </c>
      <c r="K1479" t="s">
        <v>6074</v>
      </c>
      <c r="L1479" t="s">
        <v>6074</v>
      </c>
      <c r="N1479" t="s">
        <v>7273</v>
      </c>
      <c r="O1479" t="s">
        <v>7308</v>
      </c>
      <c r="Q1479" t="s">
        <v>7322</v>
      </c>
      <c r="R1479" t="s">
        <v>6074</v>
      </c>
      <c r="S1479" t="s">
        <v>7324</v>
      </c>
      <c r="U1479" t="s">
        <v>457</v>
      </c>
      <c r="V1479">
        <v>466</v>
      </c>
      <c r="W1479" t="s">
        <v>7363</v>
      </c>
      <c r="X1479" t="s">
        <v>7376</v>
      </c>
      <c r="Z1479" t="s">
        <v>8543</v>
      </c>
      <c r="AC1479">
        <v>168</v>
      </c>
      <c r="AD1479" t="s">
        <v>12430</v>
      </c>
      <c r="AE1479" t="s">
        <v>12434</v>
      </c>
      <c r="AF1479">
        <v>4</v>
      </c>
      <c r="AG1479">
        <v>1</v>
      </c>
      <c r="AH1479">
        <v>0</v>
      </c>
      <c r="AI1479">
        <v>85.59999999999999</v>
      </c>
      <c r="AL1479" t="s">
        <v>12460</v>
      </c>
      <c r="AM1479">
        <v>10392</v>
      </c>
      <c r="AS1479">
        <v>0</v>
      </c>
      <c r="AU1479" t="s">
        <v>13092</v>
      </c>
    </row>
    <row r="1480" spans="1:48">
      <c r="A1480" s="1">
        <f>HYPERLINK("https://cms.ls-nyc.org/matter/dynamic-profile/view/1883936","18-1883936")</f>
        <v>0</v>
      </c>
      <c r="B1480" t="s">
        <v>132</v>
      </c>
      <c r="C1480" t="s">
        <v>412</v>
      </c>
      <c r="D1480" t="s">
        <v>426</v>
      </c>
      <c r="E1480" t="s">
        <v>1104</v>
      </c>
      <c r="F1480" t="s">
        <v>2859</v>
      </c>
      <c r="G1480" t="s">
        <v>4129</v>
      </c>
      <c r="H1480">
        <v>55</v>
      </c>
      <c r="I1480" t="s">
        <v>6049</v>
      </c>
      <c r="J1480">
        <v>10034</v>
      </c>
      <c r="K1480" t="s">
        <v>6074</v>
      </c>
      <c r="L1480" t="s">
        <v>6074</v>
      </c>
      <c r="O1480" t="s">
        <v>7307</v>
      </c>
      <c r="P1480" t="s">
        <v>7315</v>
      </c>
      <c r="Q1480" t="s">
        <v>7322</v>
      </c>
      <c r="R1480" t="s">
        <v>6076</v>
      </c>
      <c r="S1480" t="s">
        <v>7324</v>
      </c>
      <c r="U1480" t="s">
        <v>412</v>
      </c>
      <c r="V1480">
        <v>856</v>
      </c>
      <c r="W1480" t="s">
        <v>7365</v>
      </c>
      <c r="X1480" t="s">
        <v>7367</v>
      </c>
      <c r="Y1480" t="s">
        <v>7387</v>
      </c>
      <c r="Z1480" t="s">
        <v>8544</v>
      </c>
      <c r="AB1480" t="s">
        <v>11287</v>
      </c>
      <c r="AC1480">
        <v>25</v>
      </c>
      <c r="AD1480" t="s">
        <v>12422</v>
      </c>
      <c r="AE1480" t="s">
        <v>12434</v>
      </c>
      <c r="AF1480">
        <v>43</v>
      </c>
      <c r="AG1480">
        <v>1</v>
      </c>
      <c r="AH1480">
        <v>0</v>
      </c>
      <c r="AI1480">
        <v>85.59999999999999</v>
      </c>
      <c r="AL1480" t="s">
        <v>12461</v>
      </c>
      <c r="AM1480">
        <v>10392</v>
      </c>
      <c r="AS1480">
        <v>1</v>
      </c>
      <c r="AT1480" t="s">
        <v>412</v>
      </c>
      <c r="AU1480" t="s">
        <v>13106</v>
      </c>
    </row>
    <row r="1481" spans="1:48">
      <c r="A1481" s="1">
        <f>HYPERLINK("https://cms.ls-nyc.org/matter/dynamic-profile/view/1879642","18-1879642")</f>
        <v>0</v>
      </c>
      <c r="B1481" t="s">
        <v>106</v>
      </c>
      <c r="C1481" t="s">
        <v>483</v>
      </c>
      <c r="D1481" t="s">
        <v>389</v>
      </c>
      <c r="E1481" t="s">
        <v>767</v>
      </c>
      <c r="F1481" t="s">
        <v>2059</v>
      </c>
      <c r="G1481" t="s">
        <v>4557</v>
      </c>
      <c r="H1481" t="s">
        <v>5417</v>
      </c>
      <c r="I1481" t="s">
        <v>6047</v>
      </c>
      <c r="J1481">
        <v>10459</v>
      </c>
      <c r="K1481" t="s">
        <v>6074</v>
      </c>
      <c r="L1481" t="s">
        <v>6074</v>
      </c>
      <c r="N1481" t="s">
        <v>6104</v>
      </c>
      <c r="O1481" t="s">
        <v>7306</v>
      </c>
      <c r="P1481" t="s">
        <v>7314</v>
      </c>
      <c r="Q1481" t="s">
        <v>7322</v>
      </c>
      <c r="R1481" t="s">
        <v>6076</v>
      </c>
      <c r="S1481" t="s">
        <v>7324</v>
      </c>
      <c r="U1481" t="s">
        <v>483</v>
      </c>
      <c r="V1481">
        <v>678.54</v>
      </c>
      <c r="W1481" t="s">
        <v>7363</v>
      </c>
      <c r="Y1481" t="s">
        <v>7386</v>
      </c>
      <c r="Z1481" t="s">
        <v>8545</v>
      </c>
      <c r="AB1481" t="s">
        <v>11288</v>
      </c>
      <c r="AC1481">
        <v>0</v>
      </c>
      <c r="AD1481" t="s">
        <v>12422</v>
      </c>
      <c r="AE1481" t="s">
        <v>12441</v>
      </c>
      <c r="AF1481">
        <v>35</v>
      </c>
      <c r="AG1481">
        <v>2</v>
      </c>
      <c r="AH1481">
        <v>0</v>
      </c>
      <c r="AI1481">
        <v>85.66</v>
      </c>
      <c r="AL1481" t="s">
        <v>12461</v>
      </c>
      <c r="AM1481">
        <v>14100</v>
      </c>
      <c r="AS1481">
        <v>4.5</v>
      </c>
      <c r="AT1481" t="s">
        <v>389</v>
      </c>
      <c r="AU1481" t="s">
        <v>106</v>
      </c>
    </row>
    <row r="1482" spans="1:48">
      <c r="A1482" s="1">
        <f>HYPERLINK("https://cms.ls-nyc.org/matter/dynamic-profile/view/1875668","18-1875668")</f>
        <v>0</v>
      </c>
      <c r="B1482" t="s">
        <v>81</v>
      </c>
      <c r="C1482" t="s">
        <v>502</v>
      </c>
      <c r="E1482" t="s">
        <v>1366</v>
      </c>
      <c r="F1482" t="s">
        <v>1245</v>
      </c>
      <c r="G1482" t="s">
        <v>4534</v>
      </c>
      <c r="H1482" t="s">
        <v>5372</v>
      </c>
      <c r="I1482" t="s">
        <v>6043</v>
      </c>
      <c r="J1482">
        <v>11225</v>
      </c>
      <c r="K1482" t="s">
        <v>6074</v>
      </c>
      <c r="L1482" t="s">
        <v>6074</v>
      </c>
      <c r="N1482" t="s">
        <v>7276</v>
      </c>
      <c r="O1482" t="s">
        <v>7308</v>
      </c>
      <c r="Q1482" t="s">
        <v>7322</v>
      </c>
      <c r="R1482" t="s">
        <v>6076</v>
      </c>
      <c r="S1482" t="s">
        <v>7324</v>
      </c>
      <c r="U1482" t="s">
        <v>291</v>
      </c>
      <c r="V1482">
        <v>0</v>
      </c>
      <c r="W1482" t="s">
        <v>7362</v>
      </c>
      <c r="X1482" t="s">
        <v>7375</v>
      </c>
      <c r="Z1482" t="s">
        <v>8506</v>
      </c>
      <c r="AB1482" t="s">
        <v>11256</v>
      </c>
      <c r="AC1482">
        <v>0</v>
      </c>
      <c r="AF1482">
        <v>0</v>
      </c>
      <c r="AG1482">
        <v>1</v>
      </c>
      <c r="AH1482">
        <v>0</v>
      </c>
      <c r="AI1482">
        <v>85.67</v>
      </c>
      <c r="AL1482" t="s">
        <v>12460</v>
      </c>
      <c r="AM1482">
        <v>10400</v>
      </c>
      <c r="AN1482" t="s">
        <v>12525</v>
      </c>
      <c r="AS1482">
        <v>77.47</v>
      </c>
      <c r="AT1482" t="s">
        <v>436</v>
      </c>
      <c r="AU1482" t="s">
        <v>69</v>
      </c>
    </row>
    <row r="1483" spans="1:48">
      <c r="A1483" s="1">
        <f>HYPERLINK("https://cms.ls-nyc.org/matter/dynamic-profile/view/1869143","18-1869143")</f>
        <v>0</v>
      </c>
      <c r="B1483" t="s">
        <v>153</v>
      </c>
      <c r="C1483" t="s">
        <v>503</v>
      </c>
      <c r="D1483" t="s">
        <v>406</v>
      </c>
      <c r="E1483" t="s">
        <v>1384</v>
      </c>
      <c r="F1483" t="s">
        <v>2860</v>
      </c>
      <c r="G1483" t="s">
        <v>4558</v>
      </c>
      <c r="H1483" t="s">
        <v>5504</v>
      </c>
      <c r="I1483" t="s">
        <v>6043</v>
      </c>
      <c r="J1483">
        <v>11207</v>
      </c>
      <c r="K1483" t="s">
        <v>6074</v>
      </c>
      <c r="L1483" t="s">
        <v>6074</v>
      </c>
      <c r="M1483" t="s">
        <v>6714</v>
      </c>
      <c r="N1483" t="s">
        <v>7276</v>
      </c>
      <c r="O1483" t="s">
        <v>7306</v>
      </c>
      <c r="P1483" t="s">
        <v>7314</v>
      </c>
      <c r="Q1483" t="s">
        <v>7322</v>
      </c>
      <c r="R1483" t="s">
        <v>6076</v>
      </c>
      <c r="S1483" t="s">
        <v>7324</v>
      </c>
      <c r="U1483" t="s">
        <v>342</v>
      </c>
      <c r="V1483">
        <v>901</v>
      </c>
      <c r="W1483" t="s">
        <v>7362</v>
      </c>
      <c r="Y1483" t="s">
        <v>7390</v>
      </c>
      <c r="Z1483" t="s">
        <v>8546</v>
      </c>
      <c r="AA1483" t="s">
        <v>10158</v>
      </c>
      <c r="AB1483" t="s">
        <v>11289</v>
      </c>
      <c r="AC1483">
        <v>22</v>
      </c>
      <c r="AD1483" t="s">
        <v>6322</v>
      </c>
      <c r="AE1483" t="s">
        <v>6110</v>
      </c>
      <c r="AF1483">
        <v>5</v>
      </c>
      <c r="AG1483">
        <v>1</v>
      </c>
      <c r="AH1483">
        <v>0</v>
      </c>
      <c r="AI1483">
        <v>85.67</v>
      </c>
      <c r="AL1483" t="s">
        <v>12460</v>
      </c>
      <c r="AM1483">
        <v>10400</v>
      </c>
      <c r="AN1483" t="s">
        <v>12619</v>
      </c>
      <c r="AS1483">
        <v>3.9</v>
      </c>
      <c r="AT1483" t="s">
        <v>319</v>
      </c>
      <c r="AU1483" t="s">
        <v>13091</v>
      </c>
    </row>
    <row r="1484" spans="1:48">
      <c r="A1484" s="1">
        <f>HYPERLINK("https://cms.ls-nyc.org/matter/dynamic-profile/view/1871556","18-1871556")</f>
        <v>0</v>
      </c>
      <c r="B1484" t="s">
        <v>132</v>
      </c>
      <c r="C1484" t="s">
        <v>374</v>
      </c>
      <c r="D1484" t="s">
        <v>262</v>
      </c>
      <c r="E1484" t="s">
        <v>767</v>
      </c>
      <c r="F1484" t="s">
        <v>2861</v>
      </c>
      <c r="G1484" t="s">
        <v>4559</v>
      </c>
      <c r="H1484" t="s">
        <v>5490</v>
      </c>
      <c r="I1484" t="s">
        <v>6049</v>
      </c>
      <c r="J1484">
        <v>10034</v>
      </c>
      <c r="K1484" t="s">
        <v>6074</v>
      </c>
      <c r="L1484" t="s">
        <v>6074</v>
      </c>
      <c r="N1484" t="s">
        <v>7273</v>
      </c>
      <c r="O1484" t="s">
        <v>7306</v>
      </c>
      <c r="P1484" t="s">
        <v>7314</v>
      </c>
      <c r="Q1484" t="s">
        <v>7322</v>
      </c>
      <c r="R1484" t="s">
        <v>6076</v>
      </c>
      <c r="S1484" t="s">
        <v>7324</v>
      </c>
      <c r="U1484" t="s">
        <v>374</v>
      </c>
      <c r="V1484">
        <v>940.51</v>
      </c>
      <c r="W1484" t="s">
        <v>7365</v>
      </c>
      <c r="X1484" t="s">
        <v>7367</v>
      </c>
      <c r="Y1484" t="s">
        <v>7386</v>
      </c>
      <c r="Z1484" t="s">
        <v>8547</v>
      </c>
      <c r="AB1484" t="s">
        <v>11290</v>
      </c>
      <c r="AC1484">
        <v>20</v>
      </c>
      <c r="AD1484" t="s">
        <v>12422</v>
      </c>
      <c r="AE1484" t="s">
        <v>6110</v>
      </c>
      <c r="AF1484">
        <v>20</v>
      </c>
      <c r="AG1484">
        <v>1</v>
      </c>
      <c r="AH1484">
        <v>0</v>
      </c>
      <c r="AI1484">
        <v>85.67</v>
      </c>
      <c r="AL1484" t="s">
        <v>12461</v>
      </c>
      <c r="AM1484">
        <v>10400</v>
      </c>
      <c r="AS1484">
        <v>1.5</v>
      </c>
      <c r="AT1484" t="s">
        <v>378</v>
      </c>
      <c r="AU1484" t="s">
        <v>13106</v>
      </c>
    </row>
    <row r="1485" spans="1:48">
      <c r="A1485" s="1">
        <f>HYPERLINK("https://cms.ls-nyc.org/matter/dynamic-profile/view/1873798","18-1873798")</f>
        <v>0</v>
      </c>
      <c r="B1485" t="s">
        <v>130</v>
      </c>
      <c r="C1485" t="s">
        <v>402</v>
      </c>
      <c r="E1485" t="s">
        <v>828</v>
      </c>
      <c r="F1485" t="s">
        <v>2284</v>
      </c>
      <c r="G1485" t="s">
        <v>3842</v>
      </c>
      <c r="H1485" t="s">
        <v>5549</v>
      </c>
      <c r="I1485" t="s">
        <v>6049</v>
      </c>
      <c r="J1485">
        <v>10033</v>
      </c>
      <c r="K1485" t="s">
        <v>6074</v>
      </c>
      <c r="L1485" t="s">
        <v>6074</v>
      </c>
      <c r="N1485" t="s">
        <v>7273</v>
      </c>
      <c r="O1485" t="s">
        <v>7307</v>
      </c>
      <c r="Q1485" t="s">
        <v>7322</v>
      </c>
      <c r="R1485" t="s">
        <v>6074</v>
      </c>
      <c r="S1485" t="s">
        <v>7324</v>
      </c>
      <c r="U1485" t="s">
        <v>402</v>
      </c>
      <c r="V1485">
        <v>1180</v>
      </c>
      <c r="W1485" t="s">
        <v>7365</v>
      </c>
      <c r="X1485" t="s">
        <v>7375</v>
      </c>
      <c r="Z1485" t="s">
        <v>8548</v>
      </c>
      <c r="AB1485" t="s">
        <v>11291</v>
      </c>
      <c r="AC1485">
        <v>232</v>
      </c>
      <c r="AD1485" t="s">
        <v>12422</v>
      </c>
      <c r="AE1485" t="s">
        <v>12434</v>
      </c>
      <c r="AF1485">
        <v>21</v>
      </c>
      <c r="AG1485">
        <v>1</v>
      </c>
      <c r="AH1485">
        <v>0</v>
      </c>
      <c r="AI1485">
        <v>85.67</v>
      </c>
      <c r="AL1485" t="s">
        <v>12461</v>
      </c>
      <c r="AM1485">
        <v>10400</v>
      </c>
      <c r="AS1485">
        <v>0.7</v>
      </c>
      <c r="AT1485" t="s">
        <v>496</v>
      </c>
      <c r="AU1485" t="s">
        <v>13106</v>
      </c>
    </row>
    <row r="1486" spans="1:48">
      <c r="A1486" s="1">
        <f>HYPERLINK("https://cms.ls-nyc.org/matter/dynamic-profile/view/1877309","18-1877309")</f>
        <v>0</v>
      </c>
      <c r="B1486" t="s">
        <v>128</v>
      </c>
      <c r="C1486" t="s">
        <v>409</v>
      </c>
      <c r="E1486" t="s">
        <v>1385</v>
      </c>
      <c r="F1486" t="s">
        <v>2663</v>
      </c>
      <c r="G1486" t="s">
        <v>4517</v>
      </c>
      <c r="H1486" t="s">
        <v>5455</v>
      </c>
      <c r="I1486" t="s">
        <v>6049</v>
      </c>
      <c r="J1486">
        <v>10040</v>
      </c>
      <c r="K1486" t="s">
        <v>6074</v>
      </c>
      <c r="L1486" t="s">
        <v>6074</v>
      </c>
      <c r="N1486" t="s">
        <v>7288</v>
      </c>
      <c r="O1486" t="s">
        <v>7307</v>
      </c>
      <c r="Q1486" t="s">
        <v>7322</v>
      </c>
      <c r="R1486" t="s">
        <v>6076</v>
      </c>
      <c r="S1486" t="s">
        <v>7324</v>
      </c>
      <c r="U1486" t="s">
        <v>409</v>
      </c>
      <c r="V1486">
        <v>1990.34</v>
      </c>
      <c r="W1486" t="s">
        <v>7365</v>
      </c>
      <c r="X1486" t="s">
        <v>7367</v>
      </c>
      <c r="Z1486" t="s">
        <v>8549</v>
      </c>
      <c r="AB1486" t="s">
        <v>11292</v>
      </c>
      <c r="AC1486">
        <v>41</v>
      </c>
      <c r="AD1486" t="s">
        <v>12422</v>
      </c>
      <c r="AE1486" t="s">
        <v>12434</v>
      </c>
      <c r="AF1486">
        <v>7</v>
      </c>
      <c r="AG1486">
        <v>1</v>
      </c>
      <c r="AH1486">
        <v>0</v>
      </c>
      <c r="AI1486">
        <v>85.7</v>
      </c>
      <c r="AL1486" t="s">
        <v>12461</v>
      </c>
      <c r="AM1486">
        <v>10404</v>
      </c>
      <c r="AS1486">
        <v>2.4</v>
      </c>
      <c r="AT1486" t="s">
        <v>244</v>
      </c>
      <c r="AU1486" t="s">
        <v>13106</v>
      </c>
    </row>
    <row r="1487" spans="1:48">
      <c r="A1487" s="1">
        <f>HYPERLINK("https://cms.ls-nyc.org/matter/dynamic-profile/view/1885320","18-1885320")</f>
        <v>0</v>
      </c>
      <c r="B1487" t="s">
        <v>171</v>
      </c>
      <c r="C1487" t="s">
        <v>341</v>
      </c>
      <c r="E1487" t="s">
        <v>873</v>
      </c>
      <c r="F1487" t="s">
        <v>2228</v>
      </c>
      <c r="G1487" t="s">
        <v>4560</v>
      </c>
      <c r="H1487" t="s">
        <v>5438</v>
      </c>
      <c r="I1487" t="s">
        <v>6043</v>
      </c>
      <c r="J1487">
        <v>11212</v>
      </c>
      <c r="K1487" t="s">
        <v>6074</v>
      </c>
      <c r="L1487" t="s">
        <v>6074</v>
      </c>
      <c r="O1487" t="s">
        <v>7308</v>
      </c>
      <c r="Q1487" t="s">
        <v>7322</v>
      </c>
      <c r="R1487" t="s">
        <v>6074</v>
      </c>
      <c r="S1487" t="s">
        <v>7324</v>
      </c>
      <c r="U1487" t="s">
        <v>341</v>
      </c>
      <c r="V1487">
        <v>0</v>
      </c>
      <c r="W1487" t="s">
        <v>7362</v>
      </c>
      <c r="Z1487" t="s">
        <v>8550</v>
      </c>
      <c r="AB1487" t="s">
        <v>11293</v>
      </c>
      <c r="AC1487">
        <v>36</v>
      </c>
      <c r="AF1487">
        <v>0</v>
      </c>
      <c r="AG1487">
        <v>2</v>
      </c>
      <c r="AH1487">
        <v>0</v>
      </c>
      <c r="AI1487">
        <v>85.73999999999999</v>
      </c>
      <c r="AL1487" t="s">
        <v>12460</v>
      </c>
      <c r="AM1487">
        <v>14112</v>
      </c>
      <c r="AS1487">
        <v>18.7</v>
      </c>
      <c r="AT1487" t="s">
        <v>421</v>
      </c>
      <c r="AU1487" t="s">
        <v>218</v>
      </c>
    </row>
    <row r="1488" spans="1:48">
      <c r="A1488" s="1">
        <f>HYPERLINK("https://cms.ls-nyc.org/matter/dynamic-profile/view/1885838","18-1885838")</f>
        <v>0</v>
      </c>
      <c r="B1488" t="s">
        <v>98</v>
      </c>
      <c r="C1488" t="s">
        <v>428</v>
      </c>
      <c r="D1488" t="s">
        <v>264</v>
      </c>
      <c r="E1488" t="s">
        <v>656</v>
      </c>
      <c r="F1488" t="s">
        <v>2862</v>
      </c>
      <c r="G1488" t="s">
        <v>4561</v>
      </c>
      <c r="H1488" t="s">
        <v>5511</v>
      </c>
      <c r="I1488" t="s">
        <v>6047</v>
      </c>
      <c r="J1488">
        <v>10452</v>
      </c>
      <c r="K1488" t="s">
        <v>6074</v>
      </c>
      <c r="L1488" t="s">
        <v>6074</v>
      </c>
      <c r="M1488" t="s">
        <v>6715</v>
      </c>
      <c r="N1488" t="s">
        <v>7276</v>
      </c>
      <c r="O1488" t="s">
        <v>7308</v>
      </c>
      <c r="P1488" t="s">
        <v>7316</v>
      </c>
      <c r="Q1488" t="s">
        <v>7322</v>
      </c>
      <c r="R1488" t="s">
        <v>6076</v>
      </c>
      <c r="S1488" t="s">
        <v>7324</v>
      </c>
      <c r="U1488" t="s">
        <v>465</v>
      </c>
      <c r="V1488">
        <v>519</v>
      </c>
      <c r="W1488" t="s">
        <v>7363</v>
      </c>
      <c r="Y1488" t="s">
        <v>7388</v>
      </c>
      <c r="Z1488" t="s">
        <v>7636</v>
      </c>
      <c r="AA1488" t="s">
        <v>10159</v>
      </c>
      <c r="AB1488" t="s">
        <v>11294</v>
      </c>
      <c r="AC1488">
        <v>40</v>
      </c>
      <c r="AD1488" t="s">
        <v>6322</v>
      </c>
      <c r="AE1488" t="s">
        <v>12434</v>
      </c>
      <c r="AF1488">
        <v>30</v>
      </c>
      <c r="AG1488">
        <v>1</v>
      </c>
      <c r="AH1488">
        <v>0</v>
      </c>
      <c r="AI1488">
        <v>85.8</v>
      </c>
      <c r="AL1488" t="s">
        <v>12460</v>
      </c>
      <c r="AM1488">
        <v>10416</v>
      </c>
      <c r="AO1488" t="s">
        <v>12850</v>
      </c>
      <c r="AP1488" t="s">
        <v>12879</v>
      </c>
      <c r="AQ1488" t="s">
        <v>12909</v>
      </c>
      <c r="AR1488" t="s">
        <v>12935</v>
      </c>
      <c r="AS1488">
        <v>19</v>
      </c>
      <c r="AT1488" t="s">
        <v>252</v>
      </c>
      <c r="AU1488" t="s">
        <v>13100</v>
      </c>
    </row>
    <row r="1489" spans="1:48">
      <c r="A1489" s="1">
        <f>HYPERLINK("https://cms.ls-nyc.org/matter/dynamic-profile/view/1872309","18-1872309")</f>
        <v>0</v>
      </c>
      <c r="B1489" t="s">
        <v>52</v>
      </c>
      <c r="C1489" t="s">
        <v>394</v>
      </c>
      <c r="D1489" t="s">
        <v>271</v>
      </c>
      <c r="E1489" t="s">
        <v>1386</v>
      </c>
      <c r="F1489" t="s">
        <v>2863</v>
      </c>
      <c r="G1489" t="s">
        <v>4413</v>
      </c>
      <c r="H1489">
        <v>314</v>
      </c>
      <c r="I1489" t="s">
        <v>6040</v>
      </c>
      <c r="J1489">
        <v>11354</v>
      </c>
      <c r="K1489" t="s">
        <v>6074</v>
      </c>
      <c r="L1489" t="s">
        <v>6074</v>
      </c>
      <c r="M1489" t="s">
        <v>6716</v>
      </c>
      <c r="N1489" t="s">
        <v>7276</v>
      </c>
      <c r="O1489" t="s">
        <v>7308</v>
      </c>
      <c r="P1489" t="s">
        <v>7316</v>
      </c>
      <c r="Q1489" t="s">
        <v>7322</v>
      </c>
      <c r="R1489" t="s">
        <v>6076</v>
      </c>
      <c r="S1489" t="s">
        <v>7324</v>
      </c>
      <c r="T1489" t="s">
        <v>7336</v>
      </c>
      <c r="U1489" t="s">
        <v>394</v>
      </c>
      <c r="V1489">
        <v>970.62</v>
      </c>
      <c r="W1489" t="s">
        <v>7361</v>
      </c>
      <c r="X1489" t="s">
        <v>7368</v>
      </c>
      <c r="Y1489" t="s">
        <v>7388</v>
      </c>
      <c r="Z1489" t="s">
        <v>8551</v>
      </c>
      <c r="AA1489" t="s">
        <v>10160</v>
      </c>
      <c r="AB1489" t="s">
        <v>11295</v>
      </c>
      <c r="AC1489">
        <v>120</v>
      </c>
      <c r="AD1489" t="s">
        <v>12422</v>
      </c>
      <c r="AE1489" t="s">
        <v>6110</v>
      </c>
      <c r="AF1489">
        <v>30</v>
      </c>
      <c r="AG1489">
        <v>1</v>
      </c>
      <c r="AH1489">
        <v>0</v>
      </c>
      <c r="AI1489">
        <v>86</v>
      </c>
      <c r="AL1489" t="s">
        <v>12478</v>
      </c>
      <c r="AM1489">
        <v>10440</v>
      </c>
      <c r="AO1489" t="s">
        <v>12847</v>
      </c>
      <c r="AP1489" t="s">
        <v>12858</v>
      </c>
      <c r="AQ1489" t="s">
        <v>12909</v>
      </c>
      <c r="AR1489" t="s">
        <v>13001</v>
      </c>
      <c r="AS1489">
        <v>17.2</v>
      </c>
      <c r="AT1489" t="s">
        <v>373</v>
      </c>
      <c r="AU1489" t="s">
        <v>189</v>
      </c>
    </row>
    <row r="1490" spans="1:48">
      <c r="A1490" s="1">
        <f>HYPERLINK("https://cms.ls-nyc.org/matter/dynamic-profile/view/1881339","18-1881339")</f>
        <v>0</v>
      </c>
      <c r="B1490" t="s">
        <v>92</v>
      </c>
      <c r="C1490" t="s">
        <v>414</v>
      </c>
      <c r="D1490" t="s">
        <v>496</v>
      </c>
      <c r="E1490" t="s">
        <v>916</v>
      </c>
      <c r="F1490" t="s">
        <v>2642</v>
      </c>
      <c r="G1490" t="s">
        <v>4302</v>
      </c>
      <c r="H1490" t="s">
        <v>5422</v>
      </c>
      <c r="I1490" t="s">
        <v>6043</v>
      </c>
      <c r="J1490">
        <v>11237</v>
      </c>
      <c r="K1490" t="s">
        <v>6074</v>
      </c>
      <c r="L1490" t="s">
        <v>6074</v>
      </c>
      <c r="N1490" t="s">
        <v>6104</v>
      </c>
      <c r="O1490" t="s">
        <v>7309</v>
      </c>
      <c r="P1490" t="s">
        <v>7319</v>
      </c>
      <c r="Q1490" t="s">
        <v>7322</v>
      </c>
      <c r="R1490" t="s">
        <v>6074</v>
      </c>
      <c r="S1490" t="s">
        <v>7324</v>
      </c>
      <c r="U1490" t="s">
        <v>414</v>
      </c>
      <c r="V1490">
        <v>1080</v>
      </c>
      <c r="W1490" t="s">
        <v>7362</v>
      </c>
      <c r="X1490" t="s">
        <v>7375</v>
      </c>
      <c r="Y1490" t="s">
        <v>7387</v>
      </c>
      <c r="Z1490" t="s">
        <v>8516</v>
      </c>
      <c r="AA1490">
        <v>12563767</v>
      </c>
      <c r="AB1490" t="s">
        <v>9856</v>
      </c>
      <c r="AC1490">
        <v>6</v>
      </c>
      <c r="AD1490" t="s">
        <v>12422</v>
      </c>
      <c r="AF1490">
        <v>7</v>
      </c>
      <c r="AG1490">
        <v>2</v>
      </c>
      <c r="AH1490">
        <v>2</v>
      </c>
      <c r="AI1490">
        <v>86.06</v>
      </c>
      <c r="AL1490" t="s">
        <v>12461</v>
      </c>
      <c r="AM1490">
        <v>21600</v>
      </c>
      <c r="AS1490">
        <v>0.6</v>
      </c>
      <c r="AT1490" t="s">
        <v>420</v>
      </c>
      <c r="AU1490" t="s">
        <v>92</v>
      </c>
      <c r="AV1490" t="s">
        <v>13145</v>
      </c>
    </row>
    <row r="1491" spans="1:48">
      <c r="A1491" s="1">
        <f>HYPERLINK("https://cms.ls-nyc.org/matter/dynamic-profile/view/1892678","19-1892678")</f>
        <v>0</v>
      </c>
      <c r="B1491" t="s">
        <v>72</v>
      </c>
      <c r="C1491" t="s">
        <v>395</v>
      </c>
      <c r="E1491" t="s">
        <v>1387</v>
      </c>
      <c r="F1491" t="s">
        <v>2864</v>
      </c>
      <c r="G1491" t="s">
        <v>3702</v>
      </c>
      <c r="H1491" t="s">
        <v>5722</v>
      </c>
      <c r="I1491" t="s">
        <v>6043</v>
      </c>
      <c r="J1491">
        <v>11233</v>
      </c>
      <c r="K1491" t="s">
        <v>6074</v>
      </c>
      <c r="L1491" t="s">
        <v>6076</v>
      </c>
      <c r="N1491" t="s">
        <v>7279</v>
      </c>
      <c r="O1491" t="s">
        <v>7311</v>
      </c>
      <c r="Q1491" t="s">
        <v>7322</v>
      </c>
      <c r="R1491" t="s">
        <v>6074</v>
      </c>
      <c r="S1491" t="s">
        <v>7324</v>
      </c>
      <c r="T1491" t="s">
        <v>7336</v>
      </c>
      <c r="U1491" t="s">
        <v>330</v>
      </c>
      <c r="V1491">
        <v>0</v>
      </c>
      <c r="W1491" t="s">
        <v>7362</v>
      </c>
      <c r="X1491" t="s">
        <v>7305</v>
      </c>
      <c r="Z1491" t="s">
        <v>8552</v>
      </c>
      <c r="AC1491">
        <v>359</v>
      </c>
      <c r="AD1491" t="s">
        <v>12422</v>
      </c>
      <c r="AF1491">
        <v>1</v>
      </c>
      <c r="AG1491">
        <v>1</v>
      </c>
      <c r="AH1491">
        <v>1</v>
      </c>
      <c r="AI1491">
        <v>86.08</v>
      </c>
      <c r="AL1491" t="s">
        <v>12460</v>
      </c>
      <c r="AM1491">
        <v>14556</v>
      </c>
      <c r="AN1491" t="s">
        <v>12620</v>
      </c>
      <c r="AS1491">
        <v>0</v>
      </c>
      <c r="AU1491" t="s">
        <v>180</v>
      </c>
    </row>
    <row r="1492" spans="1:48">
      <c r="A1492" s="1">
        <f>HYPERLINK("https://cms.ls-nyc.org/matter/dynamic-profile/view/1892681","19-1892681")</f>
        <v>0</v>
      </c>
      <c r="B1492" t="s">
        <v>72</v>
      </c>
      <c r="C1492" t="s">
        <v>395</v>
      </c>
      <c r="E1492" t="s">
        <v>1387</v>
      </c>
      <c r="F1492" t="s">
        <v>2864</v>
      </c>
      <c r="G1492" t="s">
        <v>3702</v>
      </c>
      <c r="H1492" t="s">
        <v>5722</v>
      </c>
      <c r="I1492" t="s">
        <v>6043</v>
      </c>
      <c r="J1492">
        <v>11233</v>
      </c>
      <c r="K1492" t="s">
        <v>6074</v>
      </c>
      <c r="L1492" t="s">
        <v>6076</v>
      </c>
      <c r="N1492" t="s">
        <v>7275</v>
      </c>
      <c r="O1492" t="s">
        <v>7307</v>
      </c>
      <c r="Q1492" t="s">
        <v>7322</v>
      </c>
      <c r="R1492" t="s">
        <v>6074</v>
      </c>
      <c r="S1492" t="s">
        <v>7324</v>
      </c>
      <c r="T1492" t="s">
        <v>7336</v>
      </c>
      <c r="U1492" t="s">
        <v>287</v>
      </c>
      <c r="V1492">
        <v>0</v>
      </c>
      <c r="W1492" t="s">
        <v>7362</v>
      </c>
      <c r="X1492" t="s">
        <v>7305</v>
      </c>
      <c r="Z1492" t="s">
        <v>8552</v>
      </c>
      <c r="AC1492">
        <v>359</v>
      </c>
      <c r="AD1492" t="s">
        <v>12422</v>
      </c>
      <c r="AF1492">
        <v>1</v>
      </c>
      <c r="AG1492">
        <v>1</v>
      </c>
      <c r="AH1492">
        <v>1</v>
      </c>
      <c r="AI1492">
        <v>86.08</v>
      </c>
      <c r="AL1492" t="s">
        <v>12460</v>
      </c>
      <c r="AM1492">
        <v>14556</v>
      </c>
      <c r="AN1492" t="s">
        <v>12621</v>
      </c>
      <c r="AS1492">
        <v>0</v>
      </c>
      <c r="AU1492" t="s">
        <v>180</v>
      </c>
    </row>
    <row r="1493" spans="1:48">
      <c r="A1493" s="1">
        <f>HYPERLINK("https://cms.ls-nyc.org/matter/dynamic-profile/view/1893754","19-1893754")</f>
        <v>0</v>
      </c>
      <c r="B1493" t="s">
        <v>104</v>
      </c>
      <c r="C1493" t="s">
        <v>275</v>
      </c>
      <c r="E1493" t="s">
        <v>796</v>
      </c>
      <c r="F1493" t="s">
        <v>2285</v>
      </c>
      <c r="G1493" t="s">
        <v>4562</v>
      </c>
      <c r="H1493" t="s">
        <v>5595</v>
      </c>
      <c r="I1493" t="s">
        <v>6047</v>
      </c>
      <c r="J1493">
        <v>10452</v>
      </c>
      <c r="K1493" t="s">
        <v>6074</v>
      </c>
      <c r="L1493" t="s">
        <v>6074</v>
      </c>
      <c r="M1493" t="s">
        <v>6717</v>
      </c>
      <c r="N1493" t="s">
        <v>7276</v>
      </c>
      <c r="O1493" t="s">
        <v>7306</v>
      </c>
      <c r="Q1493" t="s">
        <v>7322</v>
      </c>
      <c r="R1493" t="s">
        <v>6076</v>
      </c>
      <c r="S1493" t="s">
        <v>7324</v>
      </c>
      <c r="T1493" t="s">
        <v>7336</v>
      </c>
      <c r="U1493" t="s">
        <v>275</v>
      </c>
      <c r="V1493">
        <v>1070</v>
      </c>
      <c r="W1493" t="s">
        <v>7363</v>
      </c>
      <c r="X1493" t="s">
        <v>7367</v>
      </c>
      <c r="Z1493" t="s">
        <v>8553</v>
      </c>
      <c r="AC1493">
        <v>0</v>
      </c>
      <c r="AD1493" t="s">
        <v>12422</v>
      </c>
      <c r="AF1493">
        <v>8</v>
      </c>
      <c r="AG1493">
        <v>1</v>
      </c>
      <c r="AH1493">
        <v>4</v>
      </c>
      <c r="AI1493">
        <v>86.18000000000001</v>
      </c>
      <c r="AL1493" t="s">
        <v>12461</v>
      </c>
      <c r="AM1493">
        <v>26000</v>
      </c>
      <c r="AS1493">
        <v>0.1</v>
      </c>
      <c r="AT1493" t="s">
        <v>247</v>
      </c>
      <c r="AU1493" t="s">
        <v>104</v>
      </c>
    </row>
    <row r="1494" spans="1:48">
      <c r="A1494" s="1">
        <f>HYPERLINK("https://cms.ls-nyc.org/matter/dynamic-profile/view/1880247","18-1880247")</f>
        <v>0</v>
      </c>
      <c r="B1494" t="s">
        <v>90</v>
      </c>
      <c r="C1494" t="s">
        <v>391</v>
      </c>
      <c r="D1494" t="s">
        <v>472</v>
      </c>
      <c r="E1494" t="s">
        <v>1388</v>
      </c>
      <c r="F1494" t="s">
        <v>2416</v>
      </c>
      <c r="G1494" t="s">
        <v>3903</v>
      </c>
      <c r="H1494" t="s">
        <v>5364</v>
      </c>
      <c r="I1494" t="s">
        <v>6043</v>
      </c>
      <c r="J1494">
        <v>11212</v>
      </c>
      <c r="K1494" t="s">
        <v>6074</v>
      </c>
      <c r="L1494" t="s">
        <v>6074</v>
      </c>
      <c r="M1494" t="s">
        <v>6104</v>
      </c>
      <c r="N1494" t="s">
        <v>7275</v>
      </c>
      <c r="O1494" t="s">
        <v>7307</v>
      </c>
      <c r="P1494" t="s">
        <v>7319</v>
      </c>
      <c r="Q1494" t="s">
        <v>7322</v>
      </c>
      <c r="R1494" t="s">
        <v>6074</v>
      </c>
      <c r="S1494" t="s">
        <v>7324</v>
      </c>
      <c r="T1494" t="s">
        <v>7336</v>
      </c>
      <c r="U1494" t="s">
        <v>291</v>
      </c>
      <c r="V1494">
        <v>2150</v>
      </c>
      <c r="W1494" t="s">
        <v>7362</v>
      </c>
      <c r="X1494" t="s">
        <v>7376</v>
      </c>
      <c r="Y1494" t="s">
        <v>7396</v>
      </c>
      <c r="Z1494" t="s">
        <v>8554</v>
      </c>
      <c r="AA1494" t="s">
        <v>10161</v>
      </c>
      <c r="AB1494" t="s">
        <v>11296</v>
      </c>
      <c r="AC1494">
        <v>70</v>
      </c>
      <c r="AD1494" t="s">
        <v>12420</v>
      </c>
      <c r="AE1494" t="s">
        <v>12434</v>
      </c>
      <c r="AF1494">
        <v>10</v>
      </c>
      <c r="AG1494">
        <v>3</v>
      </c>
      <c r="AH1494">
        <v>2</v>
      </c>
      <c r="AI1494">
        <v>86.31999999999999</v>
      </c>
      <c r="AL1494" t="s">
        <v>12460</v>
      </c>
      <c r="AM1494">
        <v>25396.8</v>
      </c>
      <c r="AS1494">
        <v>0.5</v>
      </c>
      <c r="AT1494" t="s">
        <v>472</v>
      </c>
      <c r="AU1494" t="s">
        <v>218</v>
      </c>
    </row>
    <row r="1495" spans="1:48">
      <c r="A1495" s="1">
        <f>HYPERLINK("https://cms.ls-nyc.org/matter/dynamic-profile/view/1899272","19-1899272")</f>
        <v>0</v>
      </c>
      <c r="B1495" t="s">
        <v>66</v>
      </c>
      <c r="C1495" t="s">
        <v>363</v>
      </c>
      <c r="D1495" t="s">
        <v>470</v>
      </c>
      <c r="E1495" t="s">
        <v>1389</v>
      </c>
      <c r="F1495" t="s">
        <v>2865</v>
      </c>
      <c r="G1495" t="s">
        <v>4563</v>
      </c>
      <c r="I1495" t="s">
        <v>6027</v>
      </c>
      <c r="J1495">
        <v>11428</v>
      </c>
      <c r="K1495" t="s">
        <v>6074</v>
      </c>
      <c r="L1495" t="s">
        <v>6075</v>
      </c>
      <c r="M1495" t="s">
        <v>6718</v>
      </c>
      <c r="N1495" t="s">
        <v>7277</v>
      </c>
      <c r="O1495" t="s">
        <v>7306</v>
      </c>
      <c r="P1495" t="s">
        <v>7314</v>
      </c>
      <c r="Q1495" t="s">
        <v>7322</v>
      </c>
      <c r="R1495" t="s">
        <v>6076</v>
      </c>
      <c r="S1495" t="s">
        <v>7324</v>
      </c>
      <c r="U1495" t="s">
        <v>363</v>
      </c>
      <c r="V1495">
        <v>0</v>
      </c>
      <c r="W1495" t="s">
        <v>7361</v>
      </c>
      <c r="X1495" t="s">
        <v>7366</v>
      </c>
      <c r="Y1495" t="s">
        <v>7386</v>
      </c>
      <c r="Z1495" t="s">
        <v>8555</v>
      </c>
      <c r="AB1495" t="s">
        <v>11297</v>
      </c>
      <c r="AC1495">
        <v>1</v>
      </c>
      <c r="AF1495">
        <v>2</v>
      </c>
      <c r="AG1495">
        <v>1</v>
      </c>
      <c r="AH1495">
        <v>0</v>
      </c>
      <c r="AI1495">
        <v>86.47</v>
      </c>
      <c r="AL1495" t="s">
        <v>12460</v>
      </c>
      <c r="AM1495">
        <v>10800</v>
      </c>
      <c r="AS1495">
        <v>0.8</v>
      </c>
      <c r="AT1495" t="s">
        <v>501</v>
      </c>
      <c r="AU1495" t="s">
        <v>66</v>
      </c>
    </row>
    <row r="1496" spans="1:48">
      <c r="A1496" s="1">
        <f>HYPERLINK("https://cms.ls-nyc.org/matter/dynamic-profile/view/1900978","19-1900978")</f>
        <v>0</v>
      </c>
      <c r="B1496" t="s">
        <v>142</v>
      </c>
      <c r="C1496" t="s">
        <v>382</v>
      </c>
      <c r="E1496" t="s">
        <v>793</v>
      </c>
      <c r="F1496" t="s">
        <v>2134</v>
      </c>
      <c r="G1496" t="s">
        <v>3871</v>
      </c>
      <c r="H1496" t="s">
        <v>5522</v>
      </c>
      <c r="I1496" t="s">
        <v>6043</v>
      </c>
      <c r="J1496">
        <v>11213</v>
      </c>
      <c r="K1496" t="s">
        <v>6076</v>
      </c>
      <c r="L1496" t="s">
        <v>6075</v>
      </c>
      <c r="N1496" t="s">
        <v>7287</v>
      </c>
      <c r="O1496" t="s">
        <v>7312</v>
      </c>
      <c r="Q1496" t="s">
        <v>7322</v>
      </c>
      <c r="R1496" t="s">
        <v>6074</v>
      </c>
      <c r="S1496" t="s">
        <v>7329</v>
      </c>
      <c r="T1496" t="s">
        <v>7336</v>
      </c>
      <c r="U1496" t="s">
        <v>505</v>
      </c>
      <c r="V1496">
        <v>380.62</v>
      </c>
      <c r="W1496" t="s">
        <v>7362</v>
      </c>
      <c r="X1496" t="s">
        <v>7375</v>
      </c>
      <c r="Z1496" t="s">
        <v>8556</v>
      </c>
      <c r="AB1496" t="s">
        <v>11298</v>
      </c>
      <c r="AC1496">
        <v>19</v>
      </c>
      <c r="AD1496" t="s">
        <v>12422</v>
      </c>
      <c r="AF1496">
        <v>8</v>
      </c>
      <c r="AG1496">
        <v>1</v>
      </c>
      <c r="AH1496">
        <v>0</v>
      </c>
      <c r="AI1496">
        <v>86.47</v>
      </c>
      <c r="AL1496" t="s">
        <v>12460</v>
      </c>
      <c r="AM1496">
        <v>10800</v>
      </c>
      <c r="AN1496" t="s">
        <v>12622</v>
      </c>
      <c r="AS1496">
        <v>0</v>
      </c>
      <c r="AU1496" t="s">
        <v>218</v>
      </c>
      <c r="AV1496" t="s">
        <v>6110</v>
      </c>
    </row>
    <row r="1497" spans="1:48">
      <c r="A1497" s="1">
        <f>HYPERLINK("https://cms.ls-nyc.org/matter/dynamic-profile/view/1891000","19-1891000")</f>
        <v>0</v>
      </c>
      <c r="B1497" t="s">
        <v>97</v>
      </c>
      <c r="C1497" t="s">
        <v>393</v>
      </c>
      <c r="D1497" t="s">
        <v>356</v>
      </c>
      <c r="E1497" t="s">
        <v>928</v>
      </c>
      <c r="F1497" t="s">
        <v>2285</v>
      </c>
      <c r="G1497" t="s">
        <v>4564</v>
      </c>
      <c r="H1497" t="s">
        <v>5436</v>
      </c>
      <c r="I1497" t="s">
        <v>6047</v>
      </c>
      <c r="J1497">
        <v>10468</v>
      </c>
      <c r="K1497" t="s">
        <v>6074</v>
      </c>
      <c r="L1497" t="s">
        <v>6074</v>
      </c>
      <c r="N1497" t="s">
        <v>6104</v>
      </c>
      <c r="O1497" t="s">
        <v>7306</v>
      </c>
      <c r="P1497" t="s">
        <v>7314</v>
      </c>
      <c r="Q1497" t="s">
        <v>7322</v>
      </c>
      <c r="R1497" t="s">
        <v>6076</v>
      </c>
      <c r="S1497" t="s">
        <v>7324</v>
      </c>
      <c r="U1497" t="s">
        <v>251</v>
      </c>
      <c r="V1497">
        <v>1505.6</v>
      </c>
      <c r="W1497" t="s">
        <v>7363</v>
      </c>
      <c r="X1497" t="s">
        <v>7376</v>
      </c>
      <c r="Y1497" t="s">
        <v>7386</v>
      </c>
      <c r="Z1497" t="s">
        <v>8557</v>
      </c>
      <c r="AB1497" t="s">
        <v>11299</v>
      </c>
      <c r="AC1497">
        <v>49</v>
      </c>
      <c r="AD1497" t="s">
        <v>12422</v>
      </c>
      <c r="AE1497" t="s">
        <v>12434</v>
      </c>
      <c r="AF1497">
        <v>8</v>
      </c>
      <c r="AG1497">
        <v>1</v>
      </c>
      <c r="AH1497">
        <v>0</v>
      </c>
      <c r="AI1497">
        <v>86.47</v>
      </c>
      <c r="AL1497" t="s">
        <v>12461</v>
      </c>
      <c r="AM1497">
        <v>10800</v>
      </c>
      <c r="AS1497">
        <v>1.2</v>
      </c>
      <c r="AT1497" t="s">
        <v>356</v>
      </c>
      <c r="AU1497" t="s">
        <v>97</v>
      </c>
    </row>
    <row r="1498" spans="1:48">
      <c r="A1498" s="1">
        <f>HYPERLINK("https://cms.ls-nyc.org/matter/dynamic-profile/view/1898899","19-1898899")</f>
        <v>0</v>
      </c>
      <c r="B1498" t="s">
        <v>125</v>
      </c>
      <c r="C1498" t="s">
        <v>294</v>
      </c>
      <c r="E1498" t="s">
        <v>1390</v>
      </c>
      <c r="F1498" t="s">
        <v>2412</v>
      </c>
      <c r="G1498" t="s">
        <v>4565</v>
      </c>
      <c r="H1498">
        <v>32</v>
      </c>
      <c r="I1498" t="s">
        <v>6049</v>
      </c>
      <c r="J1498">
        <v>10034</v>
      </c>
      <c r="K1498" t="s">
        <v>6074</v>
      </c>
      <c r="L1498" t="s">
        <v>6074</v>
      </c>
      <c r="O1498" t="s">
        <v>7306</v>
      </c>
      <c r="Q1498" t="s">
        <v>7322</v>
      </c>
      <c r="R1498" t="s">
        <v>6076</v>
      </c>
      <c r="S1498" t="s">
        <v>7324</v>
      </c>
      <c r="U1498" t="s">
        <v>294</v>
      </c>
      <c r="V1498">
        <v>0</v>
      </c>
      <c r="W1498" t="s">
        <v>7365</v>
      </c>
      <c r="X1498" t="s">
        <v>7367</v>
      </c>
      <c r="Z1498" t="s">
        <v>8558</v>
      </c>
      <c r="AB1498" t="s">
        <v>11300</v>
      </c>
      <c r="AC1498">
        <v>0</v>
      </c>
      <c r="AD1498" t="s">
        <v>12422</v>
      </c>
      <c r="AE1498" t="s">
        <v>6110</v>
      </c>
      <c r="AF1498">
        <v>0</v>
      </c>
      <c r="AG1498">
        <v>1</v>
      </c>
      <c r="AH1498">
        <v>0</v>
      </c>
      <c r="AI1498">
        <v>86.47</v>
      </c>
      <c r="AL1498" t="s">
        <v>12460</v>
      </c>
      <c r="AM1498">
        <v>10800</v>
      </c>
      <c r="AS1498">
        <v>2.7</v>
      </c>
      <c r="AT1498" t="s">
        <v>381</v>
      </c>
      <c r="AU1498" t="s">
        <v>13106</v>
      </c>
    </row>
    <row r="1499" spans="1:48">
      <c r="A1499" s="1">
        <f>HYPERLINK("https://cms.ls-nyc.org/matter/dynamic-profile/view/1866060","18-1866060")</f>
        <v>0</v>
      </c>
      <c r="B1499" t="s">
        <v>69</v>
      </c>
      <c r="C1499" t="s">
        <v>474</v>
      </c>
      <c r="E1499" t="s">
        <v>880</v>
      </c>
      <c r="F1499" t="s">
        <v>2866</v>
      </c>
      <c r="G1499" t="s">
        <v>4566</v>
      </c>
      <c r="H1499" t="s">
        <v>5723</v>
      </c>
      <c r="I1499" t="s">
        <v>6043</v>
      </c>
      <c r="J1499">
        <v>11233</v>
      </c>
      <c r="K1499" t="s">
        <v>6074</v>
      </c>
      <c r="L1499" t="s">
        <v>6074</v>
      </c>
      <c r="M1499" t="s">
        <v>6719</v>
      </c>
      <c r="N1499" t="s">
        <v>7285</v>
      </c>
      <c r="O1499" t="s">
        <v>7309</v>
      </c>
      <c r="Q1499" t="s">
        <v>7322</v>
      </c>
      <c r="R1499" t="s">
        <v>6076</v>
      </c>
      <c r="S1499" t="s">
        <v>7324</v>
      </c>
      <c r="U1499" t="s">
        <v>502</v>
      </c>
      <c r="V1499">
        <v>654</v>
      </c>
      <c r="W1499" t="s">
        <v>7362</v>
      </c>
      <c r="X1499" t="s">
        <v>7370</v>
      </c>
      <c r="Z1499" t="s">
        <v>8338</v>
      </c>
      <c r="AA1499" t="s">
        <v>10162</v>
      </c>
      <c r="AB1499" t="s">
        <v>11301</v>
      </c>
      <c r="AC1499">
        <v>16</v>
      </c>
      <c r="AD1499" t="s">
        <v>12422</v>
      </c>
      <c r="AE1499" t="s">
        <v>6110</v>
      </c>
      <c r="AF1499">
        <v>36</v>
      </c>
      <c r="AG1499">
        <v>1</v>
      </c>
      <c r="AH1499">
        <v>0</v>
      </c>
      <c r="AI1499">
        <v>86.48999999999999</v>
      </c>
      <c r="AL1499" t="s">
        <v>12460</v>
      </c>
      <c r="AM1499">
        <v>10500</v>
      </c>
      <c r="AS1499">
        <v>12.1</v>
      </c>
      <c r="AT1499" t="s">
        <v>255</v>
      </c>
      <c r="AU1499" t="s">
        <v>13087</v>
      </c>
    </row>
    <row r="1500" spans="1:48">
      <c r="A1500" s="1">
        <f>HYPERLINK("https://cms.ls-nyc.org/matter/dynamic-profile/view/1874671","18-1874671")</f>
        <v>0</v>
      </c>
      <c r="B1500" t="s">
        <v>132</v>
      </c>
      <c r="C1500" t="s">
        <v>378</v>
      </c>
      <c r="D1500" t="s">
        <v>504</v>
      </c>
      <c r="E1500" t="s">
        <v>600</v>
      </c>
      <c r="F1500" t="s">
        <v>2174</v>
      </c>
      <c r="G1500" t="s">
        <v>4567</v>
      </c>
      <c r="H1500" t="s">
        <v>5446</v>
      </c>
      <c r="I1500" t="s">
        <v>6049</v>
      </c>
      <c r="J1500">
        <v>10034</v>
      </c>
      <c r="K1500" t="s">
        <v>6074</v>
      </c>
      <c r="L1500" t="s">
        <v>6074</v>
      </c>
      <c r="N1500" t="s">
        <v>7294</v>
      </c>
      <c r="O1500" t="s">
        <v>7306</v>
      </c>
      <c r="P1500" t="s">
        <v>7314</v>
      </c>
      <c r="Q1500" t="s">
        <v>7322</v>
      </c>
      <c r="R1500" t="s">
        <v>6076</v>
      </c>
      <c r="S1500" t="s">
        <v>7324</v>
      </c>
      <c r="U1500" t="s">
        <v>378</v>
      </c>
      <c r="V1500">
        <v>1450</v>
      </c>
      <c r="W1500" t="s">
        <v>7365</v>
      </c>
      <c r="X1500" t="s">
        <v>7367</v>
      </c>
      <c r="Y1500" t="s">
        <v>7386</v>
      </c>
      <c r="Z1500" t="s">
        <v>8559</v>
      </c>
      <c r="AB1500" t="s">
        <v>11302</v>
      </c>
      <c r="AC1500">
        <v>73</v>
      </c>
      <c r="AD1500" t="s">
        <v>12422</v>
      </c>
      <c r="AE1500" t="s">
        <v>6110</v>
      </c>
      <c r="AF1500">
        <v>9</v>
      </c>
      <c r="AG1500">
        <v>1</v>
      </c>
      <c r="AH1500">
        <v>0</v>
      </c>
      <c r="AI1500">
        <v>86.48999999999999</v>
      </c>
      <c r="AL1500" t="s">
        <v>12461</v>
      </c>
      <c r="AM1500">
        <v>10500</v>
      </c>
      <c r="AS1500">
        <v>0.4</v>
      </c>
      <c r="AT1500" t="s">
        <v>399</v>
      </c>
      <c r="AU1500" t="s">
        <v>13106</v>
      </c>
    </row>
    <row r="1501" spans="1:48">
      <c r="A1501" s="1">
        <f>HYPERLINK("https://cms.ls-nyc.org/matter/dynamic-profile/view/1882302","18-1882302")</f>
        <v>0</v>
      </c>
      <c r="B1501" t="s">
        <v>86</v>
      </c>
      <c r="C1501" t="s">
        <v>431</v>
      </c>
      <c r="E1501" t="s">
        <v>762</v>
      </c>
      <c r="F1501" t="s">
        <v>2546</v>
      </c>
      <c r="G1501" t="s">
        <v>4568</v>
      </c>
      <c r="H1501" t="s">
        <v>5358</v>
      </c>
      <c r="I1501" t="s">
        <v>6043</v>
      </c>
      <c r="J1501">
        <v>11207</v>
      </c>
      <c r="K1501" t="s">
        <v>6074</v>
      </c>
      <c r="L1501" t="s">
        <v>6074</v>
      </c>
      <c r="M1501" t="s">
        <v>6720</v>
      </c>
      <c r="N1501" t="s">
        <v>7302</v>
      </c>
      <c r="O1501" t="s">
        <v>7311</v>
      </c>
      <c r="Q1501" t="s">
        <v>7322</v>
      </c>
      <c r="R1501" t="s">
        <v>6076</v>
      </c>
      <c r="S1501" t="s">
        <v>7327</v>
      </c>
      <c r="T1501" t="s">
        <v>7336</v>
      </c>
      <c r="U1501" t="s">
        <v>442</v>
      </c>
      <c r="V1501">
        <v>1277</v>
      </c>
      <c r="W1501" t="s">
        <v>7362</v>
      </c>
      <c r="X1501" t="s">
        <v>7368</v>
      </c>
      <c r="Z1501" t="s">
        <v>8560</v>
      </c>
      <c r="AA1501" t="s">
        <v>10163</v>
      </c>
      <c r="AB1501" t="s">
        <v>11303</v>
      </c>
      <c r="AC1501">
        <v>6</v>
      </c>
      <c r="AD1501" t="s">
        <v>12422</v>
      </c>
      <c r="AE1501" t="s">
        <v>12435</v>
      </c>
      <c r="AF1501">
        <v>23</v>
      </c>
      <c r="AG1501">
        <v>2</v>
      </c>
      <c r="AH1501">
        <v>1</v>
      </c>
      <c r="AI1501">
        <v>86.58</v>
      </c>
      <c r="AL1501" t="s">
        <v>12460</v>
      </c>
      <c r="AM1501">
        <v>17992</v>
      </c>
      <c r="AS1501">
        <v>47.25</v>
      </c>
      <c r="AT1501" t="s">
        <v>554</v>
      </c>
      <c r="AU1501" t="s">
        <v>218</v>
      </c>
    </row>
    <row r="1502" spans="1:48">
      <c r="A1502" s="1">
        <f>HYPERLINK("https://cms.ls-nyc.org/matter/dynamic-profile/view/1892699","19-1892699")</f>
        <v>0</v>
      </c>
      <c r="B1502" t="s">
        <v>129</v>
      </c>
      <c r="C1502" t="s">
        <v>395</v>
      </c>
      <c r="E1502" t="s">
        <v>1391</v>
      </c>
      <c r="F1502" t="s">
        <v>2867</v>
      </c>
      <c r="G1502" t="s">
        <v>4569</v>
      </c>
      <c r="H1502" t="s">
        <v>5724</v>
      </c>
      <c r="I1502" t="s">
        <v>6049</v>
      </c>
      <c r="J1502">
        <v>10034</v>
      </c>
      <c r="K1502" t="s">
        <v>6074</v>
      </c>
      <c r="L1502" t="s">
        <v>6074</v>
      </c>
      <c r="N1502" t="s">
        <v>7279</v>
      </c>
      <c r="O1502" t="s">
        <v>7306</v>
      </c>
      <c r="Q1502" t="s">
        <v>7322</v>
      </c>
      <c r="R1502" t="s">
        <v>6076</v>
      </c>
      <c r="S1502" t="s">
        <v>7324</v>
      </c>
      <c r="U1502" t="s">
        <v>275</v>
      </c>
      <c r="V1502">
        <v>1912</v>
      </c>
      <c r="W1502" t="s">
        <v>7365</v>
      </c>
      <c r="X1502" t="s">
        <v>7367</v>
      </c>
      <c r="Z1502" t="s">
        <v>8561</v>
      </c>
      <c r="AA1502" t="s">
        <v>10164</v>
      </c>
      <c r="AC1502">
        <v>60</v>
      </c>
      <c r="AD1502" t="s">
        <v>12422</v>
      </c>
      <c r="AE1502" t="s">
        <v>6110</v>
      </c>
      <c r="AF1502">
        <v>18</v>
      </c>
      <c r="AG1502">
        <v>2</v>
      </c>
      <c r="AH1502">
        <v>1</v>
      </c>
      <c r="AI1502">
        <v>86.58</v>
      </c>
      <c r="AL1502" t="s">
        <v>12460</v>
      </c>
      <c r="AM1502">
        <v>18468</v>
      </c>
      <c r="AS1502">
        <v>1.75</v>
      </c>
      <c r="AT1502" t="s">
        <v>367</v>
      </c>
      <c r="AU1502" t="s">
        <v>13104</v>
      </c>
    </row>
    <row r="1503" spans="1:48">
      <c r="A1503" s="1">
        <f>HYPERLINK("https://cms.ls-nyc.org/matter/dynamic-profile/view/1873213","18-1873213")</f>
        <v>0</v>
      </c>
      <c r="B1503" t="s">
        <v>49</v>
      </c>
      <c r="C1503" t="s">
        <v>419</v>
      </c>
      <c r="E1503" t="s">
        <v>1392</v>
      </c>
      <c r="F1503" t="s">
        <v>2868</v>
      </c>
      <c r="G1503" t="s">
        <v>4570</v>
      </c>
      <c r="I1503" t="s">
        <v>6025</v>
      </c>
      <c r="J1503">
        <v>11691</v>
      </c>
      <c r="K1503" t="s">
        <v>6074</v>
      </c>
      <c r="L1503" t="s">
        <v>6074</v>
      </c>
      <c r="M1503" t="s">
        <v>6721</v>
      </c>
      <c r="N1503" t="s">
        <v>7274</v>
      </c>
      <c r="O1503" t="s">
        <v>7306</v>
      </c>
      <c r="Q1503" t="s">
        <v>7322</v>
      </c>
      <c r="R1503" t="s">
        <v>6076</v>
      </c>
      <c r="S1503" t="s">
        <v>7324</v>
      </c>
      <c r="T1503" t="s">
        <v>7336</v>
      </c>
      <c r="U1503" t="s">
        <v>7343</v>
      </c>
      <c r="V1503">
        <v>500</v>
      </c>
      <c r="W1503" t="s">
        <v>7361</v>
      </c>
      <c r="X1503" t="s">
        <v>7366</v>
      </c>
      <c r="Z1503" t="s">
        <v>8562</v>
      </c>
      <c r="AA1503" t="s">
        <v>6170</v>
      </c>
      <c r="AB1503" t="s">
        <v>11304</v>
      </c>
      <c r="AC1503">
        <v>2</v>
      </c>
      <c r="AD1503" t="s">
        <v>12419</v>
      </c>
      <c r="AE1503" t="s">
        <v>6110</v>
      </c>
      <c r="AF1503">
        <v>3</v>
      </c>
      <c r="AG1503">
        <v>2</v>
      </c>
      <c r="AH1503">
        <v>1</v>
      </c>
      <c r="AI1503">
        <v>86.62</v>
      </c>
      <c r="AK1503" t="s">
        <v>12457</v>
      </c>
      <c r="AL1503" t="s">
        <v>12460</v>
      </c>
      <c r="AM1503">
        <v>18000</v>
      </c>
      <c r="AS1503">
        <v>1.85</v>
      </c>
      <c r="AT1503" t="s">
        <v>310</v>
      </c>
      <c r="AU1503" t="s">
        <v>189</v>
      </c>
    </row>
    <row r="1504" spans="1:48">
      <c r="A1504" s="1">
        <f>HYPERLINK("https://cms.ls-nyc.org/matter/dynamic-profile/view/1893387","19-1893387")</f>
        <v>0</v>
      </c>
      <c r="B1504" t="s">
        <v>116</v>
      </c>
      <c r="C1504" t="s">
        <v>332</v>
      </c>
      <c r="D1504" t="s">
        <v>361</v>
      </c>
      <c r="E1504" t="s">
        <v>1393</v>
      </c>
      <c r="F1504" t="s">
        <v>2738</v>
      </c>
      <c r="G1504" t="s">
        <v>4571</v>
      </c>
      <c r="H1504">
        <v>12</v>
      </c>
      <c r="I1504" t="s">
        <v>6047</v>
      </c>
      <c r="J1504">
        <v>10454</v>
      </c>
      <c r="K1504" t="s">
        <v>6074</v>
      </c>
      <c r="L1504" t="s">
        <v>6074</v>
      </c>
      <c r="N1504" t="s">
        <v>7279</v>
      </c>
      <c r="O1504" t="s">
        <v>7306</v>
      </c>
      <c r="P1504" t="s">
        <v>7314</v>
      </c>
      <c r="Q1504" t="s">
        <v>7322</v>
      </c>
      <c r="R1504" t="s">
        <v>6076</v>
      </c>
      <c r="S1504" t="s">
        <v>7324</v>
      </c>
      <c r="U1504" t="s">
        <v>332</v>
      </c>
      <c r="V1504">
        <v>1700</v>
      </c>
      <c r="W1504" t="s">
        <v>7363</v>
      </c>
      <c r="X1504" t="s">
        <v>7376</v>
      </c>
      <c r="Y1504" t="s">
        <v>7386</v>
      </c>
      <c r="Z1504" t="s">
        <v>8563</v>
      </c>
      <c r="AC1504">
        <v>0</v>
      </c>
      <c r="AD1504" t="s">
        <v>12422</v>
      </c>
      <c r="AE1504" t="s">
        <v>6110</v>
      </c>
      <c r="AF1504">
        <v>1</v>
      </c>
      <c r="AG1504">
        <v>2</v>
      </c>
      <c r="AH1504">
        <v>4</v>
      </c>
      <c r="AI1504">
        <v>86.73</v>
      </c>
      <c r="AL1504" t="s">
        <v>12461</v>
      </c>
      <c r="AM1504">
        <v>30000</v>
      </c>
      <c r="AS1504">
        <v>1.25</v>
      </c>
      <c r="AT1504" t="s">
        <v>313</v>
      </c>
      <c r="AU1504" t="s">
        <v>116</v>
      </c>
    </row>
    <row r="1505" spans="1:48">
      <c r="A1505" s="1">
        <f>HYPERLINK("https://cms.ls-nyc.org/matter/dynamic-profile/view/1878913","18-1878913")</f>
        <v>0</v>
      </c>
      <c r="B1505" t="s">
        <v>133</v>
      </c>
      <c r="C1505" t="s">
        <v>438</v>
      </c>
      <c r="E1505" t="s">
        <v>1394</v>
      </c>
      <c r="F1505" t="s">
        <v>2869</v>
      </c>
      <c r="G1505" t="s">
        <v>4128</v>
      </c>
      <c r="H1505" t="s">
        <v>5357</v>
      </c>
      <c r="I1505" t="s">
        <v>6049</v>
      </c>
      <c r="J1505">
        <v>10040</v>
      </c>
      <c r="K1505" t="s">
        <v>6074</v>
      </c>
      <c r="L1505" t="s">
        <v>6074</v>
      </c>
      <c r="N1505" t="s">
        <v>7279</v>
      </c>
      <c r="O1505" t="s">
        <v>7308</v>
      </c>
      <c r="Q1505" t="s">
        <v>7322</v>
      </c>
      <c r="R1505" t="s">
        <v>6074</v>
      </c>
      <c r="S1505" t="s">
        <v>7324</v>
      </c>
      <c r="U1505" t="s">
        <v>438</v>
      </c>
      <c r="V1505">
        <v>531.28</v>
      </c>
      <c r="W1505" t="s">
        <v>7365</v>
      </c>
      <c r="X1505" t="s">
        <v>7375</v>
      </c>
      <c r="Z1505" t="s">
        <v>8564</v>
      </c>
      <c r="AB1505" t="s">
        <v>11305</v>
      </c>
      <c r="AC1505">
        <v>88</v>
      </c>
      <c r="AD1505" t="s">
        <v>12422</v>
      </c>
      <c r="AE1505" t="s">
        <v>12441</v>
      </c>
      <c r="AF1505">
        <v>40</v>
      </c>
      <c r="AG1505">
        <v>1</v>
      </c>
      <c r="AH1505">
        <v>0</v>
      </c>
      <c r="AI1505">
        <v>86.98999999999999</v>
      </c>
      <c r="AL1505" t="s">
        <v>12461</v>
      </c>
      <c r="AM1505">
        <v>10560</v>
      </c>
      <c r="AS1505">
        <v>0</v>
      </c>
      <c r="AU1505" t="s">
        <v>13106</v>
      </c>
    </row>
    <row r="1506" spans="1:48">
      <c r="A1506" s="1">
        <f>HYPERLINK("https://cms.ls-nyc.org/matter/dynamic-profile/view/1895732","19-1895732")</f>
        <v>0</v>
      </c>
      <c r="B1506" t="s">
        <v>126</v>
      </c>
      <c r="C1506" t="s">
        <v>315</v>
      </c>
      <c r="E1506" t="s">
        <v>1129</v>
      </c>
      <c r="F1506" t="s">
        <v>2870</v>
      </c>
      <c r="G1506" t="s">
        <v>3884</v>
      </c>
      <c r="H1506" t="s">
        <v>5725</v>
      </c>
      <c r="I1506" t="s">
        <v>6049</v>
      </c>
      <c r="J1506">
        <v>10029</v>
      </c>
      <c r="K1506" t="s">
        <v>6074</v>
      </c>
      <c r="L1506" t="s">
        <v>6074</v>
      </c>
      <c r="N1506" t="s">
        <v>7290</v>
      </c>
      <c r="O1506" t="s">
        <v>7307</v>
      </c>
      <c r="Q1506" t="s">
        <v>7322</v>
      </c>
      <c r="R1506" t="s">
        <v>6076</v>
      </c>
      <c r="S1506" t="s">
        <v>7333</v>
      </c>
      <c r="T1506" t="s">
        <v>7336</v>
      </c>
      <c r="U1506" t="s">
        <v>315</v>
      </c>
      <c r="V1506">
        <v>1100</v>
      </c>
      <c r="W1506" t="s">
        <v>7365</v>
      </c>
      <c r="X1506" t="s">
        <v>7368</v>
      </c>
      <c r="Z1506" t="s">
        <v>8565</v>
      </c>
      <c r="AB1506" t="s">
        <v>11306</v>
      </c>
      <c r="AC1506">
        <v>120</v>
      </c>
      <c r="AD1506" t="s">
        <v>12423</v>
      </c>
      <c r="AE1506" t="s">
        <v>12434</v>
      </c>
      <c r="AF1506">
        <v>15</v>
      </c>
      <c r="AG1506">
        <v>1</v>
      </c>
      <c r="AH1506">
        <v>0</v>
      </c>
      <c r="AI1506">
        <v>87.09</v>
      </c>
      <c r="AL1506" t="s">
        <v>12460</v>
      </c>
      <c r="AM1506">
        <v>10878</v>
      </c>
      <c r="AS1506">
        <v>16.25</v>
      </c>
      <c r="AT1506" t="s">
        <v>362</v>
      </c>
      <c r="AU1506" t="s">
        <v>13107</v>
      </c>
    </row>
    <row r="1507" spans="1:48">
      <c r="A1507" s="1">
        <f>HYPERLINK("https://cms.ls-nyc.org/matter/dynamic-profile/view/1897175","19-1897175")</f>
        <v>0</v>
      </c>
      <c r="B1507" t="s">
        <v>72</v>
      </c>
      <c r="C1507" t="s">
        <v>279</v>
      </c>
      <c r="E1507" t="s">
        <v>828</v>
      </c>
      <c r="F1507" t="s">
        <v>2528</v>
      </c>
      <c r="G1507" t="s">
        <v>3701</v>
      </c>
      <c r="H1507" t="s">
        <v>5726</v>
      </c>
      <c r="I1507" t="s">
        <v>6043</v>
      </c>
      <c r="J1507">
        <v>11233</v>
      </c>
      <c r="K1507" t="s">
        <v>6074</v>
      </c>
      <c r="L1507" t="s">
        <v>6076</v>
      </c>
      <c r="N1507" t="s">
        <v>7279</v>
      </c>
      <c r="O1507" t="s">
        <v>7311</v>
      </c>
      <c r="Q1507" t="s">
        <v>7322</v>
      </c>
      <c r="R1507" t="s">
        <v>6074</v>
      </c>
      <c r="S1507" t="s">
        <v>7324</v>
      </c>
      <c r="T1507" t="s">
        <v>7336</v>
      </c>
      <c r="U1507" t="s">
        <v>330</v>
      </c>
      <c r="V1507">
        <v>603.74</v>
      </c>
      <c r="W1507" t="s">
        <v>7362</v>
      </c>
      <c r="X1507" t="s">
        <v>7305</v>
      </c>
      <c r="Z1507" t="s">
        <v>8566</v>
      </c>
      <c r="AC1507">
        <v>359</v>
      </c>
      <c r="AD1507" t="s">
        <v>12422</v>
      </c>
      <c r="AE1507" t="s">
        <v>6110</v>
      </c>
      <c r="AF1507">
        <v>50</v>
      </c>
      <c r="AG1507">
        <v>1</v>
      </c>
      <c r="AH1507">
        <v>0</v>
      </c>
      <c r="AI1507">
        <v>87.33</v>
      </c>
      <c r="AL1507" t="s">
        <v>12460</v>
      </c>
      <c r="AM1507">
        <v>10908</v>
      </c>
      <c r="AN1507" t="s">
        <v>12620</v>
      </c>
      <c r="AS1507">
        <v>0</v>
      </c>
      <c r="AU1507" t="s">
        <v>180</v>
      </c>
    </row>
    <row r="1508" spans="1:48">
      <c r="A1508" s="1">
        <f>HYPERLINK("https://cms.ls-nyc.org/matter/dynamic-profile/view/1897179","19-1897179")</f>
        <v>0</v>
      </c>
      <c r="B1508" t="s">
        <v>72</v>
      </c>
      <c r="C1508" t="s">
        <v>279</v>
      </c>
      <c r="E1508" t="s">
        <v>828</v>
      </c>
      <c r="F1508" t="s">
        <v>2528</v>
      </c>
      <c r="G1508" t="s">
        <v>3701</v>
      </c>
      <c r="H1508" t="s">
        <v>5726</v>
      </c>
      <c r="I1508" t="s">
        <v>6043</v>
      </c>
      <c r="J1508">
        <v>11233</v>
      </c>
      <c r="K1508" t="s">
        <v>6074</v>
      </c>
      <c r="L1508" t="s">
        <v>6076</v>
      </c>
      <c r="N1508" t="s">
        <v>7275</v>
      </c>
      <c r="O1508" t="s">
        <v>7307</v>
      </c>
      <c r="Q1508" t="s">
        <v>7322</v>
      </c>
      <c r="R1508" t="s">
        <v>6074</v>
      </c>
      <c r="S1508" t="s">
        <v>7324</v>
      </c>
      <c r="T1508" t="s">
        <v>7336</v>
      </c>
      <c r="U1508" t="s">
        <v>287</v>
      </c>
      <c r="V1508">
        <v>603.74</v>
      </c>
      <c r="W1508" t="s">
        <v>7362</v>
      </c>
      <c r="X1508" t="s">
        <v>7305</v>
      </c>
      <c r="Z1508" t="s">
        <v>8566</v>
      </c>
      <c r="AC1508">
        <v>359</v>
      </c>
      <c r="AD1508" t="s">
        <v>12422</v>
      </c>
      <c r="AF1508">
        <v>50</v>
      </c>
      <c r="AG1508">
        <v>1</v>
      </c>
      <c r="AH1508">
        <v>0</v>
      </c>
      <c r="AI1508">
        <v>87.33</v>
      </c>
      <c r="AL1508" t="s">
        <v>12460</v>
      </c>
      <c r="AM1508">
        <v>10908</v>
      </c>
      <c r="AN1508" t="s">
        <v>12623</v>
      </c>
      <c r="AS1508">
        <v>0</v>
      </c>
      <c r="AU1508" t="s">
        <v>180</v>
      </c>
    </row>
    <row r="1509" spans="1:48">
      <c r="A1509" s="1">
        <f>HYPERLINK("https://cms.ls-nyc.org/matter/dynamic-profile/view/1882730","18-1882730")</f>
        <v>0</v>
      </c>
      <c r="B1509" t="s">
        <v>132</v>
      </c>
      <c r="C1509" t="s">
        <v>296</v>
      </c>
      <c r="D1509" t="s">
        <v>434</v>
      </c>
      <c r="E1509" t="s">
        <v>1395</v>
      </c>
      <c r="F1509" t="s">
        <v>2871</v>
      </c>
      <c r="G1509" t="s">
        <v>4572</v>
      </c>
      <c r="H1509" t="s">
        <v>5447</v>
      </c>
      <c r="I1509" t="s">
        <v>6049</v>
      </c>
      <c r="J1509">
        <v>10034</v>
      </c>
      <c r="K1509" t="s">
        <v>6074</v>
      </c>
      <c r="L1509" t="s">
        <v>6074</v>
      </c>
      <c r="O1509" t="s">
        <v>7306</v>
      </c>
      <c r="P1509" t="s">
        <v>7314</v>
      </c>
      <c r="Q1509" t="s">
        <v>7322</v>
      </c>
      <c r="R1509" t="s">
        <v>6076</v>
      </c>
      <c r="S1509" t="s">
        <v>7324</v>
      </c>
      <c r="U1509" t="s">
        <v>296</v>
      </c>
      <c r="V1509">
        <v>690.7</v>
      </c>
      <c r="W1509" t="s">
        <v>7365</v>
      </c>
      <c r="X1509" t="s">
        <v>7367</v>
      </c>
      <c r="Y1509" t="s">
        <v>7386</v>
      </c>
      <c r="Z1509" t="s">
        <v>8567</v>
      </c>
      <c r="AB1509" t="s">
        <v>11307</v>
      </c>
      <c r="AC1509">
        <v>22</v>
      </c>
      <c r="AD1509" t="s">
        <v>12422</v>
      </c>
      <c r="AE1509" t="s">
        <v>12441</v>
      </c>
      <c r="AF1509">
        <v>40</v>
      </c>
      <c r="AG1509">
        <v>1</v>
      </c>
      <c r="AH1509">
        <v>0</v>
      </c>
      <c r="AI1509">
        <v>87.38</v>
      </c>
      <c r="AL1509" t="s">
        <v>12461</v>
      </c>
      <c r="AM1509">
        <v>10608</v>
      </c>
      <c r="AS1509">
        <v>0.2</v>
      </c>
      <c r="AT1509" t="s">
        <v>504</v>
      </c>
      <c r="AU1509" t="s">
        <v>13106</v>
      </c>
    </row>
    <row r="1510" spans="1:48">
      <c r="A1510" s="1">
        <f>HYPERLINK("https://cms.ls-nyc.org/matter/dynamic-profile/view/1892359","19-1892359")</f>
        <v>0</v>
      </c>
      <c r="B1510" t="s">
        <v>76</v>
      </c>
      <c r="C1510" t="s">
        <v>337</v>
      </c>
      <c r="E1510" t="s">
        <v>1396</v>
      </c>
      <c r="F1510" t="s">
        <v>2872</v>
      </c>
      <c r="G1510" t="s">
        <v>4573</v>
      </c>
      <c r="H1510">
        <v>1</v>
      </c>
      <c r="I1510" t="s">
        <v>6043</v>
      </c>
      <c r="J1510">
        <v>11208</v>
      </c>
      <c r="K1510" t="s">
        <v>6074</v>
      </c>
      <c r="L1510" t="s">
        <v>6074</v>
      </c>
      <c r="M1510" t="s">
        <v>6722</v>
      </c>
      <c r="N1510" t="s">
        <v>7274</v>
      </c>
      <c r="O1510" t="s">
        <v>7308</v>
      </c>
      <c r="Q1510" t="s">
        <v>7322</v>
      </c>
      <c r="R1510" t="s">
        <v>6076</v>
      </c>
      <c r="S1510" t="s">
        <v>7324</v>
      </c>
      <c r="U1510" t="s">
        <v>359</v>
      </c>
      <c r="V1510">
        <v>1268</v>
      </c>
      <c r="W1510" t="s">
        <v>7362</v>
      </c>
      <c r="X1510" t="s">
        <v>7366</v>
      </c>
      <c r="Z1510" t="s">
        <v>8568</v>
      </c>
      <c r="AA1510" t="s">
        <v>10165</v>
      </c>
      <c r="AC1510">
        <v>3</v>
      </c>
      <c r="AD1510" t="s">
        <v>12419</v>
      </c>
      <c r="AE1510" t="s">
        <v>12433</v>
      </c>
      <c r="AF1510">
        <v>1</v>
      </c>
      <c r="AG1510">
        <v>1</v>
      </c>
      <c r="AH1510">
        <v>0</v>
      </c>
      <c r="AI1510">
        <v>87.43000000000001</v>
      </c>
      <c r="AL1510" t="s">
        <v>12460</v>
      </c>
      <c r="AM1510">
        <v>10920</v>
      </c>
      <c r="AS1510">
        <v>42.1</v>
      </c>
      <c r="AT1510" t="s">
        <v>343</v>
      </c>
      <c r="AU1510" t="s">
        <v>180</v>
      </c>
    </row>
    <row r="1511" spans="1:48">
      <c r="A1511" s="1">
        <f>HYPERLINK("https://cms.ls-nyc.org/matter/dynamic-profile/view/1873770","18-1873770")</f>
        <v>0</v>
      </c>
      <c r="B1511" t="s">
        <v>189</v>
      </c>
      <c r="C1511" t="s">
        <v>402</v>
      </c>
      <c r="D1511" t="s">
        <v>353</v>
      </c>
      <c r="E1511" t="s">
        <v>1397</v>
      </c>
      <c r="F1511" t="s">
        <v>2873</v>
      </c>
      <c r="G1511" t="s">
        <v>4574</v>
      </c>
      <c r="H1511">
        <v>102</v>
      </c>
      <c r="I1511" t="s">
        <v>6024</v>
      </c>
      <c r="J1511">
        <v>11692</v>
      </c>
      <c r="K1511" t="s">
        <v>6074</v>
      </c>
      <c r="L1511" t="s">
        <v>6074</v>
      </c>
      <c r="M1511" t="s">
        <v>6723</v>
      </c>
      <c r="N1511" t="s">
        <v>7276</v>
      </c>
      <c r="O1511" t="s">
        <v>7306</v>
      </c>
      <c r="P1511" t="s">
        <v>7314</v>
      </c>
      <c r="Q1511" t="s">
        <v>7322</v>
      </c>
      <c r="R1511" t="s">
        <v>6076</v>
      </c>
      <c r="S1511" t="s">
        <v>7324</v>
      </c>
      <c r="T1511" t="s">
        <v>7336</v>
      </c>
      <c r="U1511" t="s">
        <v>231</v>
      </c>
      <c r="V1511">
        <v>2350</v>
      </c>
      <c r="W1511" t="s">
        <v>7361</v>
      </c>
      <c r="X1511" t="s">
        <v>7366</v>
      </c>
      <c r="Y1511" t="s">
        <v>7386</v>
      </c>
      <c r="Z1511" t="s">
        <v>8569</v>
      </c>
      <c r="AA1511" t="s">
        <v>10166</v>
      </c>
      <c r="AB1511" t="s">
        <v>11308</v>
      </c>
      <c r="AC1511">
        <v>1091</v>
      </c>
      <c r="AD1511" t="s">
        <v>12423</v>
      </c>
      <c r="AE1511" t="s">
        <v>12434</v>
      </c>
      <c r="AF1511">
        <v>26</v>
      </c>
      <c r="AG1511">
        <v>1</v>
      </c>
      <c r="AH1511">
        <v>2</v>
      </c>
      <c r="AI1511">
        <v>87.58</v>
      </c>
      <c r="AL1511" t="s">
        <v>12460</v>
      </c>
      <c r="AM1511">
        <v>18200</v>
      </c>
      <c r="AS1511">
        <v>0.3</v>
      </c>
      <c r="AT1511" t="s">
        <v>353</v>
      </c>
      <c r="AU1511" t="s">
        <v>189</v>
      </c>
    </row>
    <row r="1512" spans="1:48">
      <c r="A1512" s="1">
        <f>HYPERLINK("https://cms.ls-nyc.org/matter/dynamic-profile/view/1871791","18-1871791")</f>
        <v>0</v>
      </c>
      <c r="B1512" t="s">
        <v>80</v>
      </c>
      <c r="C1512" t="s">
        <v>475</v>
      </c>
      <c r="E1512" t="s">
        <v>1002</v>
      </c>
      <c r="F1512" t="s">
        <v>2474</v>
      </c>
      <c r="G1512" t="s">
        <v>4283</v>
      </c>
      <c r="H1512" t="s">
        <v>5441</v>
      </c>
      <c r="I1512" t="s">
        <v>6043</v>
      </c>
      <c r="J1512">
        <v>11206</v>
      </c>
      <c r="K1512" t="s">
        <v>6074</v>
      </c>
      <c r="L1512" t="s">
        <v>6074</v>
      </c>
      <c r="N1512" t="s">
        <v>7275</v>
      </c>
      <c r="O1512" t="s">
        <v>7311</v>
      </c>
      <c r="Q1512" t="s">
        <v>7322</v>
      </c>
      <c r="R1512" t="s">
        <v>6074</v>
      </c>
      <c r="S1512" t="s">
        <v>7324</v>
      </c>
      <c r="U1512" t="s">
        <v>475</v>
      </c>
      <c r="V1512">
        <v>611.9299999999999</v>
      </c>
      <c r="W1512" t="s">
        <v>7362</v>
      </c>
      <c r="X1512" t="s">
        <v>7305</v>
      </c>
      <c r="Z1512" t="s">
        <v>8570</v>
      </c>
      <c r="AA1512" t="s">
        <v>10167</v>
      </c>
      <c r="AB1512" t="s">
        <v>11309</v>
      </c>
      <c r="AC1512">
        <v>25</v>
      </c>
      <c r="AD1512" t="s">
        <v>12422</v>
      </c>
      <c r="AF1512">
        <v>7</v>
      </c>
      <c r="AG1512">
        <v>1</v>
      </c>
      <c r="AH1512">
        <v>2</v>
      </c>
      <c r="AI1512">
        <v>87.58</v>
      </c>
      <c r="AL1512" t="s">
        <v>12460</v>
      </c>
      <c r="AM1512">
        <v>18200</v>
      </c>
      <c r="AN1512" t="s">
        <v>12624</v>
      </c>
      <c r="AS1512">
        <v>0</v>
      </c>
      <c r="AU1512" t="s">
        <v>13121</v>
      </c>
    </row>
    <row r="1513" spans="1:48">
      <c r="A1513" s="1">
        <f>HYPERLINK("https://cms.ls-nyc.org/matter/dynamic-profile/view/1878325","18-1878325")</f>
        <v>0</v>
      </c>
      <c r="B1513" t="s">
        <v>140</v>
      </c>
      <c r="C1513" t="s">
        <v>373</v>
      </c>
      <c r="E1513" t="s">
        <v>788</v>
      </c>
      <c r="F1513" t="s">
        <v>2274</v>
      </c>
      <c r="G1513" t="s">
        <v>4575</v>
      </c>
      <c r="H1513">
        <v>1</v>
      </c>
      <c r="I1513" t="s">
        <v>6049</v>
      </c>
      <c r="J1513">
        <v>10033</v>
      </c>
      <c r="K1513" t="s">
        <v>6074</v>
      </c>
      <c r="L1513" t="s">
        <v>6075</v>
      </c>
      <c r="M1513" t="s">
        <v>6724</v>
      </c>
      <c r="N1513" t="s">
        <v>7276</v>
      </c>
      <c r="O1513" t="s">
        <v>7306</v>
      </c>
      <c r="Q1513" t="s">
        <v>7322</v>
      </c>
      <c r="R1513" t="s">
        <v>6076</v>
      </c>
      <c r="S1513" t="s">
        <v>7324</v>
      </c>
      <c r="U1513" t="s">
        <v>255</v>
      </c>
      <c r="V1513">
        <v>1157.5</v>
      </c>
      <c r="W1513" t="s">
        <v>7365</v>
      </c>
      <c r="X1513" t="s">
        <v>7378</v>
      </c>
      <c r="Z1513" t="s">
        <v>8571</v>
      </c>
      <c r="AC1513">
        <v>0</v>
      </c>
      <c r="AD1513" t="s">
        <v>12422</v>
      </c>
      <c r="AE1513" t="s">
        <v>6110</v>
      </c>
      <c r="AF1513">
        <v>14</v>
      </c>
      <c r="AG1513">
        <v>2</v>
      </c>
      <c r="AH1513">
        <v>1</v>
      </c>
      <c r="AI1513">
        <v>87.58</v>
      </c>
      <c r="AL1513" t="s">
        <v>12461</v>
      </c>
      <c r="AM1513">
        <v>18200</v>
      </c>
      <c r="AS1513">
        <v>1.8</v>
      </c>
      <c r="AT1513" t="s">
        <v>333</v>
      </c>
      <c r="AU1513" t="s">
        <v>13107</v>
      </c>
    </row>
    <row r="1514" spans="1:48">
      <c r="A1514" s="1">
        <f>HYPERLINK("https://cms.ls-nyc.org/matter/dynamic-profile/view/1882776","18-1882776")</f>
        <v>0</v>
      </c>
      <c r="B1514" t="s">
        <v>130</v>
      </c>
      <c r="C1514" t="s">
        <v>246</v>
      </c>
      <c r="E1514" t="s">
        <v>1398</v>
      </c>
      <c r="F1514" t="s">
        <v>2501</v>
      </c>
      <c r="G1514" t="s">
        <v>4576</v>
      </c>
      <c r="H1514">
        <v>4</v>
      </c>
      <c r="I1514" t="s">
        <v>6049</v>
      </c>
      <c r="J1514">
        <v>10032</v>
      </c>
      <c r="K1514" t="s">
        <v>6074</v>
      </c>
      <c r="L1514" t="s">
        <v>6074</v>
      </c>
      <c r="N1514" t="s">
        <v>7278</v>
      </c>
      <c r="O1514" t="s">
        <v>7307</v>
      </c>
      <c r="Q1514" t="s">
        <v>7322</v>
      </c>
      <c r="R1514" t="s">
        <v>6076</v>
      </c>
      <c r="S1514" t="s">
        <v>7324</v>
      </c>
      <c r="U1514" t="s">
        <v>246</v>
      </c>
      <c r="V1514">
        <v>1025</v>
      </c>
      <c r="W1514" t="s">
        <v>7365</v>
      </c>
      <c r="X1514" t="s">
        <v>7367</v>
      </c>
      <c r="Z1514" t="s">
        <v>8572</v>
      </c>
      <c r="AB1514" t="s">
        <v>11310</v>
      </c>
      <c r="AC1514">
        <v>42</v>
      </c>
      <c r="AD1514" t="s">
        <v>12422</v>
      </c>
      <c r="AE1514" t="s">
        <v>6110</v>
      </c>
      <c r="AF1514">
        <v>24</v>
      </c>
      <c r="AG1514">
        <v>2</v>
      </c>
      <c r="AH1514">
        <v>1</v>
      </c>
      <c r="AI1514">
        <v>87.58</v>
      </c>
      <c r="AL1514" t="s">
        <v>12461</v>
      </c>
      <c r="AM1514">
        <v>18200</v>
      </c>
      <c r="AS1514">
        <v>7.1</v>
      </c>
      <c r="AT1514" t="s">
        <v>387</v>
      </c>
      <c r="AU1514" t="s">
        <v>13106</v>
      </c>
    </row>
    <row r="1515" spans="1:48">
      <c r="A1515" s="1">
        <f>HYPERLINK("https://cms.ls-nyc.org/matter/dynamic-profile/view/1886645","18-1886645")</f>
        <v>0</v>
      </c>
      <c r="B1515" t="s">
        <v>70</v>
      </c>
      <c r="C1515" t="s">
        <v>465</v>
      </c>
      <c r="E1515" t="s">
        <v>659</v>
      </c>
      <c r="F1515" t="s">
        <v>2762</v>
      </c>
      <c r="G1515" t="s">
        <v>4577</v>
      </c>
      <c r="H1515" t="s">
        <v>5727</v>
      </c>
      <c r="I1515" t="s">
        <v>6043</v>
      </c>
      <c r="J1515">
        <v>11216</v>
      </c>
      <c r="K1515" t="s">
        <v>6074</v>
      </c>
      <c r="L1515" t="s">
        <v>6074</v>
      </c>
      <c r="N1515" t="s">
        <v>6104</v>
      </c>
      <c r="O1515" t="s">
        <v>7307</v>
      </c>
      <c r="Q1515" t="s">
        <v>7322</v>
      </c>
      <c r="S1515" t="s">
        <v>7324</v>
      </c>
      <c r="U1515" t="s">
        <v>465</v>
      </c>
      <c r="V1515">
        <v>1010</v>
      </c>
      <c r="W1515" t="s">
        <v>7362</v>
      </c>
      <c r="X1515" t="s">
        <v>7368</v>
      </c>
      <c r="Z1515" t="s">
        <v>8573</v>
      </c>
      <c r="AB1515" t="s">
        <v>11311</v>
      </c>
      <c r="AC1515">
        <v>0</v>
      </c>
      <c r="AD1515" t="s">
        <v>12422</v>
      </c>
      <c r="AF1515">
        <v>10</v>
      </c>
      <c r="AG1515">
        <v>3</v>
      </c>
      <c r="AH1515">
        <v>1</v>
      </c>
      <c r="AI1515">
        <v>87.65000000000001</v>
      </c>
      <c r="AL1515" t="s">
        <v>12460</v>
      </c>
      <c r="AM1515">
        <v>22000</v>
      </c>
      <c r="AS1515">
        <v>3.7</v>
      </c>
      <c r="AT1515" t="s">
        <v>294</v>
      </c>
      <c r="AU1515" t="s">
        <v>88</v>
      </c>
    </row>
    <row r="1516" spans="1:48">
      <c r="A1516" s="1">
        <f>HYPERLINK("https://cms.ls-nyc.org/matter/dynamic-profile/view/1893083","19-1893083")</f>
        <v>0</v>
      </c>
      <c r="B1516" t="s">
        <v>104</v>
      </c>
      <c r="C1516" t="s">
        <v>332</v>
      </c>
      <c r="E1516" t="s">
        <v>1399</v>
      </c>
      <c r="F1516" t="s">
        <v>2874</v>
      </c>
      <c r="G1516" t="s">
        <v>4578</v>
      </c>
      <c r="H1516" t="s">
        <v>5444</v>
      </c>
      <c r="I1516" t="s">
        <v>6047</v>
      </c>
      <c r="J1516">
        <v>10453</v>
      </c>
      <c r="K1516" t="s">
        <v>6074</v>
      </c>
      <c r="L1516" t="s">
        <v>6074</v>
      </c>
      <c r="N1516" t="s">
        <v>6104</v>
      </c>
      <c r="O1516" t="s">
        <v>7307</v>
      </c>
      <c r="Q1516" t="s">
        <v>7322</v>
      </c>
      <c r="S1516" t="s">
        <v>7324</v>
      </c>
      <c r="U1516" t="s">
        <v>332</v>
      </c>
      <c r="V1516">
        <v>1260</v>
      </c>
      <c r="W1516" t="s">
        <v>7363</v>
      </c>
      <c r="X1516" t="s">
        <v>7367</v>
      </c>
      <c r="Z1516" t="s">
        <v>8574</v>
      </c>
      <c r="AB1516" t="s">
        <v>11312</v>
      </c>
      <c r="AC1516">
        <v>0</v>
      </c>
      <c r="AD1516" t="s">
        <v>12422</v>
      </c>
      <c r="AE1516" t="s">
        <v>12434</v>
      </c>
      <c r="AF1516">
        <v>6</v>
      </c>
      <c r="AG1516">
        <v>2</v>
      </c>
      <c r="AH1516">
        <v>0</v>
      </c>
      <c r="AI1516">
        <v>87.84999999999999</v>
      </c>
      <c r="AL1516" t="s">
        <v>12461</v>
      </c>
      <c r="AM1516">
        <v>14856</v>
      </c>
      <c r="AS1516">
        <v>0.1</v>
      </c>
      <c r="AT1516" t="s">
        <v>315</v>
      </c>
      <c r="AU1516" t="s">
        <v>104</v>
      </c>
    </row>
    <row r="1517" spans="1:48">
      <c r="A1517" s="1">
        <f>HYPERLINK("https://cms.ls-nyc.org/matter/dynamic-profile/view/1876348","18-1876348")</f>
        <v>0</v>
      </c>
      <c r="B1517" t="s">
        <v>130</v>
      </c>
      <c r="C1517" t="s">
        <v>253</v>
      </c>
      <c r="E1517" t="s">
        <v>1400</v>
      </c>
      <c r="F1517" t="s">
        <v>2467</v>
      </c>
      <c r="G1517" t="s">
        <v>3842</v>
      </c>
      <c r="H1517" t="s">
        <v>5728</v>
      </c>
      <c r="I1517" t="s">
        <v>6049</v>
      </c>
      <c r="J1517">
        <v>10033</v>
      </c>
      <c r="K1517" t="s">
        <v>6074</v>
      </c>
      <c r="L1517" t="s">
        <v>6074</v>
      </c>
      <c r="N1517" t="s">
        <v>7273</v>
      </c>
      <c r="O1517" t="s">
        <v>7307</v>
      </c>
      <c r="Q1517" t="s">
        <v>7322</v>
      </c>
      <c r="R1517" t="s">
        <v>6074</v>
      </c>
      <c r="S1517" t="s">
        <v>7324</v>
      </c>
      <c r="U1517" t="s">
        <v>253</v>
      </c>
      <c r="V1517">
        <v>1478.3</v>
      </c>
      <c r="W1517" t="s">
        <v>7365</v>
      </c>
      <c r="X1517" t="s">
        <v>7367</v>
      </c>
      <c r="Z1517" t="s">
        <v>8575</v>
      </c>
      <c r="AB1517" t="s">
        <v>11313</v>
      </c>
      <c r="AC1517">
        <v>232</v>
      </c>
      <c r="AD1517" t="s">
        <v>12422</v>
      </c>
      <c r="AE1517" t="s">
        <v>12434</v>
      </c>
      <c r="AF1517">
        <v>19</v>
      </c>
      <c r="AG1517">
        <v>2</v>
      </c>
      <c r="AH1517">
        <v>0</v>
      </c>
      <c r="AI1517">
        <v>87.92</v>
      </c>
      <c r="AL1517" t="s">
        <v>12460</v>
      </c>
      <c r="AM1517">
        <v>14472</v>
      </c>
      <c r="AS1517">
        <v>0</v>
      </c>
      <c r="AU1517" t="s">
        <v>13106</v>
      </c>
    </row>
    <row r="1518" spans="1:48">
      <c r="A1518" s="1">
        <f>HYPERLINK("https://cms.ls-nyc.org/matter/dynamic-profile/view/1877040","18-1877040")</f>
        <v>0</v>
      </c>
      <c r="B1518" t="s">
        <v>52</v>
      </c>
      <c r="C1518" t="s">
        <v>404</v>
      </c>
      <c r="D1518" t="s">
        <v>291</v>
      </c>
      <c r="E1518" t="s">
        <v>1401</v>
      </c>
      <c r="F1518" t="s">
        <v>2875</v>
      </c>
      <c r="G1518" t="s">
        <v>4579</v>
      </c>
      <c r="I1518" t="s">
        <v>6040</v>
      </c>
      <c r="J1518">
        <v>11354</v>
      </c>
      <c r="K1518" t="s">
        <v>6074</v>
      </c>
      <c r="L1518" t="s">
        <v>6074</v>
      </c>
      <c r="M1518" t="s">
        <v>6110</v>
      </c>
      <c r="N1518" t="s">
        <v>6104</v>
      </c>
      <c r="O1518" t="s">
        <v>7306</v>
      </c>
      <c r="P1518" t="s">
        <v>7314</v>
      </c>
      <c r="Q1518" t="s">
        <v>7322</v>
      </c>
      <c r="R1518" t="s">
        <v>6076</v>
      </c>
      <c r="S1518" t="s">
        <v>7324</v>
      </c>
      <c r="T1518" t="s">
        <v>7336</v>
      </c>
      <c r="U1518" t="s">
        <v>404</v>
      </c>
      <c r="V1518">
        <v>0</v>
      </c>
      <c r="W1518" t="s">
        <v>7361</v>
      </c>
      <c r="X1518" t="s">
        <v>7305</v>
      </c>
      <c r="Y1518" t="s">
        <v>7386</v>
      </c>
      <c r="Z1518" t="s">
        <v>8576</v>
      </c>
      <c r="AA1518" t="s">
        <v>6110</v>
      </c>
      <c r="AB1518" t="s">
        <v>9856</v>
      </c>
      <c r="AC1518">
        <v>68</v>
      </c>
      <c r="AD1518" t="s">
        <v>12419</v>
      </c>
      <c r="AE1518" t="s">
        <v>6110</v>
      </c>
      <c r="AF1518">
        <v>1</v>
      </c>
      <c r="AG1518">
        <v>1</v>
      </c>
      <c r="AH1518">
        <v>0</v>
      </c>
      <c r="AI1518">
        <v>88.03</v>
      </c>
      <c r="AL1518" t="s">
        <v>12464</v>
      </c>
      <c r="AM1518">
        <v>10687</v>
      </c>
      <c r="AS1518">
        <v>1.4</v>
      </c>
      <c r="AT1518" t="s">
        <v>291</v>
      </c>
      <c r="AU1518" t="s">
        <v>52</v>
      </c>
    </row>
    <row r="1519" spans="1:48">
      <c r="A1519" s="1">
        <f>HYPERLINK("https://cms.ls-nyc.org/matter/dynamic-profile/view/1897089","19-1897089")</f>
        <v>0</v>
      </c>
      <c r="B1519" t="s">
        <v>103</v>
      </c>
      <c r="C1519" t="s">
        <v>268</v>
      </c>
      <c r="E1519" t="s">
        <v>1402</v>
      </c>
      <c r="F1519" t="s">
        <v>2615</v>
      </c>
      <c r="G1519" t="s">
        <v>4580</v>
      </c>
      <c r="H1519" t="s">
        <v>5729</v>
      </c>
      <c r="I1519" t="s">
        <v>6047</v>
      </c>
      <c r="J1519">
        <v>10453</v>
      </c>
      <c r="K1519" t="s">
        <v>6074</v>
      </c>
      <c r="L1519" t="s">
        <v>6074</v>
      </c>
      <c r="M1519" t="s">
        <v>6725</v>
      </c>
      <c r="N1519" t="s">
        <v>7276</v>
      </c>
      <c r="O1519" t="s">
        <v>7308</v>
      </c>
      <c r="Q1519" t="s">
        <v>7322</v>
      </c>
      <c r="R1519" t="s">
        <v>6076</v>
      </c>
      <c r="S1519" t="s">
        <v>7324</v>
      </c>
      <c r="U1519" t="s">
        <v>263</v>
      </c>
      <c r="V1519">
        <v>729</v>
      </c>
      <c r="W1519" t="s">
        <v>7363</v>
      </c>
      <c r="X1519" t="s">
        <v>7368</v>
      </c>
      <c r="Z1519" t="s">
        <v>8577</v>
      </c>
      <c r="AA1519" t="s">
        <v>10168</v>
      </c>
      <c r="AB1519" t="s">
        <v>11314</v>
      </c>
      <c r="AC1519">
        <v>69</v>
      </c>
      <c r="AE1519" t="s">
        <v>12434</v>
      </c>
      <c r="AF1519">
        <v>0</v>
      </c>
      <c r="AG1519">
        <v>1</v>
      </c>
      <c r="AH1519">
        <v>0</v>
      </c>
      <c r="AI1519">
        <v>88.03</v>
      </c>
      <c r="AL1519" t="s">
        <v>12461</v>
      </c>
      <c r="AM1519">
        <v>10994.64</v>
      </c>
      <c r="AS1519">
        <v>4</v>
      </c>
      <c r="AT1519" t="s">
        <v>421</v>
      </c>
      <c r="AU1519" t="s">
        <v>13095</v>
      </c>
      <c r="AV1519" t="s">
        <v>13146</v>
      </c>
    </row>
    <row r="1520" spans="1:48">
      <c r="A1520" s="1">
        <f>HYPERLINK("https://cms.ls-nyc.org/matter/dynamic-profile/view/1888809","19-1888809")</f>
        <v>0</v>
      </c>
      <c r="B1520" t="s">
        <v>196</v>
      </c>
      <c r="C1520" t="s">
        <v>284</v>
      </c>
      <c r="D1520" t="s">
        <v>456</v>
      </c>
      <c r="E1520" t="s">
        <v>737</v>
      </c>
      <c r="F1520" t="s">
        <v>2861</v>
      </c>
      <c r="G1520" t="s">
        <v>4581</v>
      </c>
      <c r="H1520" t="s">
        <v>5360</v>
      </c>
      <c r="I1520" t="s">
        <v>6043</v>
      </c>
      <c r="J1520">
        <v>11208</v>
      </c>
      <c r="K1520" t="s">
        <v>6074</v>
      </c>
      <c r="L1520" t="s">
        <v>6074</v>
      </c>
      <c r="M1520" t="s">
        <v>6726</v>
      </c>
      <c r="N1520" t="s">
        <v>7274</v>
      </c>
      <c r="O1520" t="s">
        <v>7306</v>
      </c>
      <c r="P1520" t="s">
        <v>7314</v>
      </c>
      <c r="Q1520" t="s">
        <v>7322</v>
      </c>
      <c r="R1520" t="s">
        <v>6076</v>
      </c>
      <c r="S1520" t="s">
        <v>7324</v>
      </c>
      <c r="T1520" t="s">
        <v>7339</v>
      </c>
      <c r="U1520" t="s">
        <v>456</v>
      </c>
      <c r="V1520">
        <v>200</v>
      </c>
      <c r="W1520" t="s">
        <v>7362</v>
      </c>
      <c r="X1520" t="s">
        <v>7366</v>
      </c>
      <c r="Y1520" t="s">
        <v>7386</v>
      </c>
      <c r="Z1520" t="s">
        <v>8578</v>
      </c>
      <c r="AB1520" t="s">
        <v>11315</v>
      </c>
      <c r="AC1520">
        <v>3</v>
      </c>
      <c r="AD1520" t="s">
        <v>12419</v>
      </c>
      <c r="AE1520" t="s">
        <v>6110</v>
      </c>
      <c r="AF1520">
        <v>4</v>
      </c>
      <c r="AG1520">
        <v>1</v>
      </c>
      <c r="AH1520">
        <v>0</v>
      </c>
      <c r="AI1520">
        <v>88.06999999999999</v>
      </c>
      <c r="AL1520" t="s">
        <v>12461</v>
      </c>
      <c r="AM1520">
        <v>11000</v>
      </c>
      <c r="AS1520">
        <v>0.5</v>
      </c>
      <c r="AT1520" t="s">
        <v>456</v>
      </c>
      <c r="AU1520" t="s">
        <v>13085</v>
      </c>
    </row>
    <row r="1521" spans="1:48">
      <c r="A1521" s="1">
        <f>HYPERLINK("https://cms.ls-nyc.org/matter/dynamic-profile/view/1901098","19-1901098")</f>
        <v>0</v>
      </c>
      <c r="B1521" t="s">
        <v>89</v>
      </c>
      <c r="C1521" t="s">
        <v>324</v>
      </c>
      <c r="E1521" t="s">
        <v>1403</v>
      </c>
      <c r="F1521" t="s">
        <v>2876</v>
      </c>
      <c r="G1521" t="s">
        <v>3743</v>
      </c>
      <c r="H1521" t="s">
        <v>5357</v>
      </c>
      <c r="I1521" t="s">
        <v>6043</v>
      </c>
      <c r="J1521">
        <v>11212</v>
      </c>
      <c r="K1521" t="s">
        <v>6074</v>
      </c>
      <c r="L1521" t="s">
        <v>6075</v>
      </c>
      <c r="M1521" t="s">
        <v>6152</v>
      </c>
      <c r="O1521" t="s">
        <v>7312</v>
      </c>
      <c r="Q1521" t="s">
        <v>7322</v>
      </c>
      <c r="R1521" t="s">
        <v>6074</v>
      </c>
      <c r="S1521" t="s">
        <v>7329</v>
      </c>
      <c r="T1521" t="s">
        <v>7336</v>
      </c>
      <c r="U1521" t="s">
        <v>247</v>
      </c>
      <c r="V1521">
        <v>0</v>
      </c>
      <c r="W1521" t="s">
        <v>7362</v>
      </c>
      <c r="X1521" t="s">
        <v>7375</v>
      </c>
      <c r="Z1521" t="s">
        <v>8579</v>
      </c>
      <c r="AB1521" t="s">
        <v>11316</v>
      </c>
      <c r="AC1521">
        <v>23</v>
      </c>
      <c r="AD1521" t="s">
        <v>12422</v>
      </c>
      <c r="AE1521" t="s">
        <v>6110</v>
      </c>
      <c r="AF1521">
        <v>0</v>
      </c>
      <c r="AG1521">
        <v>1</v>
      </c>
      <c r="AH1521">
        <v>0</v>
      </c>
      <c r="AI1521">
        <v>88.29000000000001</v>
      </c>
      <c r="AL1521" t="s">
        <v>12460</v>
      </c>
      <c r="AM1521">
        <v>11028</v>
      </c>
      <c r="AS1521">
        <v>0</v>
      </c>
      <c r="AU1521" t="s">
        <v>218</v>
      </c>
      <c r="AV1521" t="s">
        <v>13145</v>
      </c>
    </row>
    <row r="1522" spans="1:48">
      <c r="A1522" s="1">
        <f>HYPERLINK("https://cms.ls-nyc.org/matter/dynamic-profile/view/1863308","18-1863308")</f>
        <v>0</v>
      </c>
      <c r="B1522" t="s">
        <v>82</v>
      </c>
      <c r="C1522" t="s">
        <v>444</v>
      </c>
      <c r="E1522" t="s">
        <v>1404</v>
      </c>
      <c r="F1522" t="s">
        <v>2265</v>
      </c>
      <c r="G1522" t="s">
        <v>3728</v>
      </c>
      <c r="H1522" t="s">
        <v>5649</v>
      </c>
      <c r="I1522" t="s">
        <v>6043</v>
      </c>
      <c r="J1522">
        <v>11226</v>
      </c>
      <c r="K1522" t="s">
        <v>6074</v>
      </c>
      <c r="L1522" t="s">
        <v>6074</v>
      </c>
      <c r="N1522" t="s">
        <v>7278</v>
      </c>
      <c r="O1522" t="s">
        <v>7308</v>
      </c>
      <c r="Q1522" t="s">
        <v>7322</v>
      </c>
      <c r="R1522" t="s">
        <v>6074</v>
      </c>
      <c r="S1522" t="s">
        <v>7324</v>
      </c>
      <c r="U1522" t="s">
        <v>333</v>
      </c>
      <c r="V1522">
        <v>1800</v>
      </c>
      <c r="W1522" t="s">
        <v>7362</v>
      </c>
      <c r="X1522" t="s">
        <v>7368</v>
      </c>
      <c r="Z1522" t="s">
        <v>8580</v>
      </c>
      <c r="AB1522" t="s">
        <v>11317</v>
      </c>
      <c r="AC1522">
        <v>65</v>
      </c>
      <c r="AE1522" t="s">
        <v>12434</v>
      </c>
      <c r="AF1522">
        <v>15</v>
      </c>
      <c r="AG1522">
        <v>2</v>
      </c>
      <c r="AH1522">
        <v>0</v>
      </c>
      <c r="AI1522">
        <v>88.36</v>
      </c>
      <c r="AL1522" t="s">
        <v>12460</v>
      </c>
      <c r="AM1522">
        <v>14544</v>
      </c>
      <c r="AS1522">
        <v>0.5</v>
      </c>
      <c r="AT1522" t="s">
        <v>444</v>
      </c>
      <c r="AU1522" t="s">
        <v>13087</v>
      </c>
    </row>
    <row r="1523" spans="1:48">
      <c r="A1523" s="1">
        <f>HYPERLINK("https://cms.ls-nyc.org/matter/dynamic-profile/view/1871674","18-1871674")</f>
        <v>0</v>
      </c>
      <c r="B1523" t="s">
        <v>168</v>
      </c>
      <c r="C1523" t="s">
        <v>453</v>
      </c>
      <c r="D1523" t="s">
        <v>469</v>
      </c>
      <c r="E1523" t="s">
        <v>1405</v>
      </c>
      <c r="F1523" t="s">
        <v>2877</v>
      </c>
      <c r="G1523" t="s">
        <v>4582</v>
      </c>
      <c r="H1523" t="s">
        <v>5730</v>
      </c>
      <c r="I1523" t="s">
        <v>6043</v>
      </c>
      <c r="J1523">
        <v>11212</v>
      </c>
      <c r="K1523" t="s">
        <v>6074</v>
      </c>
      <c r="L1523" t="s">
        <v>6074</v>
      </c>
      <c r="M1523" t="s">
        <v>6727</v>
      </c>
      <c r="N1523" t="s">
        <v>7276</v>
      </c>
      <c r="O1523" t="s">
        <v>7308</v>
      </c>
      <c r="P1523" t="s">
        <v>7316</v>
      </c>
      <c r="Q1523" t="s">
        <v>7322</v>
      </c>
      <c r="S1523" t="s">
        <v>7324</v>
      </c>
      <c r="U1523" t="s">
        <v>475</v>
      </c>
      <c r="V1523">
        <v>1956</v>
      </c>
      <c r="W1523" t="s">
        <v>7362</v>
      </c>
      <c r="X1523" t="s">
        <v>7379</v>
      </c>
      <c r="Y1523" t="s">
        <v>7399</v>
      </c>
      <c r="Z1523" t="s">
        <v>8581</v>
      </c>
      <c r="AA1523" t="s">
        <v>10169</v>
      </c>
      <c r="AB1523" t="s">
        <v>11318</v>
      </c>
      <c r="AC1523">
        <v>6</v>
      </c>
      <c r="AE1523" t="s">
        <v>12433</v>
      </c>
      <c r="AF1523">
        <v>2</v>
      </c>
      <c r="AG1523">
        <v>2</v>
      </c>
      <c r="AH1523">
        <v>3</v>
      </c>
      <c r="AI1523">
        <v>88.38</v>
      </c>
      <c r="AL1523" t="s">
        <v>12460</v>
      </c>
      <c r="AM1523">
        <v>26000</v>
      </c>
      <c r="AN1523" t="s">
        <v>12625</v>
      </c>
      <c r="AS1523">
        <v>8.949999999999999</v>
      </c>
      <c r="AT1523" t="s">
        <v>389</v>
      </c>
      <c r="AU1523" t="s">
        <v>13085</v>
      </c>
    </row>
    <row r="1524" spans="1:48">
      <c r="A1524" s="1">
        <f>HYPERLINK("https://cms.ls-nyc.org/matter/dynamic-profile/view/1880650","18-1880650")</f>
        <v>0</v>
      </c>
      <c r="B1524" t="s">
        <v>145</v>
      </c>
      <c r="C1524" t="s">
        <v>360</v>
      </c>
      <c r="E1524" t="s">
        <v>1406</v>
      </c>
      <c r="F1524" t="s">
        <v>2878</v>
      </c>
      <c r="G1524" t="s">
        <v>4583</v>
      </c>
      <c r="H1524">
        <v>14</v>
      </c>
      <c r="I1524" t="s">
        <v>6046</v>
      </c>
      <c r="J1524">
        <v>11101</v>
      </c>
      <c r="K1524" t="s">
        <v>6074</v>
      </c>
      <c r="L1524" t="s">
        <v>6074</v>
      </c>
      <c r="M1524" t="s">
        <v>6728</v>
      </c>
      <c r="N1524" t="s">
        <v>7276</v>
      </c>
      <c r="O1524" t="s">
        <v>7308</v>
      </c>
      <c r="Q1524" t="s">
        <v>7322</v>
      </c>
      <c r="R1524" t="s">
        <v>6076</v>
      </c>
      <c r="S1524" t="s">
        <v>7324</v>
      </c>
      <c r="T1524" t="s">
        <v>7339</v>
      </c>
      <c r="U1524" t="s">
        <v>360</v>
      </c>
      <c r="V1524">
        <v>2000</v>
      </c>
      <c r="W1524" t="s">
        <v>7361</v>
      </c>
      <c r="X1524" t="s">
        <v>7366</v>
      </c>
      <c r="Z1524" t="s">
        <v>8582</v>
      </c>
      <c r="AA1524" t="s">
        <v>10170</v>
      </c>
      <c r="AB1524" t="s">
        <v>11319</v>
      </c>
      <c r="AC1524">
        <v>18</v>
      </c>
      <c r="AD1524" t="s">
        <v>12422</v>
      </c>
      <c r="AE1524" t="s">
        <v>6110</v>
      </c>
      <c r="AF1524">
        <v>5</v>
      </c>
      <c r="AG1524">
        <v>2</v>
      </c>
      <c r="AH1524">
        <v>3</v>
      </c>
      <c r="AI1524">
        <v>88.38</v>
      </c>
      <c r="AL1524" t="s">
        <v>12460</v>
      </c>
      <c r="AM1524">
        <v>26000</v>
      </c>
      <c r="AO1524" t="s">
        <v>12847</v>
      </c>
      <c r="AP1524" t="s">
        <v>12858</v>
      </c>
      <c r="AQ1524" t="s">
        <v>12910</v>
      </c>
      <c r="AR1524" t="s">
        <v>12958</v>
      </c>
      <c r="AS1524">
        <v>3.6</v>
      </c>
      <c r="AT1524" t="s">
        <v>331</v>
      </c>
      <c r="AU1524" t="s">
        <v>48</v>
      </c>
    </row>
    <row r="1525" spans="1:48">
      <c r="A1525" s="1">
        <f>HYPERLINK("https://cms.ls-nyc.org/matter/dynamic-profile/view/1866864","18-1866864")</f>
        <v>0</v>
      </c>
      <c r="B1525" t="s">
        <v>201</v>
      </c>
      <c r="C1525" t="s">
        <v>327</v>
      </c>
      <c r="D1525" t="s">
        <v>376</v>
      </c>
      <c r="E1525" t="s">
        <v>1075</v>
      </c>
      <c r="F1525" t="s">
        <v>2218</v>
      </c>
      <c r="G1525" t="s">
        <v>4185</v>
      </c>
      <c r="H1525" t="s">
        <v>5731</v>
      </c>
      <c r="I1525" t="s">
        <v>6043</v>
      </c>
      <c r="J1525">
        <v>11216</v>
      </c>
      <c r="K1525" t="s">
        <v>6074</v>
      </c>
      <c r="L1525" t="s">
        <v>6076</v>
      </c>
      <c r="N1525" t="s">
        <v>7278</v>
      </c>
      <c r="O1525" t="s">
        <v>7309</v>
      </c>
      <c r="P1525" t="s">
        <v>7315</v>
      </c>
      <c r="Q1525" t="s">
        <v>7322</v>
      </c>
      <c r="R1525" t="s">
        <v>6076</v>
      </c>
      <c r="S1525" t="s">
        <v>7324</v>
      </c>
      <c r="U1525" t="s">
        <v>376</v>
      </c>
      <c r="V1525">
        <v>600</v>
      </c>
      <c r="W1525" t="s">
        <v>7362</v>
      </c>
      <c r="X1525" t="s">
        <v>7376</v>
      </c>
      <c r="Y1525" t="s">
        <v>7387</v>
      </c>
      <c r="Z1525" t="s">
        <v>8583</v>
      </c>
      <c r="AA1525" t="s">
        <v>10171</v>
      </c>
      <c r="AB1525" t="s">
        <v>11320</v>
      </c>
      <c r="AC1525">
        <v>10</v>
      </c>
      <c r="AD1525" t="s">
        <v>12422</v>
      </c>
      <c r="AE1525" t="s">
        <v>6110</v>
      </c>
      <c r="AF1525">
        <v>5</v>
      </c>
      <c r="AG1525">
        <v>2</v>
      </c>
      <c r="AH1525">
        <v>0</v>
      </c>
      <c r="AI1525">
        <v>88.45999999999999</v>
      </c>
      <c r="AL1525" t="s">
        <v>12460</v>
      </c>
      <c r="AM1525">
        <v>14560</v>
      </c>
      <c r="AS1525">
        <v>5.3</v>
      </c>
      <c r="AT1525" t="s">
        <v>376</v>
      </c>
      <c r="AU1525" t="s">
        <v>13087</v>
      </c>
    </row>
    <row r="1526" spans="1:48">
      <c r="A1526" s="1">
        <f>HYPERLINK("https://cms.ls-nyc.org/matter/dynamic-profile/view/1882560","18-1882560")</f>
        <v>0</v>
      </c>
      <c r="B1526" t="s">
        <v>153</v>
      </c>
      <c r="C1526" t="s">
        <v>283</v>
      </c>
      <c r="E1526" t="s">
        <v>1407</v>
      </c>
      <c r="F1526" t="s">
        <v>2511</v>
      </c>
      <c r="G1526" t="s">
        <v>4584</v>
      </c>
      <c r="H1526" t="s">
        <v>5492</v>
      </c>
      <c r="I1526" t="s">
        <v>6047</v>
      </c>
      <c r="J1526">
        <v>10462</v>
      </c>
      <c r="K1526" t="s">
        <v>6074</v>
      </c>
      <c r="L1526" t="s">
        <v>6074</v>
      </c>
      <c r="N1526" t="s">
        <v>7281</v>
      </c>
      <c r="O1526" t="s">
        <v>7309</v>
      </c>
      <c r="Q1526" t="s">
        <v>7322</v>
      </c>
      <c r="R1526" t="s">
        <v>6076</v>
      </c>
      <c r="S1526" t="s">
        <v>7331</v>
      </c>
      <c r="U1526" t="s">
        <v>283</v>
      </c>
      <c r="V1526">
        <v>2181</v>
      </c>
      <c r="W1526" t="s">
        <v>7363</v>
      </c>
      <c r="X1526" t="s">
        <v>7305</v>
      </c>
      <c r="Z1526" t="s">
        <v>8584</v>
      </c>
      <c r="AB1526" t="s">
        <v>11321</v>
      </c>
      <c r="AC1526">
        <v>2</v>
      </c>
      <c r="AD1526" t="s">
        <v>12419</v>
      </c>
      <c r="AE1526" t="s">
        <v>12434</v>
      </c>
      <c r="AF1526">
        <v>2</v>
      </c>
      <c r="AG1526">
        <v>2</v>
      </c>
      <c r="AH1526">
        <v>4</v>
      </c>
      <c r="AI1526">
        <v>88.92</v>
      </c>
      <c r="AL1526" t="s">
        <v>12460</v>
      </c>
      <c r="AM1526">
        <v>60000</v>
      </c>
      <c r="AS1526">
        <v>4.25</v>
      </c>
      <c r="AT1526" t="s">
        <v>278</v>
      </c>
      <c r="AU1526" t="s">
        <v>13118</v>
      </c>
    </row>
    <row r="1527" spans="1:48">
      <c r="A1527" s="1">
        <f>HYPERLINK("https://cms.ls-nyc.org/matter/dynamic-profile/view/1873531","18-1873531")</f>
        <v>0</v>
      </c>
      <c r="B1527" t="s">
        <v>97</v>
      </c>
      <c r="C1527" t="s">
        <v>447</v>
      </c>
      <c r="D1527" t="s">
        <v>472</v>
      </c>
      <c r="E1527" t="s">
        <v>1105</v>
      </c>
      <c r="F1527" t="s">
        <v>2879</v>
      </c>
      <c r="G1527" t="s">
        <v>3805</v>
      </c>
      <c r="H1527" t="s">
        <v>5393</v>
      </c>
      <c r="I1527" t="s">
        <v>6047</v>
      </c>
      <c r="J1527">
        <v>10452</v>
      </c>
      <c r="K1527" t="s">
        <v>6074</v>
      </c>
      <c r="L1527" t="s">
        <v>6074</v>
      </c>
      <c r="N1527" t="s">
        <v>7273</v>
      </c>
      <c r="O1527" t="s">
        <v>7306</v>
      </c>
      <c r="P1527" t="s">
        <v>7314</v>
      </c>
      <c r="Q1527" t="s">
        <v>7322</v>
      </c>
      <c r="R1527" t="s">
        <v>6074</v>
      </c>
      <c r="S1527" t="s">
        <v>7324</v>
      </c>
      <c r="U1527" t="s">
        <v>472</v>
      </c>
      <c r="V1527">
        <v>1200</v>
      </c>
      <c r="W1527" t="s">
        <v>7363</v>
      </c>
      <c r="X1527" t="s">
        <v>7370</v>
      </c>
      <c r="Y1527" t="s">
        <v>7386</v>
      </c>
      <c r="Z1527" t="s">
        <v>8585</v>
      </c>
      <c r="AA1527" t="s">
        <v>10172</v>
      </c>
      <c r="AB1527" t="s">
        <v>11322</v>
      </c>
      <c r="AC1527">
        <v>149</v>
      </c>
      <c r="AD1527" t="s">
        <v>12422</v>
      </c>
      <c r="AE1527" t="s">
        <v>6110</v>
      </c>
      <c r="AF1527">
        <v>13</v>
      </c>
      <c r="AG1527">
        <v>1</v>
      </c>
      <c r="AH1527">
        <v>0</v>
      </c>
      <c r="AI1527">
        <v>88.95999999999999</v>
      </c>
      <c r="AL1527" t="s">
        <v>12460</v>
      </c>
      <c r="AM1527">
        <v>10800</v>
      </c>
      <c r="AS1527">
        <v>0.2</v>
      </c>
      <c r="AT1527" t="s">
        <v>492</v>
      </c>
      <c r="AU1527" t="s">
        <v>13099</v>
      </c>
    </row>
    <row r="1528" spans="1:48">
      <c r="A1528" s="1">
        <f>HYPERLINK("https://cms.ls-nyc.org/matter/dynamic-profile/view/1878299","18-1878299")</f>
        <v>0</v>
      </c>
      <c r="B1528" t="s">
        <v>161</v>
      </c>
      <c r="C1528" t="s">
        <v>248</v>
      </c>
      <c r="D1528" t="s">
        <v>250</v>
      </c>
      <c r="E1528" t="s">
        <v>948</v>
      </c>
      <c r="F1528" t="s">
        <v>2880</v>
      </c>
      <c r="G1528" t="s">
        <v>4585</v>
      </c>
      <c r="H1528">
        <v>109</v>
      </c>
      <c r="I1528" t="s">
        <v>6049</v>
      </c>
      <c r="J1528">
        <v>10035</v>
      </c>
      <c r="K1528" t="s">
        <v>6074</v>
      </c>
      <c r="L1528" t="s">
        <v>6074</v>
      </c>
      <c r="M1528" t="s">
        <v>6729</v>
      </c>
      <c r="N1528" t="s">
        <v>7274</v>
      </c>
      <c r="O1528" t="s">
        <v>7306</v>
      </c>
      <c r="P1528" t="s">
        <v>7314</v>
      </c>
      <c r="Q1528" t="s">
        <v>7322</v>
      </c>
      <c r="R1528" t="s">
        <v>6076</v>
      </c>
      <c r="S1528" t="s">
        <v>7324</v>
      </c>
      <c r="T1528" t="s">
        <v>7337</v>
      </c>
      <c r="U1528" t="s">
        <v>391</v>
      </c>
      <c r="V1528">
        <v>1519</v>
      </c>
      <c r="W1528" t="s">
        <v>7365</v>
      </c>
      <c r="X1528" t="s">
        <v>7368</v>
      </c>
      <c r="Y1528" t="s">
        <v>7386</v>
      </c>
      <c r="Z1528" t="s">
        <v>8586</v>
      </c>
      <c r="AB1528" t="s">
        <v>11323</v>
      </c>
      <c r="AC1528">
        <v>132</v>
      </c>
      <c r="AD1528" t="s">
        <v>12431</v>
      </c>
      <c r="AE1528" t="s">
        <v>6110</v>
      </c>
      <c r="AF1528">
        <v>22</v>
      </c>
      <c r="AG1528">
        <v>1</v>
      </c>
      <c r="AH1528">
        <v>0</v>
      </c>
      <c r="AI1528">
        <v>88.95999999999999</v>
      </c>
      <c r="AL1528" t="s">
        <v>12460</v>
      </c>
      <c r="AM1528">
        <v>10800</v>
      </c>
      <c r="AS1528">
        <v>0.2</v>
      </c>
      <c r="AT1528" t="s">
        <v>250</v>
      </c>
      <c r="AU1528" t="s">
        <v>13134</v>
      </c>
    </row>
    <row r="1529" spans="1:48">
      <c r="A1529" s="1">
        <f>HYPERLINK("https://cms.ls-nyc.org/matter/dynamic-profile/view/1872232","18-1872232")</f>
        <v>0</v>
      </c>
      <c r="B1529" t="s">
        <v>103</v>
      </c>
      <c r="C1529" t="s">
        <v>497</v>
      </c>
      <c r="E1529" t="s">
        <v>1182</v>
      </c>
      <c r="F1529" t="s">
        <v>2633</v>
      </c>
      <c r="G1529" t="s">
        <v>4586</v>
      </c>
      <c r="H1529" t="s">
        <v>5439</v>
      </c>
      <c r="I1529" t="s">
        <v>6047</v>
      </c>
      <c r="J1529">
        <v>10453</v>
      </c>
      <c r="K1529" t="s">
        <v>6074</v>
      </c>
      <c r="L1529" t="s">
        <v>6074</v>
      </c>
      <c r="M1529" t="s">
        <v>6730</v>
      </c>
      <c r="N1529" t="s">
        <v>7276</v>
      </c>
      <c r="O1529" t="s">
        <v>7308</v>
      </c>
      <c r="Q1529" t="s">
        <v>7322</v>
      </c>
      <c r="S1529" t="s">
        <v>7324</v>
      </c>
      <c r="U1529" t="s">
        <v>350</v>
      </c>
      <c r="V1529">
        <v>612.61</v>
      </c>
      <c r="W1529" t="s">
        <v>7363</v>
      </c>
      <c r="X1529" t="s">
        <v>7374</v>
      </c>
      <c r="Z1529" t="s">
        <v>8587</v>
      </c>
      <c r="AA1529" t="s">
        <v>10173</v>
      </c>
      <c r="AB1529" t="s">
        <v>11324</v>
      </c>
      <c r="AC1529">
        <v>72</v>
      </c>
      <c r="AD1529" t="s">
        <v>12425</v>
      </c>
      <c r="AE1529" t="s">
        <v>6110</v>
      </c>
      <c r="AF1529">
        <v>36</v>
      </c>
      <c r="AG1529">
        <v>1</v>
      </c>
      <c r="AH1529">
        <v>1</v>
      </c>
      <c r="AI1529">
        <v>89.16</v>
      </c>
      <c r="AL1529" t="s">
        <v>12460</v>
      </c>
      <c r="AM1529">
        <v>14676</v>
      </c>
      <c r="AN1529" t="s">
        <v>12626</v>
      </c>
      <c r="AS1529">
        <v>7.9</v>
      </c>
      <c r="AT1529" t="s">
        <v>333</v>
      </c>
      <c r="AU1529" t="s">
        <v>13081</v>
      </c>
    </row>
    <row r="1530" spans="1:48">
      <c r="A1530" s="1">
        <f>HYPERLINK("https://cms.ls-nyc.org/matter/dynamic-profile/view/1878888","18-1878888")</f>
        <v>0</v>
      </c>
      <c r="B1530" t="s">
        <v>126</v>
      </c>
      <c r="C1530" t="s">
        <v>438</v>
      </c>
      <c r="E1530" t="s">
        <v>1129</v>
      </c>
      <c r="F1530" t="s">
        <v>2870</v>
      </c>
      <c r="G1530" t="s">
        <v>3884</v>
      </c>
      <c r="H1530" t="s">
        <v>5725</v>
      </c>
      <c r="I1530" t="s">
        <v>6049</v>
      </c>
      <c r="J1530">
        <v>10029</v>
      </c>
      <c r="K1530" t="s">
        <v>6074</v>
      </c>
      <c r="L1530" t="s">
        <v>6074</v>
      </c>
      <c r="M1530" t="s">
        <v>6731</v>
      </c>
      <c r="N1530" t="s">
        <v>7276</v>
      </c>
      <c r="O1530" t="s">
        <v>7308</v>
      </c>
      <c r="Q1530" t="s">
        <v>7322</v>
      </c>
      <c r="R1530" t="s">
        <v>6076</v>
      </c>
      <c r="S1530" t="s">
        <v>7324</v>
      </c>
      <c r="T1530" t="s">
        <v>7336</v>
      </c>
      <c r="U1530" t="s">
        <v>438</v>
      </c>
      <c r="V1530">
        <v>1100</v>
      </c>
      <c r="W1530" t="s">
        <v>7365</v>
      </c>
      <c r="X1530" t="s">
        <v>7373</v>
      </c>
      <c r="Z1530" t="s">
        <v>8565</v>
      </c>
      <c r="AB1530" t="s">
        <v>11306</v>
      </c>
      <c r="AC1530">
        <v>120</v>
      </c>
      <c r="AD1530" t="s">
        <v>12423</v>
      </c>
      <c r="AE1530" t="s">
        <v>12434</v>
      </c>
      <c r="AF1530">
        <v>15</v>
      </c>
      <c r="AG1530">
        <v>1</v>
      </c>
      <c r="AH1530">
        <v>0</v>
      </c>
      <c r="AI1530">
        <v>89.59999999999999</v>
      </c>
      <c r="AL1530" t="s">
        <v>12460</v>
      </c>
      <c r="AM1530">
        <v>10878</v>
      </c>
      <c r="AS1530">
        <v>35.2</v>
      </c>
      <c r="AT1530" t="s">
        <v>421</v>
      </c>
      <c r="AU1530" t="s">
        <v>13107</v>
      </c>
    </row>
    <row r="1531" spans="1:48">
      <c r="A1531" s="1">
        <f>HYPERLINK("https://cms.ls-nyc.org/matter/dynamic-profile/view/1896576","19-1896576")</f>
        <v>0</v>
      </c>
      <c r="B1531" t="s">
        <v>51</v>
      </c>
      <c r="C1531" t="s">
        <v>417</v>
      </c>
      <c r="D1531" t="s">
        <v>276</v>
      </c>
      <c r="E1531" t="s">
        <v>586</v>
      </c>
      <c r="F1531" t="s">
        <v>2240</v>
      </c>
      <c r="G1531" t="s">
        <v>4587</v>
      </c>
      <c r="H1531" t="s">
        <v>5732</v>
      </c>
      <c r="I1531" t="s">
        <v>6066</v>
      </c>
      <c r="J1531">
        <v>11413</v>
      </c>
      <c r="K1531" t="s">
        <v>6074</v>
      </c>
      <c r="L1531" t="s">
        <v>6074</v>
      </c>
      <c r="M1531" t="s">
        <v>6732</v>
      </c>
      <c r="N1531" t="s">
        <v>7274</v>
      </c>
      <c r="O1531" t="s">
        <v>7306</v>
      </c>
      <c r="P1531" t="s">
        <v>7314</v>
      </c>
      <c r="Q1531" t="s">
        <v>7322</v>
      </c>
      <c r="S1531" t="s">
        <v>7324</v>
      </c>
      <c r="T1531" t="s">
        <v>7336</v>
      </c>
      <c r="U1531" t="s">
        <v>417</v>
      </c>
      <c r="V1531">
        <v>1800</v>
      </c>
      <c r="W1531" t="s">
        <v>7361</v>
      </c>
      <c r="X1531" t="s">
        <v>7366</v>
      </c>
      <c r="Y1531" t="s">
        <v>7386</v>
      </c>
      <c r="Z1531" t="s">
        <v>8588</v>
      </c>
      <c r="AB1531" t="s">
        <v>11325</v>
      </c>
      <c r="AC1531">
        <v>3</v>
      </c>
      <c r="AD1531" t="s">
        <v>12419</v>
      </c>
      <c r="AE1531" t="s">
        <v>6110</v>
      </c>
      <c r="AF1531">
        <v>6</v>
      </c>
      <c r="AG1531">
        <v>4</v>
      </c>
      <c r="AH1531">
        <v>4</v>
      </c>
      <c r="AI1531">
        <v>89.8</v>
      </c>
      <c r="AM1531">
        <v>39000</v>
      </c>
      <c r="AS1531">
        <v>1.5</v>
      </c>
      <c r="AT1531" t="s">
        <v>421</v>
      </c>
      <c r="AU1531" t="s">
        <v>51</v>
      </c>
    </row>
    <row r="1532" spans="1:48">
      <c r="A1532" s="1">
        <f>HYPERLINK("https://cms.ls-nyc.org/matter/dynamic-profile/view/1892650","19-1892650")</f>
        <v>0</v>
      </c>
      <c r="B1532" t="s">
        <v>72</v>
      </c>
      <c r="C1532" t="s">
        <v>395</v>
      </c>
      <c r="E1532" t="s">
        <v>725</v>
      </c>
      <c r="F1532" t="s">
        <v>2881</v>
      </c>
      <c r="G1532" t="s">
        <v>3702</v>
      </c>
      <c r="H1532" t="s">
        <v>5733</v>
      </c>
      <c r="I1532" t="s">
        <v>6043</v>
      </c>
      <c r="J1532">
        <v>11233</v>
      </c>
      <c r="K1532" t="s">
        <v>6074</v>
      </c>
      <c r="L1532" t="s">
        <v>6076</v>
      </c>
      <c r="N1532" t="s">
        <v>7279</v>
      </c>
      <c r="O1532" t="s">
        <v>7311</v>
      </c>
      <c r="Q1532" t="s">
        <v>7322</v>
      </c>
      <c r="R1532" t="s">
        <v>6074</v>
      </c>
      <c r="S1532" t="s">
        <v>7324</v>
      </c>
      <c r="T1532" t="s">
        <v>7336</v>
      </c>
      <c r="U1532" t="s">
        <v>330</v>
      </c>
      <c r="V1532">
        <v>1321</v>
      </c>
      <c r="W1532" t="s">
        <v>7362</v>
      </c>
      <c r="X1532" t="s">
        <v>7305</v>
      </c>
      <c r="Z1532" t="s">
        <v>7615</v>
      </c>
      <c r="AC1532">
        <v>359</v>
      </c>
      <c r="AD1532" t="s">
        <v>12422</v>
      </c>
      <c r="AF1532">
        <v>34</v>
      </c>
      <c r="AG1532">
        <v>1</v>
      </c>
      <c r="AH1532">
        <v>3</v>
      </c>
      <c r="AI1532">
        <v>89.8</v>
      </c>
      <c r="AL1532" t="s">
        <v>12460</v>
      </c>
      <c r="AM1532">
        <v>23124</v>
      </c>
      <c r="AN1532" t="s">
        <v>12620</v>
      </c>
      <c r="AS1532">
        <v>0</v>
      </c>
      <c r="AU1532" t="s">
        <v>180</v>
      </c>
    </row>
    <row r="1533" spans="1:48">
      <c r="A1533" s="1">
        <f>HYPERLINK("https://cms.ls-nyc.org/matter/dynamic-profile/view/1892653","19-1892653")</f>
        <v>0</v>
      </c>
      <c r="B1533" t="s">
        <v>72</v>
      </c>
      <c r="C1533" t="s">
        <v>395</v>
      </c>
      <c r="E1533" t="s">
        <v>725</v>
      </c>
      <c r="F1533" t="s">
        <v>2881</v>
      </c>
      <c r="G1533" t="s">
        <v>3702</v>
      </c>
      <c r="H1533" t="s">
        <v>5733</v>
      </c>
      <c r="I1533" t="s">
        <v>6043</v>
      </c>
      <c r="J1533">
        <v>11233</v>
      </c>
      <c r="K1533" t="s">
        <v>6074</v>
      </c>
      <c r="L1533" t="s">
        <v>6076</v>
      </c>
      <c r="N1533" t="s">
        <v>7275</v>
      </c>
      <c r="O1533" t="s">
        <v>7307</v>
      </c>
      <c r="Q1533" t="s">
        <v>7322</v>
      </c>
      <c r="R1533" t="s">
        <v>6074</v>
      </c>
      <c r="S1533" t="s">
        <v>7324</v>
      </c>
      <c r="T1533" t="s">
        <v>7336</v>
      </c>
      <c r="U1533" t="s">
        <v>287</v>
      </c>
      <c r="V1533">
        <v>1321</v>
      </c>
      <c r="W1533" t="s">
        <v>7362</v>
      </c>
      <c r="X1533" t="s">
        <v>7305</v>
      </c>
      <c r="Z1533" t="s">
        <v>7615</v>
      </c>
      <c r="AC1533">
        <v>359</v>
      </c>
      <c r="AD1533" t="s">
        <v>12422</v>
      </c>
      <c r="AF1533">
        <v>34</v>
      </c>
      <c r="AG1533">
        <v>1</v>
      </c>
      <c r="AH1533">
        <v>3</v>
      </c>
      <c r="AI1533">
        <v>89.8</v>
      </c>
      <c r="AL1533" t="s">
        <v>12460</v>
      </c>
      <c r="AM1533">
        <v>23124</v>
      </c>
      <c r="AN1533" t="s">
        <v>12627</v>
      </c>
      <c r="AS1533">
        <v>0</v>
      </c>
      <c r="AU1533" t="s">
        <v>180</v>
      </c>
    </row>
    <row r="1534" spans="1:48">
      <c r="A1534" s="1">
        <f>HYPERLINK("https://cms.ls-nyc.org/matter/dynamic-profile/view/1900058","19-1900058")</f>
        <v>0</v>
      </c>
      <c r="B1534" t="s">
        <v>63</v>
      </c>
      <c r="C1534" t="s">
        <v>265</v>
      </c>
      <c r="E1534" t="s">
        <v>743</v>
      </c>
      <c r="F1534" t="s">
        <v>2882</v>
      </c>
      <c r="G1534" t="s">
        <v>4588</v>
      </c>
      <c r="I1534" t="s">
        <v>6055</v>
      </c>
      <c r="J1534">
        <v>11412</v>
      </c>
      <c r="K1534" t="s">
        <v>6074</v>
      </c>
      <c r="L1534" t="s">
        <v>6075</v>
      </c>
      <c r="M1534" t="s">
        <v>6733</v>
      </c>
      <c r="N1534" t="s">
        <v>7274</v>
      </c>
      <c r="O1534" t="s">
        <v>7310</v>
      </c>
      <c r="Q1534" t="s">
        <v>7322</v>
      </c>
      <c r="R1534" t="s">
        <v>6076</v>
      </c>
      <c r="S1534" t="s">
        <v>7324</v>
      </c>
      <c r="U1534" t="s">
        <v>265</v>
      </c>
      <c r="V1534">
        <v>0</v>
      </c>
      <c r="W1534" t="s">
        <v>7361</v>
      </c>
      <c r="X1534" t="s">
        <v>7366</v>
      </c>
      <c r="Z1534" t="s">
        <v>8589</v>
      </c>
      <c r="AB1534" t="s">
        <v>11326</v>
      </c>
      <c r="AC1534">
        <v>0</v>
      </c>
      <c r="AF1534">
        <v>3</v>
      </c>
      <c r="AG1534">
        <v>1</v>
      </c>
      <c r="AH1534">
        <v>0</v>
      </c>
      <c r="AI1534">
        <v>89.83</v>
      </c>
      <c r="AL1534" t="s">
        <v>12460</v>
      </c>
      <c r="AM1534">
        <v>11220</v>
      </c>
      <c r="AS1534">
        <v>1</v>
      </c>
      <c r="AT1534" t="s">
        <v>265</v>
      </c>
      <c r="AU1534" t="s">
        <v>13078</v>
      </c>
    </row>
    <row r="1535" spans="1:48">
      <c r="A1535" s="1">
        <f>HYPERLINK("https://cms.ls-nyc.org/matter/dynamic-profile/view/1898437","19-1898437")</f>
        <v>0</v>
      </c>
      <c r="B1535" t="s">
        <v>132</v>
      </c>
      <c r="C1535" t="s">
        <v>257</v>
      </c>
      <c r="E1535" t="s">
        <v>1127</v>
      </c>
      <c r="F1535" t="s">
        <v>2076</v>
      </c>
      <c r="G1535" t="s">
        <v>4589</v>
      </c>
      <c r="H1535" t="s">
        <v>5507</v>
      </c>
      <c r="I1535" t="s">
        <v>6049</v>
      </c>
      <c r="J1535">
        <v>10040</v>
      </c>
      <c r="K1535" t="s">
        <v>6074</v>
      </c>
      <c r="L1535" t="s">
        <v>6074</v>
      </c>
      <c r="O1535" t="s">
        <v>7306</v>
      </c>
      <c r="Q1535" t="s">
        <v>7322</v>
      </c>
      <c r="R1535" t="s">
        <v>6076</v>
      </c>
      <c r="S1535" t="s">
        <v>7324</v>
      </c>
      <c r="U1535" t="s">
        <v>257</v>
      </c>
      <c r="V1535">
        <v>1045.94</v>
      </c>
      <c r="W1535" t="s">
        <v>7365</v>
      </c>
      <c r="X1535" t="s">
        <v>7368</v>
      </c>
      <c r="Z1535" t="s">
        <v>8590</v>
      </c>
      <c r="AB1535" t="s">
        <v>11327</v>
      </c>
      <c r="AC1535">
        <v>44</v>
      </c>
      <c r="AD1535" t="s">
        <v>12422</v>
      </c>
      <c r="AE1535" t="s">
        <v>6110</v>
      </c>
      <c r="AF1535">
        <v>36</v>
      </c>
      <c r="AG1535">
        <v>3</v>
      </c>
      <c r="AH1535">
        <v>0</v>
      </c>
      <c r="AI1535">
        <v>89.84999999999999</v>
      </c>
      <c r="AL1535" t="s">
        <v>12461</v>
      </c>
      <c r="AM1535">
        <v>19164</v>
      </c>
      <c r="AS1535">
        <v>11.45</v>
      </c>
      <c r="AT1535" t="s">
        <v>445</v>
      </c>
      <c r="AU1535" t="s">
        <v>13106</v>
      </c>
    </row>
    <row r="1536" spans="1:48">
      <c r="A1536" s="1">
        <f>HYPERLINK("https://cms.ls-nyc.org/matter/dynamic-profile/view/1888671","19-1888671")</f>
        <v>0</v>
      </c>
      <c r="B1536" t="s">
        <v>54</v>
      </c>
      <c r="C1536" t="s">
        <v>284</v>
      </c>
      <c r="E1536" t="s">
        <v>737</v>
      </c>
      <c r="F1536" t="s">
        <v>2488</v>
      </c>
      <c r="G1536" t="s">
        <v>4590</v>
      </c>
      <c r="H1536" t="s">
        <v>5734</v>
      </c>
      <c r="I1536" t="s">
        <v>6038</v>
      </c>
      <c r="J1536">
        <v>11369</v>
      </c>
      <c r="K1536" t="s">
        <v>6074</v>
      </c>
      <c r="L1536" t="s">
        <v>6074</v>
      </c>
      <c r="M1536" t="s">
        <v>6734</v>
      </c>
      <c r="N1536" t="s">
        <v>7276</v>
      </c>
      <c r="O1536" t="s">
        <v>7308</v>
      </c>
      <c r="Q1536" t="s">
        <v>7322</v>
      </c>
      <c r="R1536" t="s">
        <v>6076</v>
      </c>
      <c r="S1536" t="s">
        <v>7324</v>
      </c>
      <c r="T1536" t="s">
        <v>7336</v>
      </c>
      <c r="U1536" t="s">
        <v>339</v>
      </c>
      <c r="V1536">
        <v>814.5700000000001</v>
      </c>
      <c r="W1536" t="s">
        <v>7361</v>
      </c>
      <c r="X1536" t="s">
        <v>7366</v>
      </c>
      <c r="Z1536" t="s">
        <v>8591</v>
      </c>
      <c r="AB1536" t="s">
        <v>11328</v>
      </c>
      <c r="AC1536">
        <v>43</v>
      </c>
      <c r="AD1536" t="s">
        <v>12422</v>
      </c>
      <c r="AE1536" t="s">
        <v>6110</v>
      </c>
      <c r="AF1536">
        <v>5</v>
      </c>
      <c r="AG1536">
        <v>1</v>
      </c>
      <c r="AH1536">
        <v>2</v>
      </c>
      <c r="AI1536">
        <v>90.01000000000001</v>
      </c>
      <c r="AL1536" t="s">
        <v>12460</v>
      </c>
      <c r="AM1536">
        <v>19200</v>
      </c>
      <c r="AS1536">
        <v>3.95</v>
      </c>
      <c r="AT1536" t="s">
        <v>338</v>
      </c>
      <c r="AU1536" t="s">
        <v>51</v>
      </c>
    </row>
    <row r="1537" spans="1:48">
      <c r="A1537" s="1">
        <f>HYPERLINK("https://cms.ls-nyc.org/matter/dynamic-profile/view/1881903","18-1881903")</f>
        <v>0</v>
      </c>
      <c r="B1537" t="s">
        <v>60</v>
      </c>
      <c r="C1537" t="s">
        <v>258</v>
      </c>
      <c r="D1537" t="s">
        <v>258</v>
      </c>
      <c r="E1537" t="s">
        <v>1408</v>
      </c>
      <c r="F1537" t="s">
        <v>2300</v>
      </c>
      <c r="G1537" t="s">
        <v>4591</v>
      </c>
      <c r="H1537">
        <v>1</v>
      </c>
      <c r="I1537" t="s">
        <v>6039</v>
      </c>
      <c r="J1537">
        <v>11368</v>
      </c>
      <c r="K1537" t="s">
        <v>6074</v>
      </c>
      <c r="L1537" t="s">
        <v>6074</v>
      </c>
      <c r="M1537" t="s">
        <v>6101</v>
      </c>
      <c r="N1537" t="s">
        <v>7274</v>
      </c>
      <c r="O1537" t="s">
        <v>7306</v>
      </c>
      <c r="P1537" t="s">
        <v>7314</v>
      </c>
      <c r="Q1537" t="s">
        <v>7323</v>
      </c>
      <c r="R1537" t="s">
        <v>6076</v>
      </c>
      <c r="S1537" t="s">
        <v>7324</v>
      </c>
      <c r="T1537" t="s">
        <v>7336</v>
      </c>
      <c r="U1537" t="s">
        <v>258</v>
      </c>
      <c r="V1537">
        <v>0</v>
      </c>
      <c r="W1537" t="s">
        <v>7361</v>
      </c>
      <c r="X1537" t="s">
        <v>7369</v>
      </c>
      <c r="Y1537" t="s">
        <v>7386</v>
      </c>
      <c r="Z1537" t="s">
        <v>8592</v>
      </c>
      <c r="AA1537" t="s">
        <v>9856</v>
      </c>
      <c r="AB1537" t="s">
        <v>9856</v>
      </c>
      <c r="AC1537">
        <v>5</v>
      </c>
      <c r="AD1537" t="s">
        <v>12419</v>
      </c>
      <c r="AE1537" t="s">
        <v>6110</v>
      </c>
      <c r="AF1537">
        <v>6</v>
      </c>
      <c r="AG1537">
        <v>1</v>
      </c>
      <c r="AH1537">
        <v>2</v>
      </c>
      <c r="AI1537">
        <v>90.09</v>
      </c>
      <c r="AJ1537" t="s">
        <v>12443</v>
      </c>
      <c r="AK1537" t="s">
        <v>12455</v>
      </c>
      <c r="AL1537" t="s">
        <v>12479</v>
      </c>
      <c r="AM1537">
        <v>18720</v>
      </c>
      <c r="AS1537">
        <v>0.85</v>
      </c>
      <c r="AT1537" t="s">
        <v>367</v>
      </c>
      <c r="AU1537" t="s">
        <v>60</v>
      </c>
    </row>
    <row r="1538" spans="1:48">
      <c r="A1538" s="1">
        <f>HYPERLINK("https://cms.ls-nyc.org/matter/dynamic-profile/view/1901128","19-1901128")</f>
        <v>0</v>
      </c>
      <c r="B1538" t="s">
        <v>74</v>
      </c>
      <c r="C1538" t="s">
        <v>324</v>
      </c>
      <c r="D1538" t="s">
        <v>324</v>
      </c>
      <c r="E1538" t="s">
        <v>1409</v>
      </c>
      <c r="F1538" t="s">
        <v>2883</v>
      </c>
      <c r="G1538" t="s">
        <v>4592</v>
      </c>
      <c r="H1538">
        <v>1</v>
      </c>
      <c r="I1538" t="s">
        <v>6043</v>
      </c>
      <c r="J1538">
        <v>11207</v>
      </c>
      <c r="K1538" t="s">
        <v>6074</v>
      </c>
      <c r="L1538" t="s">
        <v>6075</v>
      </c>
      <c r="M1538" t="s">
        <v>6735</v>
      </c>
      <c r="N1538" t="s">
        <v>7274</v>
      </c>
      <c r="O1538" t="s">
        <v>7306</v>
      </c>
      <c r="P1538" t="s">
        <v>7314</v>
      </c>
      <c r="Q1538" t="s">
        <v>7322</v>
      </c>
      <c r="S1538" t="s">
        <v>7324</v>
      </c>
      <c r="U1538" t="s">
        <v>324</v>
      </c>
      <c r="V1538">
        <v>557</v>
      </c>
      <c r="W1538" t="s">
        <v>7362</v>
      </c>
      <c r="X1538" t="s">
        <v>7373</v>
      </c>
      <c r="Y1538" t="s">
        <v>7386</v>
      </c>
      <c r="Z1538" t="s">
        <v>8593</v>
      </c>
      <c r="AA1538">
        <v>7956478</v>
      </c>
      <c r="AB1538" t="s">
        <v>11329</v>
      </c>
      <c r="AC1538">
        <v>3</v>
      </c>
      <c r="AD1538" t="s">
        <v>6322</v>
      </c>
      <c r="AE1538" t="s">
        <v>12434</v>
      </c>
      <c r="AF1538">
        <v>10</v>
      </c>
      <c r="AG1538">
        <v>3</v>
      </c>
      <c r="AH1538">
        <v>0</v>
      </c>
      <c r="AI1538">
        <v>90.12</v>
      </c>
      <c r="AL1538" t="s">
        <v>12460</v>
      </c>
      <c r="AM1538">
        <v>19222</v>
      </c>
      <c r="AS1538">
        <v>1</v>
      </c>
      <c r="AT1538" t="s">
        <v>324</v>
      </c>
      <c r="AU1538" t="s">
        <v>13084</v>
      </c>
      <c r="AV1538" t="s">
        <v>13145</v>
      </c>
    </row>
    <row r="1539" spans="1:48">
      <c r="A1539" s="1">
        <f>HYPERLINK("https://cms.ls-nyc.org/matter/dynamic-profile/view/1887689","19-1887689")</f>
        <v>0</v>
      </c>
      <c r="B1539" t="s">
        <v>116</v>
      </c>
      <c r="C1539" t="s">
        <v>492</v>
      </c>
      <c r="D1539" t="s">
        <v>361</v>
      </c>
      <c r="E1539" t="s">
        <v>1160</v>
      </c>
      <c r="F1539" t="s">
        <v>2223</v>
      </c>
      <c r="G1539" t="s">
        <v>4593</v>
      </c>
      <c r="H1539">
        <v>23</v>
      </c>
      <c r="I1539" t="s">
        <v>6047</v>
      </c>
      <c r="J1539">
        <v>10452</v>
      </c>
      <c r="K1539" t="s">
        <v>6074</v>
      </c>
      <c r="L1539" t="s">
        <v>6074</v>
      </c>
      <c r="N1539" t="s">
        <v>6104</v>
      </c>
      <c r="O1539" t="s">
        <v>7307</v>
      </c>
      <c r="P1539" t="s">
        <v>7315</v>
      </c>
      <c r="Q1539" t="s">
        <v>7322</v>
      </c>
      <c r="R1539" t="s">
        <v>6076</v>
      </c>
      <c r="S1539" t="s">
        <v>7324</v>
      </c>
      <c r="U1539" t="s">
        <v>292</v>
      </c>
      <c r="V1539">
        <v>499.31</v>
      </c>
      <c r="W1539" t="s">
        <v>7363</v>
      </c>
      <c r="X1539" t="s">
        <v>7376</v>
      </c>
      <c r="Y1539" t="s">
        <v>7386</v>
      </c>
      <c r="Z1539" t="s">
        <v>8594</v>
      </c>
      <c r="AB1539" t="s">
        <v>11330</v>
      </c>
      <c r="AC1539">
        <v>60</v>
      </c>
      <c r="AD1539" t="s">
        <v>12422</v>
      </c>
      <c r="AE1539" t="s">
        <v>12441</v>
      </c>
      <c r="AF1539">
        <v>52</v>
      </c>
      <c r="AG1539">
        <v>2</v>
      </c>
      <c r="AH1539">
        <v>1</v>
      </c>
      <c r="AI1539">
        <v>90.34</v>
      </c>
      <c r="AL1539" t="s">
        <v>12460</v>
      </c>
      <c r="AM1539">
        <v>18772.56</v>
      </c>
      <c r="AS1539">
        <v>1.35</v>
      </c>
      <c r="AT1539" t="s">
        <v>361</v>
      </c>
      <c r="AU1539" t="s">
        <v>116</v>
      </c>
    </row>
    <row r="1540" spans="1:48">
      <c r="A1540" s="1">
        <f>HYPERLINK("https://cms.ls-nyc.org/matter/dynamic-profile/view/1876936","18-1876936")</f>
        <v>0</v>
      </c>
      <c r="B1540" t="s">
        <v>130</v>
      </c>
      <c r="C1540" t="s">
        <v>290</v>
      </c>
      <c r="E1540" t="s">
        <v>1410</v>
      </c>
      <c r="F1540" t="s">
        <v>2546</v>
      </c>
      <c r="G1540" t="s">
        <v>4594</v>
      </c>
      <c r="H1540" t="s">
        <v>5621</v>
      </c>
      <c r="I1540" t="s">
        <v>6049</v>
      </c>
      <c r="J1540">
        <v>10033</v>
      </c>
      <c r="K1540" t="s">
        <v>6074</v>
      </c>
      <c r="L1540" t="s">
        <v>6074</v>
      </c>
      <c r="N1540" t="s">
        <v>7273</v>
      </c>
      <c r="O1540" t="s">
        <v>7307</v>
      </c>
      <c r="Q1540" t="s">
        <v>7322</v>
      </c>
      <c r="R1540" t="s">
        <v>6074</v>
      </c>
      <c r="S1540" t="s">
        <v>7324</v>
      </c>
      <c r="U1540" t="s">
        <v>290</v>
      </c>
      <c r="V1540">
        <v>1026</v>
      </c>
      <c r="W1540" t="s">
        <v>7365</v>
      </c>
      <c r="X1540" t="s">
        <v>7375</v>
      </c>
      <c r="Z1540" t="s">
        <v>8595</v>
      </c>
      <c r="AB1540" t="s">
        <v>11331</v>
      </c>
      <c r="AC1540">
        <v>232</v>
      </c>
      <c r="AD1540" t="s">
        <v>12422</v>
      </c>
      <c r="AE1540" t="s">
        <v>12441</v>
      </c>
      <c r="AF1540">
        <v>25</v>
      </c>
      <c r="AG1540">
        <v>2</v>
      </c>
      <c r="AH1540">
        <v>0</v>
      </c>
      <c r="AI1540">
        <v>90.40000000000001</v>
      </c>
      <c r="AM1540">
        <v>14880</v>
      </c>
      <c r="AS1540">
        <v>0.1</v>
      </c>
      <c r="AT1540" t="s">
        <v>257</v>
      </c>
      <c r="AU1540" t="s">
        <v>13106</v>
      </c>
    </row>
    <row r="1541" spans="1:48">
      <c r="A1541" s="1">
        <f>HYPERLINK("https://cms.ls-nyc.org/matter/dynamic-profile/view/1877463","18-1877463")</f>
        <v>0</v>
      </c>
      <c r="B1541" t="s">
        <v>52</v>
      </c>
      <c r="C1541" t="s">
        <v>372</v>
      </c>
      <c r="E1541" t="s">
        <v>1411</v>
      </c>
      <c r="F1541" t="s">
        <v>2884</v>
      </c>
      <c r="G1541" t="s">
        <v>4595</v>
      </c>
      <c r="H1541" t="s">
        <v>5467</v>
      </c>
      <c r="I1541" t="s">
        <v>6025</v>
      </c>
      <c r="J1541">
        <v>11691</v>
      </c>
      <c r="K1541" t="s">
        <v>6074</v>
      </c>
      <c r="L1541" t="s">
        <v>6074</v>
      </c>
      <c r="M1541" t="s">
        <v>6736</v>
      </c>
      <c r="N1541" t="s">
        <v>7276</v>
      </c>
      <c r="O1541" t="s">
        <v>7308</v>
      </c>
      <c r="Q1541" t="s">
        <v>7322</v>
      </c>
      <c r="R1541" t="s">
        <v>6076</v>
      </c>
      <c r="S1541" t="s">
        <v>7324</v>
      </c>
      <c r="T1541" t="s">
        <v>7338</v>
      </c>
      <c r="U1541" t="s">
        <v>372</v>
      </c>
      <c r="V1541">
        <v>1377</v>
      </c>
      <c r="W1541" t="s">
        <v>7361</v>
      </c>
      <c r="X1541" t="s">
        <v>7366</v>
      </c>
      <c r="Z1541" t="s">
        <v>8596</v>
      </c>
      <c r="AA1541" t="s">
        <v>10174</v>
      </c>
      <c r="AB1541" t="s">
        <v>11332</v>
      </c>
      <c r="AC1541">
        <v>107</v>
      </c>
      <c r="AD1541" t="s">
        <v>12422</v>
      </c>
      <c r="AE1541" t="s">
        <v>6110</v>
      </c>
      <c r="AF1541">
        <v>2</v>
      </c>
      <c r="AG1541">
        <v>1</v>
      </c>
      <c r="AH1541">
        <v>2</v>
      </c>
      <c r="AI1541">
        <v>90.45999999999999</v>
      </c>
      <c r="AL1541" t="s">
        <v>12460</v>
      </c>
      <c r="AM1541">
        <v>18798</v>
      </c>
      <c r="AO1541" t="s">
        <v>12853</v>
      </c>
      <c r="AP1541" t="s">
        <v>12890</v>
      </c>
      <c r="AQ1541" t="s">
        <v>12909</v>
      </c>
      <c r="AR1541" t="s">
        <v>13012</v>
      </c>
      <c r="AS1541">
        <v>96.25</v>
      </c>
      <c r="AT1541" t="s">
        <v>496</v>
      </c>
      <c r="AU1541" t="s">
        <v>189</v>
      </c>
      <c r="AV1541" t="s">
        <v>13145</v>
      </c>
    </row>
    <row r="1542" spans="1:48">
      <c r="A1542" s="1">
        <f>HYPERLINK("https://cms.ls-nyc.org/matter/dynamic-profile/view/1892335","19-1892335")</f>
        <v>0</v>
      </c>
      <c r="B1542" t="s">
        <v>159</v>
      </c>
      <c r="C1542" t="s">
        <v>337</v>
      </c>
      <c r="D1542" t="s">
        <v>362</v>
      </c>
      <c r="E1542" t="s">
        <v>1220</v>
      </c>
      <c r="F1542" t="s">
        <v>2885</v>
      </c>
      <c r="G1542" t="s">
        <v>4596</v>
      </c>
      <c r="H1542">
        <v>5</v>
      </c>
      <c r="I1542" t="s">
        <v>6049</v>
      </c>
      <c r="J1542">
        <v>10029</v>
      </c>
      <c r="K1542" t="s">
        <v>6074</v>
      </c>
      <c r="L1542" t="s">
        <v>6074</v>
      </c>
      <c r="N1542" t="s">
        <v>7290</v>
      </c>
      <c r="O1542" t="s">
        <v>7309</v>
      </c>
      <c r="P1542" t="s">
        <v>7319</v>
      </c>
      <c r="Q1542" t="s">
        <v>7322</v>
      </c>
      <c r="R1542" t="s">
        <v>6076</v>
      </c>
      <c r="S1542" t="s">
        <v>7333</v>
      </c>
      <c r="T1542" t="s">
        <v>7336</v>
      </c>
      <c r="U1542" t="s">
        <v>329</v>
      </c>
      <c r="V1542">
        <v>1223.47</v>
      </c>
      <c r="W1542" t="s">
        <v>7365</v>
      </c>
      <c r="X1542" t="s">
        <v>7370</v>
      </c>
      <c r="Y1542" t="s">
        <v>7397</v>
      </c>
      <c r="Z1542" t="s">
        <v>8597</v>
      </c>
      <c r="AA1542" t="s">
        <v>10175</v>
      </c>
      <c r="AC1542">
        <v>0</v>
      </c>
      <c r="AD1542" t="s">
        <v>12422</v>
      </c>
      <c r="AE1542" t="s">
        <v>6110</v>
      </c>
      <c r="AF1542">
        <v>10</v>
      </c>
      <c r="AG1542">
        <v>1</v>
      </c>
      <c r="AH1542">
        <v>4</v>
      </c>
      <c r="AI1542">
        <v>90.56999999999999</v>
      </c>
      <c r="AL1542" t="s">
        <v>12461</v>
      </c>
      <c r="AM1542">
        <v>27324</v>
      </c>
      <c r="AS1542">
        <v>9.5</v>
      </c>
      <c r="AT1542" t="s">
        <v>347</v>
      </c>
      <c r="AU1542" t="s">
        <v>13107</v>
      </c>
    </row>
    <row r="1543" spans="1:48">
      <c r="A1543" s="1">
        <f>HYPERLINK("https://cms.ls-nyc.org/matter/dynamic-profile/view/1877829","18-1877829")</f>
        <v>0</v>
      </c>
      <c r="B1543" t="s">
        <v>171</v>
      </c>
      <c r="C1543" t="s">
        <v>291</v>
      </c>
      <c r="D1543" t="s">
        <v>346</v>
      </c>
      <c r="E1543" t="s">
        <v>1194</v>
      </c>
      <c r="F1543" t="s">
        <v>2886</v>
      </c>
      <c r="G1543" t="s">
        <v>4498</v>
      </c>
      <c r="H1543" t="s">
        <v>5578</v>
      </c>
      <c r="I1543" t="s">
        <v>6043</v>
      </c>
      <c r="J1543">
        <v>11233</v>
      </c>
      <c r="K1543" t="s">
        <v>6074</v>
      </c>
      <c r="L1543" t="s">
        <v>6074</v>
      </c>
      <c r="M1543" t="s">
        <v>6737</v>
      </c>
      <c r="N1543" t="s">
        <v>7274</v>
      </c>
      <c r="O1543" t="s">
        <v>7308</v>
      </c>
      <c r="P1543" t="s">
        <v>7316</v>
      </c>
      <c r="Q1543" t="s">
        <v>7322</v>
      </c>
      <c r="R1543" t="s">
        <v>6074</v>
      </c>
      <c r="S1543" t="s">
        <v>7324</v>
      </c>
      <c r="T1543" t="s">
        <v>7336</v>
      </c>
      <c r="U1543" t="s">
        <v>291</v>
      </c>
      <c r="V1543">
        <v>1300</v>
      </c>
      <c r="W1543" t="s">
        <v>7362</v>
      </c>
      <c r="X1543" t="s">
        <v>7305</v>
      </c>
      <c r="Y1543" t="s">
        <v>7388</v>
      </c>
      <c r="Z1543" t="s">
        <v>8598</v>
      </c>
      <c r="AB1543" t="s">
        <v>11333</v>
      </c>
      <c r="AC1543">
        <v>6</v>
      </c>
      <c r="AD1543" t="s">
        <v>12422</v>
      </c>
      <c r="AE1543" t="s">
        <v>12438</v>
      </c>
      <c r="AF1543">
        <v>1</v>
      </c>
      <c r="AG1543">
        <v>1</v>
      </c>
      <c r="AH1543">
        <v>2</v>
      </c>
      <c r="AI1543">
        <v>90.84</v>
      </c>
      <c r="AL1543" t="s">
        <v>7305</v>
      </c>
      <c r="AM1543">
        <v>18876</v>
      </c>
      <c r="AS1543">
        <v>8.699999999999999</v>
      </c>
      <c r="AT1543" t="s">
        <v>346</v>
      </c>
      <c r="AU1543" t="s">
        <v>218</v>
      </c>
    </row>
    <row r="1544" spans="1:48">
      <c r="A1544" s="1">
        <f>HYPERLINK("https://cms.ls-nyc.org/matter/dynamic-profile/view/1872141","18-1872141")</f>
        <v>0</v>
      </c>
      <c r="B1544" t="s">
        <v>115</v>
      </c>
      <c r="C1544" t="s">
        <v>304</v>
      </c>
      <c r="E1544" t="s">
        <v>1080</v>
      </c>
      <c r="F1544" t="s">
        <v>2059</v>
      </c>
      <c r="G1544" t="s">
        <v>3944</v>
      </c>
      <c r="H1544" t="s">
        <v>5658</v>
      </c>
      <c r="I1544" t="s">
        <v>6047</v>
      </c>
      <c r="J1544">
        <v>10452</v>
      </c>
      <c r="K1544" t="s">
        <v>6074</v>
      </c>
      <c r="L1544" t="s">
        <v>6074</v>
      </c>
      <c r="M1544" t="s">
        <v>6292</v>
      </c>
      <c r="N1544" t="s">
        <v>7285</v>
      </c>
      <c r="O1544" t="s">
        <v>7311</v>
      </c>
      <c r="Q1544" t="s">
        <v>7322</v>
      </c>
      <c r="R1544" t="s">
        <v>6074</v>
      </c>
      <c r="S1544" t="s">
        <v>7324</v>
      </c>
      <c r="U1544" t="s">
        <v>502</v>
      </c>
      <c r="V1544">
        <v>718.26</v>
      </c>
      <c r="W1544" t="s">
        <v>7363</v>
      </c>
      <c r="X1544" t="s">
        <v>7376</v>
      </c>
      <c r="Z1544" t="s">
        <v>8599</v>
      </c>
      <c r="AB1544" t="s">
        <v>11334</v>
      </c>
      <c r="AC1544">
        <v>70</v>
      </c>
      <c r="AD1544" t="s">
        <v>12422</v>
      </c>
      <c r="AE1544" t="s">
        <v>6110</v>
      </c>
      <c r="AF1544">
        <v>37</v>
      </c>
      <c r="AG1544">
        <v>4</v>
      </c>
      <c r="AH1544">
        <v>0</v>
      </c>
      <c r="AI1544">
        <v>90.84</v>
      </c>
      <c r="AL1544" t="s">
        <v>12461</v>
      </c>
      <c r="AM1544">
        <v>22800</v>
      </c>
      <c r="AN1544" t="s">
        <v>12628</v>
      </c>
      <c r="AS1544">
        <v>0</v>
      </c>
      <c r="AU1544" t="s">
        <v>13092</v>
      </c>
    </row>
    <row r="1545" spans="1:48">
      <c r="A1545" s="1">
        <f>HYPERLINK("https://cms.ls-nyc.org/matter/dynamic-profile/view/1896135","19-1896135")</f>
        <v>0</v>
      </c>
      <c r="B1545" t="s">
        <v>98</v>
      </c>
      <c r="C1545" t="s">
        <v>314</v>
      </c>
      <c r="E1545" t="s">
        <v>655</v>
      </c>
      <c r="F1545" t="s">
        <v>2846</v>
      </c>
      <c r="G1545" t="s">
        <v>4597</v>
      </c>
      <c r="H1545" t="s">
        <v>5413</v>
      </c>
      <c r="I1545" t="s">
        <v>6047</v>
      </c>
      <c r="J1545">
        <v>10452</v>
      </c>
      <c r="K1545" t="s">
        <v>6074</v>
      </c>
      <c r="L1545" t="s">
        <v>6074</v>
      </c>
      <c r="M1545" t="s">
        <v>6101</v>
      </c>
      <c r="N1545" t="s">
        <v>7281</v>
      </c>
      <c r="O1545" t="s">
        <v>7309</v>
      </c>
      <c r="Q1545" t="s">
        <v>7322</v>
      </c>
      <c r="R1545" t="s">
        <v>6076</v>
      </c>
      <c r="S1545" t="s">
        <v>7331</v>
      </c>
      <c r="U1545" t="s">
        <v>343</v>
      </c>
      <c r="V1545">
        <v>1500</v>
      </c>
      <c r="W1545" t="s">
        <v>7363</v>
      </c>
      <c r="X1545" t="s">
        <v>7383</v>
      </c>
      <c r="Z1545" t="s">
        <v>8600</v>
      </c>
      <c r="AA1545">
        <v>370953540</v>
      </c>
      <c r="AB1545" t="s">
        <v>11335</v>
      </c>
      <c r="AC1545">
        <v>49</v>
      </c>
      <c r="AD1545" t="s">
        <v>12422</v>
      </c>
      <c r="AF1545">
        <v>10</v>
      </c>
      <c r="AG1545">
        <v>2</v>
      </c>
      <c r="AH1545">
        <v>1</v>
      </c>
      <c r="AI1545">
        <v>90.86</v>
      </c>
      <c r="AL1545" t="s">
        <v>12461</v>
      </c>
      <c r="AM1545">
        <v>19380</v>
      </c>
      <c r="AS1545">
        <v>12.2</v>
      </c>
      <c r="AT1545" t="s">
        <v>496</v>
      </c>
      <c r="AU1545" t="s">
        <v>13117</v>
      </c>
      <c r="AV1545" t="s">
        <v>13145</v>
      </c>
    </row>
    <row r="1546" spans="1:48">
      <c r="A1546" s="1">
        <f>HYPERLINK("https://cms.ls-nyc.org/matter/dynamic-profile/view/1879538","18-1879538")</f>
        <v>0</v>
      </c>
      <c r="B1546" t="s">
        <v>60</v>
      </c>
      <c r="C1546" t="s">
        <v>239</v>
      </c>
      <c r="D1546" t="s">
        <v>393</v>
      </c>
      <c r="E1546" t="s">
        <v>1412</v>
      </c>
      <c r="F1546" t="s">
        <v>2887</v>
      </c>
      <c r="G1546" t="s">
        <v>4598</v>
      </c>
      <c r="H1546" t="s">
        <v>5363</v>
      </c>
      <c r="I1546" t="s">
        <v>6045</v>
      </c>
      <c r="J1546">
        <v>11101</v>
      </c>
      <c r="K1546" t="s">
        <v>6074</v>
      </c>
      <c r="L1546" t="s">
        <v>6074</v>
      </c>
      <c r="M1546" t="s">
        <v>6104</v>
      </c>
      <c r="N1546" t="s">
        <v>6104</v>
      </c>
      <c r="O1546" t="s">
        <v>7306</v>
      </c>
      <c r="P1546" t="s">
        <v>7314</v>
      </c>
      <c r="Q1546" t="s">
        <v>7323</v>
      </c>
      <c r="R1546" t="s">
        <v>6076</v>
      </c>
      <c r="S1546" t="s">
        <v>7330</v>
      </c>
      <c r="T1546" t="s">
        <v>7336</v>
      </c>
      <c r="U1546" t="s">
        <v>239</v>
      </c>
      <c r="V1546">
        <v>1036</v>
      </c>
      <c r="W1546" t="s">
        <v>7361</v>
      </c>
      <c r="X1546" t="s">
        <v>7369</v>
      </c>
      <c r="Y1546" t="s">
        <v>7386</v>
      </c>
      <c r="Z1546" t="s">
        <v>8601</v>
      </c>
      <c r="AB1546" t="s">
        <v>11336</v>
      </c>
      <c r="AC1546">
        <v>492</v>
      </c>
      <c r="AD1546" t="s">
        <v>12427</v>
      </c>
      <c r="AE1546" t="s">
        <v>12434</v>
      </c>
      <c r="AF1546">
        <v>6</v>
      </c>
      <c r="AG1546">
        <v>1</v>
      </c>
      <c r="AH1546">
        <v>1</v>
      </c>
      <c r="AI1546">
        <v>91.13</v>
      </c>
      <c r="AJ1546" t="s">
        <v>12443</v>
      </c>
      <c r="AK1546" t="s">
        <v>12455</v>
      </c>
      <c r="AL1546" t="s">
        <v>12462</v>
      </c>
      <c r="AM1546">
        <v>15000</v>
      </c>
      <c r="AS1546">
        <v>2.09</v>
      </c>
      <c r="AT1546" t="s">
        <v>251</v>
      </c>
      <c r="AU1546" t="s">
        <v>60</v>
      </c>
    </row>
    <row r="1547" spans="1:48">
      <c r="A1547" s="1">
        <f>HYPERLINK("https://cms.ls-nyc.org/matter/dynamic-profile/view/1895822","19-1895822")</f>
        <v>0</v>
      </c>
      <c r="B1547" t="s">
        <v>54</v>
      </c>
      <c r="C1547" t="s">
        <v>315</v>
      </c>
      <c r="E1547" t="s">
        <v>1413</v>
      </c>
      <c r="F1547" t="s">
        <v>2888</v>
      </c>
      <c r="G1547" t="s">
        <v>3900</v>
      </c>
      <c r="H1547" t="s">
        <v>5546</v>
      </c>
      <c r="I1547" t="s">
        <v>6025</v>
      </c>
      <c r="J1547">
        <v>11691</v>
      </c>
      <c r="K1547" t="s">
        <v>6074</v>
      </c>
      <c r="L1547" t="s">
        <v>6074</v>
      </c>
      <c r="N1547" t="s">
        <v>7279</v>
      </c>
      <c r="O1547" t="s">
        <v>7311</v>
      </c>
      <c r="Q1547" t="s">
        <v>7322</v>
      </c>
      <c r="R1547" t="s">
        <v>6074</v>
      </c>
      <c r="S1547" t="s">
        <v>7324</v>
      </c>
      <c r="U1547" t="s">
        <v>315</v>
      </c>
      <c r="V1547">
        <v>675</v>
      </c>
      <c r="W1547" t="s">
        <v>7361</v>
      </c>
      <c r="X1547" t="s">
        <v>7366</v>
      </c>
      <c r="Z1547" t="s">
        <v>8602</v>
      </c>
      <c r="AB1547" t="s">
        <v>11337</v>
      </c>
      <c r="AC1547">
        <v>43</v>
      </c>
      <c r="AF1547">
        <v>8</v>
      </c>
      <c r="AG1547">
        <v>1</v>
      </c>
      <c r="AH1547">
        <v>0</v>
      </c>
      <c r="AI1547">
        <v>91.27</v>
      </c>
      <c r="AL1547" t="s">
        <v>12460</v>
      </c>
      <c r="AM1547">
        <v>11400</v>
      </c>
      <c r="AS1547">
        <v>0</v>
      </c>
      <c r="AU1547" t="s">
        <v>13078</v>
      </c>
    </row>
    <row r="1548" spans="1:48">
      <c r="A1548" s="1">
        <f>HYPERLINK("https://cms.ls-nyc.org/matter/dynamic-profile/view/1895829","19-1895829")</f>
        <v>0</v>
      </c>
      <c r="B1548" t="s">
        <v>54</v>
      </c>
      <c r="C1548" t="s">
        <v>315</v>
      </c>
      <c r="E1548" t="s">
        <v>1413</v>
      </c>
      <c r="F1548" t="s">
        <v>2888</v>
      </c>
      <c r="G1548" t="s">
        <v>3900</v>
      </c>
      <c r="H1548" t="s">
        <v>5546</v>
      </c>
      <c r="I1548" t="s">
        <v>6025</v>
      </c>
      <c r="J1548">
        <v>11691</v>
      </c>
      <c r="K1548" t="s">
        <v>6074</v>
      </c>
      <c r="L1548" t="s">
        <v>6074</v>
      </c>
      <c r="N1548" t="s">
        <v>7278</v>
      </c>
      <c r="O1548" t="s">
        <v>7307</v>
      </c>
      <c r="Q1548" t="s">
        <v>7322</v>
      </c>
      <c r="R1548" t="s">
        <v>6074</v>
      </c>
      <c r="S1548" t="s">
        <v>7324</v>
      </c>
      <c r="U1548" t="s">
        <v>315</v>
      </c>
      <c r="V1548">
        <v>675</v>
      </c>
      <c r="W1548" t="s">
        <v>7361</v>
      </c>
      <c r="Z1548" t="s">
        <v>8602</v>
      </c>
      <c r="AB1548" t="s">
        <v>11337</v>
      </c>
      <c r="AC1548">
        <v>43</v>
      </c>
      <c r="AF1548">
        <v>8</v>
      </c>
      <c r="AG1548">
        <v>1</v>
      </c>
      <c r="AH1548">
        <v>0</v>
      </c>
      <c r="AI1548">
        <v>91.27</v>
      </c>
      <c r="AL1548" t="s">
        <v>12460</v>
      </c>
      <c r="AM1548">
        <v>11400</v>
      </c>
      <c r="AS1548">
        <v>0</v>
      </c>
      <c r="AU1548" t="s">
        <v>13078</v>
      </c>
    </row>
    <row r="1549" spans="1:48">
      <c r="A1549" s="1">
        <f>HYPERLINK("https://cms.ls-nyc.org/matter/dynamic-profile/view/1875532","18-1875532")</f>
        <v>0</v>
      </c>
      <c r="B1549" t="s">
        <v>102</v>
      </c>
      <c r="C1549" t="s">
        <v>480</v>
      </c>
      <c r="D1549" t="s">
        <v>472</v>
      </c>
      <c r="E1549" t="s">
        <v>795</v>
      </c>
      <c r="F1549" t="s">
        <v>2889</v>
      </c>
      <c r="G1549" t="s">
        <v>4304</v>
      </c>
      <c r="H1549" t="s">
        <v>5735</v>
      </c>
      <c r="I1549" t="s">
        <v>6047</v>
      </c>
      <c r="J1549">
        <v>10453</v>
      </c>
      <c r="K1549" t="s">
        <v>6074</v>
      </c>
      <c r="L1549" t="s">
        <v>6074</v>
      </c>
      <c r="M1549" t="s">
        <v>6738</v>
      </c>
      <c r="N1549" t="s">
        <v>7276</v>
      </c>
      <c r="O1549" t="s">
        <v>7306</v>
      </c>
      <c r="P1549" t="s">
        <v>7314</v>
      </c>
      <c r="Q1549" t="s">
        <v>7322</v>
      </c>
      <c r="R1549" t="s">
        <v>6076</v>
      </c>
      <c r="S1549" t="s">
        <v>7324</v>
      </c>
      <c r="U1549" t="s">
        <v>502</v>
      </c>
      <c r="V1549">
        <v>1114</v>
      </c>
      <c r="W1549" t="s">
        <v>7363</v>
      </c>
      <c r="X1549" t="s">
        <v>7366</v>
      </c>
      <c r="Y1549" t="s">
        <v>7388</v>
      </c>
      <c r="Z1549" t="s">
        <v>8603</v>
      </c>
      <c r="AB1549" t="s">
        <v>11338</v>
      </c>
      <c r="AC1549">
        <v>43</v>
      </c>
      <c r="AD1549" t="s">
        <v>12423</v>
      </c>
      <c r="AE1549" t="s">
        <v>12434</v>
      </c>
      <c r="AF1549">
        <v>6</v>
      </c>
      <c r="AG1549">
        <v>1</v>
      </c>
      <c r="AH1549">
        <v>3</v>
      </c>
      <c r="AI1549">
        <v>91.31</v>
      </c>
      <c r="AL1549" t="s">
        <v>12460</v>
      </c>
      <c r="AM1549">
        <v>22920</v>
      </c>
      <c r="AN1549" t="s">
        <v>12629</v>
      </c>
      <c r="AS1549">
        <v>1.2</v>
      </c>
      <c r="AT1549" t="s">
        <v>325</v>
      </c>
      <c r="AU1549" t="s">
        <v>13099</v>
      </c>
    </row>
    <row r="1550" spans="1:48">
      <c r="A1550" s="1">
        <f>HYPERLINK("https://cms.ls-nyc.org/matter/dynamic-profile/view/1885182","18-1885182")</f>
        <v>0</v>
      </c>
      <c r="B1550" t="s">
        <v>159</v>
      </c>
      <c r="C1550" t="s">
        <v>341</v>
      </c>
      <c r="D1550" t="s">
        <v>257</v>
      </c>
      <c r="E1550" t="s">
        <v>937</v>
      </c>
      <c r="F1550" t="s">
        <v>2890</v>
      </c>
      <c r="G1550" t="s">
        <v>4599</v>
      </c>
      <c r="H1550">
        <v>24</v>
      </c>
      <c r="I1550" t="s">
        <v>6049</v>
      </c>
      <c r="J1550">
        <v>10035</v>
      </c>
      <c r="K1550" t="s">
        <v>6074</v>
      </c>
      <c r="L1550" t="s">
        <v>6074</v>
      </c>
      <c r="N1550" t="s">
        <v>7290</v>
      </c>
      <c r="O1550" t="s">
        <v>7311</v>
      </c>
      <c r="P1550" t="s">
        <v>7319</v>
      </c>
      <c r="Q1550" t="s">
        <v>7322</v>
      </c>
      <c r="R1550" t="s">
        <v>6076</v>
      </c>
      <c r="S1550" t="s">
        <v>7333</v>
      </c>
      <c r="T1550" t="s">
        <v>7336</v>
      </c>
      <c r="U1550" t="s">
        <v>341</v>
      </c>
      <c r="V1550">
        <v>2037</v>
      </c>
      <c r="W1550" t="s">
        <v>7365</v>
      </c>
      <c r="X1550" t="s">
        <v>7370</v>
      </c>
      <c r="Y1550" t="s">
        <v>7403</v>
      </c>
      <c r="Z1550" t="s">
        <v>8604</v>
      </c>
      <c r="AB1550" t="s">
        <v>11339</v>
      </c>
      <c r="AC1550">
        <v>35</v>
      </c>
      <c r="AD1550" t="s">
        <v>12422</v>
      </c>
      <c r="AE1550" t="s">
        <v>12434</v>
      </c>
      <c r="AF1550">
        <v>27</v>
      </c>
      <c r="AG1550">
        <v>3</v>
      </c>
      <c r="AH1550">
        <v>0</v>
      </c>
      <c r="AI1550">
        <v>91.33</v>
      </c>
      <c r="AL1550" t="s">
        <v>12460</v>
      </c>
      <c r="AM1550">
        <v>18978.96</v>
      </c>
      <c r="AS1550">
        <v>22.5</v>
      </c>
      <c r="AT1550" t="s">
        <v>302</v>
      </c>
      <c r="AU1550" t="s">
        <v>13107</v>
      </c>
    </row>
    <row r="1551" spans="1:48">
      <c r="A1551" s="1">
        <f>HYPERLINK("https://cms.ls-nyc.org/matter/dynamic-profile/view/1880140","18-1880140")</f>
        <v>0</v>
      </c>
      <c r="B1551" t="s">
        <v>54</v>
      </c>
      <c r="C1551" t="s">
        <v>245</v>
      </c>
      <c r="D1551" t="s">
        <v>354</v>
      </c>
      <c r="E1551" t="s">
        <v>1225</v>
      </c>
      <c r="F1551" t="s">
        <v>2891</v>
      </c>
      <c r="G1551" t="s">
        <v>4600</v>
      </c>
      <c r="H1551" t="s">
        <v>5489</v>
      </c>
      <c r="I1551" t="s">
        <v>6025</v>
      </c>
      <c r="J1551">
        <v>11691</v>
      </c>
      <c r="K1551" t="s">
        <v>6074</v>
      </c>
      <c r="L1551" t="s">
        <v>6074</v>
      </c>
      <c r="M1551" t="s">
        <v>6739</v>
      </c>
      <c r="N1551" t="s">
        <v>7274</v>
      </c>
      <c r="O1551" t="s">
        <v>7306</v>
      </c>
      <c r="P1551" t="s">
        <v>7314</v>
      </c>
      <c r="Q1551" t="s">
        <v>7322</v>
      </c>
      <c r="R1551" t="s">
        <v>6076</v>
      </c>
      <c r="S1551" t="s">
        <v>7324</v>
      </c>
      <c r="T1551" t="s">
        <v>7339</v>
      </c>
      <c r="U1551" t="s">
        <v>245</v>
      </c>
      <c r="V1551">
        <v>1515</v>
      </c>
      <c r="W1551" t="s">
        <v>7361</v>
      </c>
      <c r="X1551" t="s">
        <v>7366</v>
      </c>
      <c r="Y1551" t="s">
        <v>7386</v>
      </c>
      <c r="Z1551" t="s">
        <v>8605</v>
      </c>
      <c r="AA1551" t="s">
        <v>10176</v>
      </c>
      <c r="AB1551" t="s">
        <v>11340</v>
      </c>
      <c r="AC1551">
        <v>4</v>
      </c>
      <c r="AD1551" t="s">
        <v>12419</v>
      </c>
      <c r="AE1551" t="s">
        <v>12438</v>
      </c>
      <c r="AF1551">
        <v>1</v>
      </c>
      <c r="AG1551">
        <v>1</v>
      </c>
      <c r="AH1551">
        <v>2</v>
      </c>
      <c r="AI1551">
        <v>91.43000000000001</v>
      </c>
      <c r="AL1551" t="s">
        <v>12460</v>
      </c>
      <c r="AM1551">
        <v>19000</v>
      </c>
      <c r="AS1551">
        <v>0.4</v>
      </c>
      <c r="AT1551" t="s">
        <v>354</v>
      </c>
      <c r="AU1551" t="s">
        <v>189</v>
      </c>
    </row>
    <row r="1552" spans="1:48">
      <c r="A1552" s="1">
        <f>HYPERLINK("https://cms.ls-nyc.org/matter/dynamic-profile/view/1887131","19-1887131")</f>
        <v>0</v>
      </c>
      <c r="B1552" t="s">
        <v>54</v>
      </c>
      <c r="C1552" t="s">
        <v>452</v>
      </c>
      <c r="E1552" t="s">
        <v>1408</v>
      </c>
      <c r="F1552" t="s">
        <v>2300</v>
      </c>
      <c r="G1552" t="s">
        <v>4591</v>
      </c>
      <c r="I1552" t="s">
        <v>6039</v>
      </c>
      <c r="J1552">
        <v>11368</v>
      </c>
      <c r="K1552" t="s">
        <v>6074</v>
      </c>
      <c r="L1552" t="s">
        <v>6074</v>
      </c>
      <c r="M1552" t="s">
        <v>6740</v>
      </c>
      <c r="N1552" t="s">
        <v>7274</v>
      </c>
      <c r="O1552" t="s">
        <v>7308</v>
      </c>
      <c r="Q1552" t="s">
        <v>7323</v>
      </c>
      <c r="R1552" t="s">
        <v>6076</v>
      </c>
      <c r="S1552" t="s">
        <v>7324</v>
      </c>
      <c r="T1552" t="s">
        <v>7336</v>
      </c>
      <c r="U1552" t="s">
        <v>272</v>
      </c>
      <c r="V1552">
        <v>0</v>
      </c>
      <c r="W1552" t="s">
        <v>7361</v>
      </c>
      <c r="X1552" t="s">
        <v>7369</v>
      </c>
      <c r="Z1552" t="s">
        <v>8592</v>
      </c>
      <c r="AA1552" t="s">
        <v>9856</v>
      </c>
      <c r="AB1552" t="s">
        <v>9856</v>
      </c>
      <c r="AC1552">
        <v>4</v>
      </c>
      <c r="AD1552" t="s">
        <v>12419</v>
      </c>
      <c r="AE1552" t="s">
        <v>6110</v>
      </c>
      <c r="AF1552">
        <v>6</v>
      </c>
      <c r="AG1552">
        <v>1</v>
      </c>
      <c r="AH1552">
        <v>2</v>
      </c>
      <c r="AI1552">
        <v>91.43000000000001</v>
      </c>
      <c r="AJ1552" t="s">
        <v>12443</v>
      </c>
      <c r="AK1552" t="s">
        <v>12455</v>
      </c>
      <c r="AL1552" t="s">
        <v>12460</v>
      </c>
      <c r="AM1552">
        <v>19000</v>
      </c>
      <c r="AO1552" t="s">
        <v>12847</v>
      </c>
      <c r="AP1552" t="s">
        <v>12891</v>
      </c>
      <c r="AQ1552" t="s">
        <v>12910</v>
      </c>
      <c r="AS1552">
        <v>11.6</v>
      </c>
      <c r="AT1552" t="s">
        <v>423</v>
      </c>
      <c r="AU1552" t="s">
        <v>54</v>
      </c>
    </row>
    <row r="1553" spans="1:48">
      <c r="A1553" s="1">
        <f>HYPERLINK("https://cms.ls-nyc.org/matter/dynamic-profile/view/1885600","18-1885600")</f>
        <v>0</v>
      </c>
      <c r="B1553" t="s">
        <v>52</v>
      </c>
      <c r="C1553" t="s">
        <v>266</v>
      </c>
      <c r="D1553" t="s">
        <v>286</v>
      </c>
      <c r="E1553" t="s">
        <v>1414</v>
      </c>
      <c r="F1553" t="s">
        <v>2223</v>
      </c>
      <c r="G1553" t="s">
        <v>4601</v>
      </c>
      <c r="I1553" t="s">
        <v>6067</v>
      </c>
      <c r="J1553">
        <v>11422</v>
      </c>
      <c r="K1553" t="s">
        <v>6074</v>
      </c>
      <c r="L1553" t="s">
        <v>6074</v>
      </c>
      <c r="M1553" t="s">
        <v>6741</v>
      </c>
      <c r="N1553" t="s">
        <v>7274</v>
      </c>
      <c r="O1553" t="s">
        <v>7308</v>
      </c>
      <c r="P1553" t="s">
        <v>7316</v>
      </c>
      <c r="Q1553" t="s">
        <v>7322</v>
      </c>
      <c r="R1553" t="s">
        <v>6076</v>
      </c>
      <c r="S1553" t="s">
        <v>7324</v>
      </c>
      <c r="T1553" t="s">
        <v>7336</v>
      </c>
      <c r="U1553" t="s">
        <v>266</v>
      </c>
      <c r="V1553">
        <v>0</v>
      </c>
      <c r="W1553" t="s">
        <v>7361</v>
      </c>
      <c r="X1553" t="s">
        <v>7366</v>
      </c>
      <c r="Y1553" t="s">
        <v>7388</v>
      </c>
      <c r="Z1553" t="s">
        <v>8606</v>
      </c>
      <c r="AB1553" t="s">
        <v>11341</v>
      </c>
      <c r="AC1553">
        <v>2</v>
      </c>
      <c r="AD1553" t="s">
        <v>12419</v>
      </c>
      <c r="AE1553" t="s">
        <v>6110</v>
      </c>
      <c r="AF1553">
        <v>1</v>
      </c>
      <c r="AG1553">
        <v>1</v>
      </c>
      <c r="AH1553">
        <v>4</v>
      </c>
      <c r="AI1553">
        <v>91.56</v>
      </c>
      <c r="AL1553" t="s">
        <v>12460</v>
      </c>
      <c r="AM1553">
        <v>26936</v>
      </c>
      <c r="AO1553" t="s">
        <v>12845</v>
      </c>
      <c r="AP1553" t="s">
        <v>12858</v>
      </c>
      <c r="AQ1553" t="s">
        <v>12909</v>
      </c>
      <c r="AR1553" t="s">
        <v>13006</v>
      </c>
      <c r="AS1553">
        <v>23.35</v>
      </c>
      <c r="AT1553" t="s">
        <v>367</v>
      </c>
      <c r="AU1553" t="s">
        <v>48</v>
      </c>
    </row>
    <row r="1554" spans="1:48">
      <c r="A1554" s="1">
        <f>HYPERLINK("https://cms.ls-nyc.org/matter/dynamic-profile/view/1885580","18-1885580")</f>
        <v>0</v>
      </c>
      <c r="B1554" t="s">
        <v>106</v>
      </c>
      <c r="C1554" t="s">
        <v>266</v>
      </c>
      <c r="D1554" t="s">
        <v>389</v>
      </c>
      <c r="E1554" t="s">
        <v>1415</v>
      </c>
      <c r="F1554" t="s">
        <v>2892</v>
      </c>
      <c r="G1554" t="s">
        <v>4602</v>
      </c>
      <c r="H1554">
        <v>3</v>
      </c>
      <c r="I1554" t="s">
        <v>6047</v>
      </c>
      <c r="J1554">
        <v>10452</v>
      </c>
      <c r="K1554" t="s">
        <v>6074</v>
      </c>
      <c r="L1554" t="s">
        <v>6074</v>
      </c>
      <c r="N1554" t="s">
        <v>6104</v>
      </c>
      <c r="O1554" t="s">
        <v>7306</v>
      </c>
      <c r="P1554" t="s">
        <v>7314</v>
      </c>
      <c r="Q1554" t="s">
        <v>7322</v>
      </c>
      <c r="R1554" t="s">
        <v>6076</v>
      </c>
      <c r="S1554" t="s">
        <v>7324</v>
      </c>
      <c r="U1554" t="s">
        <v>266</v>
      </c>
      <c r="V1554">
        <v>1252.36</v>
      </c>
      <c r="W1554" t="s">
        <v>7363</v>
      </c>
      <c r="X1554" t="s">
        <v>7376</v>
      </c>
      <c r="Y1554" t="s">
        <v>7386</v>
      </c>
      <c r="Z1554" t="s">
        <v>8607</v>
      </c>
      <c r="AA1554">
        <v>5265005</v>
      </c>
      <c r="AC1554">
        <v>0</v>
      </c>
      <c r="AD1554" t="s">
        <v>12422</v>
      </c>
      <c r="AE1554" t="s">
        <v>6110</v>
      </c>
      <c r="AF1554">
        <v>9</v>
      </c>
      <c r="AG1554">
        <v>4</v>
      </c>
      <c r="AH1554">
        <v>1</v>
      </c>
      <c r="AI1554">
        <v>91.72</v>
      </c>
      <c r="AL1554" t="s">
        <v>12460</v>
      </c>
      <c r="AM1554">
        <v>26984</v>
      </c>
      <c r="AS1554">
        <v>3.5</v>
      </c>
      <c r="AT1554" t="s">
        <v>389</v>
      </c>
      <c r="AU1554" t="s">
        <v>106</v>
      </c>
    </row>
    <row r="1555" spans="1:48">
      <c r="A1555" s="1">
        <f>HYPERLINK("https://cms.ls-nyc.org/matter/dynamic-profile/view/1888008","19-1888008")</f>
        <v>0</v>
      </c>
      <c r="B1555" t="s">
        <v>176</v>
      </c>
      <c r="C1555" t="s">
        <v>390</v>
      </c>
      <c r="E1555" t="s">
        <v>1416</v>
      </c>
      <c r="F1555" t="s">
        <v>2893</v>
      </c>
      <c r="G1555" t="s">
        <v>4603</v>
      </c>
      <c r="H1555" t="s">
        <v>5465</v>
      </c>
      <c r="I1555" t="s">
        <v>6043</v>
      </c>
      <c r="J1555">
        <v>11226</v>
      </c>
      <c r="K1555" t="s">
        <v>6074</v>
      </c>
      <c r="L1555" t="s">
        <v>6074</v>
      </c>
      <c r="Q1555" t="s">
        <v>7322</v>
      </c>
      <c r="S1555" t="s">
        <v>7324</v>
      </c>
      <c r="U1555" t="s">
        <v>492</v>
      </c>
      <c r="V1555">
        <v>5</v>
      </c>
      <c r="W1555" t="s">
        <v>7362</v>
      </c>
      <c r="Z1555" t="s">
        <v>8608</v>
      </c>
      <c r="AB1555" t="s">
        <v>11342</v>
      </c>
      <c r="AC1555">
        <v>0</v>
      </c>
      <c r="AF1555">
        <v>0</v>
      </c>
      <c r="AG1555">
        <v>1</v>
      </c>
      <c r="AH1555">
        <v>0</v>
      </c>
      <c r="AI1555">
        <v>91.83</v>
      </c>
      <c r="AL1555" t="s">
        <v>12460</v>
      </c>
      <c r="AM1555">
        <v>11148</v>
      </c>
      <c r="AS1555">
        <v>16.3</v>
      </c>
      <c r="AT1555" t="s">
        <v>375</v>
      </c>
      <c r="AU1555" t="s">
        <v>88</v>
      </c>
    </row>
    <row r="1556" spans="1:48">
      <c r="A1556" s="1">
        <f>HYPERLINK("https://cms.ls-nyc.org/matter/dynamic-profile/view/1871273","18-1871273")</f>
        <v>0</v>
      </c>
      <c r="B1556" t="s">
        <v>118</v>
      </c>
      <c r="C1556" t="s">
        <v>388</v>
      </c>
      <c r="D1556" t="s">
        <v>300</v>
      </c>
      <c r="E1556" t="s">
        <v>1417</v>
      </c>
      <c r="F1556" t="s">
        <v>2894</v>
      </c>
      <c r="G1556" t="s">
        <v>4604</v>
      </c>
      <c r="H1556" t="s">
        <v>5736</v>
      </c>
      <c r="I1556" t="s">
        <v>6048</v>
      </c>
      <c r="J1556">
        <v>10304</v>
      </c>
      <c r="K1556" t="s">
        <v>6074</v>
      </c>
      <c r="L1556" t="s">
        <v>6074</v>
      </c>
      <c r="M1556" t="s">
        <v>6742</v>
      </c>
      <c r="N1556" t="s">
        <v>7276</v>
      </c>
      <c r="O1556" t="s">
        <v>7308</v>
      </c>
      <c r="P1556" t="s">
        <v>7316</v>
      </c>
      <c r="Q1556" t="s">
        <v>7322</v>
      </c>
      <c r="R1556" t="s">
        <v>6076</v>
      </c>
      <c r="S1556" t="s">
        <v>7324</v>
      </c>
      <c r="T1556" t="s">
        <v>7336</v>
      </c>
      <c r="U1556" t="s">
        <v>388</v>
      </c>
      <c r="V1556">
        <v>794.6</v>
      </c>
      <c r="W1556" t="s">
        <v>7364</v>
      </c>
      <c r="X1556" t="s">
        <v>7376</v>
      </c>
      <c r="Y1556" t="s">
        <v>7388</v>
      </c>
      <c r="Z1556" t="s">
        <v>8609</v>
      </c>
      <c r="AB1556" t="s">
        <v>11343</v>
      </c>
      <c r="AC1556">
        <v>108</v>
      </c>
      <c r="AD1556" t="s">
        <v>12422</v>
      </c>
      <c r="AE1556" t="s">
        <v>12441</v>
      </c>
      <c r="AF1556">
        <v>19</v>
      </c>
      <c r="AG1556">
        <v>2</v>
      </c>
      <c r="AH1556">
        <v>0</v>
      </c>
      <c r="AI1556">
        <v>91.86</v>
      </c>
      <c r="AL1556" t="s">
        <v>12460</v>
      </c>
      <c r="AM1556">
        <v>15120</v>
      </c>
      <c r="AO1556" t="s">
        <v>12850</v>
      </c>
      <c r="AP1556" t="s">
        <v>12858</v>
      </c>
      <c r="AQ1556" t="s">
        <v>12909</v>
      </c>
      <c r="AR1556" t="s">
        <v>13013</v>
      </c>
      <c r="AS1556">
        <v>32.9</v>
      </c>
      <c r="AT1556" t="s">
        <v>300</v>
      </c>
      <c r="AU1556" t="s">
        <v>13102</v>
      </c>
    </row>
    <row r="1557" spans="1:48">
      <c r="A1557" s="1">
        <f>HYPERLINK("https://cms.ls-nyc.org/matter/dynamic-profile/view/1889519","19-1889519")</f>
        <v>0</v>
      </c>
      <c r="B1557" t="s">
        <v>107</v>
      </c>
      <c r="C1557" t="s">
        <v>285</v>
      </c>
      <c r="D1557" t="s">
        <v>276</v>
      </c>
      <c r="E1557" t="s">
        <v>1266</v>
      </c>
      <c r="F1557" t="s">
        <v>2715</v>
      </c>
      <c r="G1557" t="s">
        <v>3792</v>
      </c>
      <c r="H1557" t="s">
        <v>5663</v>
      </c>
      <c r="I1557" t="s">
        <v>6047</v>
      </c>
      <c r="J1557">
        <v>10453</v>
      </c>
      <c r="K1557" t="s">
        <v>6074</v>
      </c>
      <c r="L1557" t="s">
        <v>6074</v>
      </c>
      <c r="M1557" t="s">
        <v>6743</v>
      </c>
      <c r="N1557" t="s">
        <v>7276</v>
      </c>
      <c r="O1557" t="s">
        <v>7308</v>
      </c>
      <c r="P1557" t="s">
        <v>7316</v>
      </c>
      <c r="Q1557" t="s">
        <v>7322</v>
      </c>
      <c r="S1557" t="s">
        <v>7324</v>
      </c>
      <c r="U1557" t="s">
        <v>278</v>
      </c>
      <c r="V1557">
        <v>1475.86</v>
      </c>
      <c r="W1557" t="s">
        <v>7363</v>
      </c>
      <c r="X1557" t="s">
        <v>7378</v>
      </c>
      <c r="Y1557" t="s">
        <v>7388</v>
      </c>
      <c r="Z1557" t="s">
        <v>8308</v>
      </c>
      <c r="AB1557" t="s">
        <v>11344</v>
      </c>
      <c r="AC1557">
        <v>0</v>
      </c>
      <c r="AD1557" t="s">
        <v>12422</v>
      </c>
      <c r="AE1557" t="s">
        <v>12440</v>
      </c>
      <c r="AF1557">
        <v>1</v>
      </c>
      <c r="AG1557">
        <v>2</v>
      </c>
      <c r="AH1557">
        <v>0</v>
      </c>
      <c r="AI1557">
        <v>91.90000000000001</v>
      </c>
      <c r="AL1557" t="s">
        <v>12460</v>
      </c>
      <c r="AM1557">
        <v>15540</v>
      </c>
      <c r="AS1557">
        <v>24.8</v>
      </c>
      <c r="AT1557" t="s">
        <v>332</v>
      </c>
      <c r="AU1557" t="s">
        <v>13081</v>
      </c>
    </row>
    <row r="1558" spans="1:48">
      <c r="A1558" s="1">
        <f>HYPERLINK("https://cms.ls-nyc.org/matter/dynamic-profile/view/1878613","18-1878613")</f>
        <v>0</v>
      </c>
      <c r="B1558" t="s">
        <v>130</v>
      </c>
      <c r="C1558" t="s">
        <v>299</v>
      </c>
      <c r="D1558" t="s">
        <v>403</v>
      </c>
      <c r="E1558" t="s">
        <v>1418</v>
      </c>
      <c r="F1558" t="s">
        <v>2895</v>
      </c>
      <c r="G1558" t="s">
        <v>4605</v>
      </c>
      <c r="H1558" t="s">
        <v>5737</v>
      </c>
      <c r="I1558" t="s">
        <v>6049</v>
      </c>
      <c r="J1558">
        <v>10034</v>
      </c>
      <c r="K1558" t="s">
        <v>6074</v>
      </c>
      <c r="L1558" t="s">
        <v>6074</v>
      </c>
      <c r="N1558" t="s">
        <v>7276</v>
      </c>
      <c r="O1558" t="s">
        <v>7306</v>
      </c>
      <c r="P1558" t="s">
        <v>7314</v>
      </c>
      <c r="Q1558" t="s">
        <v>7322</v>
      </c>
      <c r="R1558" t="s">
        <v>6076</v>
      </c>
      <c r="S1558" t="s">
        <v>7324</v>
      </c>
      <c r="T1558" t="s">
        <v>7336</v>
      </c>
      <c r="U1558" t="s">
        <v>299</v>
      </c>
      <c r="V1558">
        <v>861.77</v>
      </c>
      <c r="W1558" t="s">
        <v>7365</v>
      </c>
      <c r="X1558" t="s">
        <v>7367</v>
      </c>
      <c r="Y1558" t="s">
        <v>7386</v>
      </c>
      <c r="Z1558" t="s">
        <v>8610</v>
      </c>
      <c r="AB1558" t="s">
        <v>11345</v>
      </c>
      <c r="AC1558">
        <v>48</v>
      </c>
      <c r="AD1558" t="s">
        <v>12422</v>
      </c>
      <c r="AE1558" t="s">
        <v>12441</v>
      </c>
      <c r="AF1558">
        <v>10</v>
      </c>
      <c r="AG1558">
        <v>2</v>
      </c>
      <c r="AH1558">
        <v>0</v>
      </c>
      <c r="AI1558">
        <v>92</v>
      </c>
      <c r="AL1558" t="s">
        <v>12461</v>
      </c>
      <c r="AM1558">
        <v>15144</v>
      </c>
      <c r="AS1558">
        <v>1.1</v>
      </c>
      <c r="AT1558" t="s">
        <v>350</v>
      </c>
      <c r="AU1558" t="s">
        <v>13106</v>
      </c>
    </row>
    <row r="1559" spans="1:48">
      <c r="A1559" s="1">
        <f>HYPERLINK("https://cms.ls-nyc.org/matter/dynamic-profile/view/1881892","18-1881892")</f>
        <v>0</v>
      </c>
      <c r="B1559" t="s">
        <v>77</v>
      </c>
      <c r="C1559" t="s">
        <v>258</v>
      </c>
      <c r="E1559" t="s">
        <v>1419</v>
      </c>
      <c r="F1559" t="s">
        <v>2896</v>
      </c>
      <c r="G1559" t="s">
        <v>4606</v>
      </c>
      <c r="H1559" t="s">
        <v>5382</v>
      </c>
      <c r="I1559" t="s">
        <v>6043</v>
      </c>
      <c r="J1559">
        <v>11208</v>
      </c>
      <c r="K1559" t="s">
        <v>6074</v>
      </c>
      <c r="L1559" t="s">
        <v>6074</v>
      </c>
      <c r="M1559" t="s">
        <v>6744</v>
      </c>
      <c r="N1559" t="s">
        <v>7276</v>
      </c>
      <c r="O1559" t="s">
        <v>7308</v>
      </c>
      <c r="Q1559" t="s">
        <v>7322</v>
      </c>
      <c r="R1559" t="s">
        <v>6076</v>
      </c>
      <c r="S1559" t="s">
        <v>7324</v>
      </c>
      <c r="T1559" t="s">
        <v>7336</v>
      </c>
      <c r="U1559" t="s">
        <v>258</v>
      </c>
      <c r="V1559">
        <v>1425</v>
      </c>
      <c r="W1559" t="s">
        <v>7362</v>
      </c>
      <c r="X1559" t="s">
        <v>7368</v>
      </c>
      <c r="Z1559" t="s">
        <v>8611</v>
      </c>
      <c r="AA1559" t="s">
        <v>10177</v>
      </c>
      <c r="AB1559" t="s">
        <v>11346</v>
      </c>
      <c r="AC1559">
        <v>12</v>
      </c>
      <c r="AD1559" t="s">
        <v>12422</v>
      </c>
      <c r="AE1559" t="s">
        <v>7305</v>
      </c>
      <c r="AF1559">
        <v>1</v>
      </c>
      <c r="AG1559">
        <v>1</v>
      </c>
      <c r="AH1559">
        <v>1</v>
      </c>
      <c r="AI1559">
        <v>92.09</v>
      </c>
      <c r="AL1559" t="s">
        <v>12461</v>
      </c>
      <c r="AM1559">
        <v>15158</v>
      </c>
      <c r="AS1559">
        <v>43</v>
      </c>
      <c r="AT1559" t="s">
        <v>460</v>
      </c>
      <c r="AU1559" t="s">
        <v>218</v>
      </c>
    </row>
    <row r="1560" spans="1:48">
      <c r="A1560" s="1">
        <f>HYPERLINK("https://cms.ls-nyc.org/matter/dynamic-profile/view/1884534","18-1884534")</f>
        <v>0</v>
      </c>
      <c r="B1560" t="s">
        <v>167</v>
      </c>
      <c r="C1560" t="s">
        <v>504</v>
      </c>
      <c r="D1560" t="s">
        <v>420</v>
      </c>
      <c r="E1560" t="s">
        <v>1420</v>
      </c>
      <c r="F1560" t="s">
        <v>2204</v>
      </c>
      <c r="G1560" t="s">
        <v>4607</v>
      </c>
      <c r="H1560" t="s">
        <v>5447</v>
      </c>
      <c r="I1560" t="s">
        <v>6047</v>
      </c>
      <c r="J1560">
        <v>10468</v>
      </c>
      <c r="K1560" t="s">
        <v>6074</v>
      </c>
      <c r="L1560" t="s">
        <v>6074</v>
      </c>
      <c r="N1560" t="s">
        <v>7282</v>
      </c>
      <c r="O1560" t="s">
        <v>7307</v>
      </c>
      <c r="P1560" t="s">
        <v>7314</v>
      </c>
      <c r="Q1560" t="s">
        <v>7322</v>
      </c>
      <c r="R1560" t="s">
        <v>6074</v>
      </c>
      <c r="S1560" t="s">
        <v>7324</v>
      </c>
      <c r="U1560" t="s">
        <v>435</v>
      </c>
      <c r="V1560">
        <v>532</v>
      </c>
      <c r="W1560" t="s">
        <v>7363</v>
      </c>
      <c r="X1560" t="s">
        <v>7366</v>
      </c>
      <c r="Y1560" t="s">
        <v>7386</v>
      </c>
      <c r="Z1560" t="s">
        <v>8612</v>
      </c>
      <c r="AA1560" t="s">
        <v>10178</v>
      </c>
      <c r="AB1560" t="s">
        <v>11347</v>
      </c>
      <c r="AC1560">
        <v>45</v>
      </c>
      <c r="AD1560" t="s">
        <v>12422</v>
      </c>
      <c r="AE1560" t="s">
        <v>12434</v>
      </c>
      <c r="AF1560">
        <v>10</v>
      </c>
      <c r="AG1560">
        <v>1</v>
      </c>
      <c r="AH1560">
        <v>2</v>
      </c>
      <c r="AI1560">
        <v>92.23999999999999</v>
      </c>
      <c r="AL1560" t="s">
        <v>12460</v>
      </c>
      <c r="AM1560">
        <v>19168</v>
      </c>
      <c r="AN1560" t="s">
        <v>12630</v>
      </c>
      <c r="AS1560">
        <v>1</v>
      </c>
      <c r="AT1560" t="s">
        <v>435</v>
      </c>
      <c r="AU1560" t="s">
        <v>13116</v>
      </c>
    </row>
    <row r="1561" spans="1:48">
      <c r="A1561" s="1">
        <f>HYPERLINK("https://cms.ls-nyc.org/matter/dynamic-profile/view/1899978","19-1899978")</f>
        <v>0</v>
      </c>
      <c r="B1561" t="s">
        <v>77</v>
      </c>
      <c r="C1561" t="s">
        <v>265</v>
      </c>
      <c r="E1561" t="s">
        <v>1421</v>
      </c>
      <c r="F1561" t="s">
        <v>2382</v>
      </c>
      <c r="G1561" t="s">
        <v>4608</v>
      </c>
      <c r="H1561" t="s">
        <v>5373</v>
      </c>
      <c r="I1561" t="s">
        <v>6043</v>
      </c>
      <c r="J1561">
        <v>11233</v>
      </c>
      <c r="K1561" t="s">
        <v>6075</v>
      </c>
      <c r="L1561" t="s">
        <v>6075</v>
      </c>
      <c r="Q1561" t="s">
        <v>7322</v>
      </c>
      <c r="S1561" t="s">
        <v>7324</v>
      </c>
      <c r="U1561" t="s">
        <v>265</v>
      </c>
      <c r="V1561">
        <v>0</v>
      </c>
      <c r="W1561" t="s">
        <v>7362</v>
      </c>
      <c r="Z1561" t="s">
        <v>8613</v>
      </c>
      <c r="AB1561" t="s">
        <v>11348</v>
      </c>
      <c r="AC1561">
        <v>0</v>
      </c>
      <c r="AF1561">
        <v>0</v>
      </c>
      <c r="AG1561">
        <v>1</v>
      </c>
      <c r="AH1561">
        <v>1</v>
      </c>
      <c r="AI1561">
        <v>92.25</v>
      </c>
      <c r="AL1561" t="s">
        <v>12460</v>
      </c>
      <c r="AM1561">
        <v>15600</v>
      </c>
      <c r="AS1561">
        <v>12.35</v>
      </c>
      <c r="AT1561" t="s">
        <v>324</v>
      </c>
      <c r="AU1561" t="s">
        <v>69</v>
      </c>
    </row>
    <row r="1562" spans="1:48">
      <c r="A1562" s="1">
        <f>HYPERLINK("https://cms.ls-nyc.org/matter/dynamic-profile/view/1898553","19-1898553")</f>
        <v>0</v>
      </c>
      <c r="B1562" t="s">
        <v>167</v>
      </c>
      <c r="C1562" t="s">
        <v>505</v>
      </c>
      <c r="E1562" t="s">
        <v>1422</v>
      </c>
      <c r="F1562" t="s">
        <v>2897</v>
      </c>
      <c r="G1562" t="s">
        <v>4609</v>
      </c>
      <c r="H1562" t="s">
        <v>5471</v>
      </c>
      <c r="I1562" t="s">
        <v>6047</v>
      </c>
      <c r="J1562">
        <v>10468</v>
      </c>
      <c r="K1562" t="s">
        <v>6074</v>
      </c>
      <c r="L1562" t="s">
        <v>6074</v>
      </c>
      <c r="N1562" t="s">
        <v>7288</v>
      </c>
      <c r="O1562" t="s">
        <v>7309</v>
      </c>
      <c r="Q1562" t="s">
        <v>7322</v>
      </c>
      <c r="S1562" t="s">
        <v>7331</v>
      </c>
      <c r="U1562" t="s">
        <v>505</v>
      </c>
      <c r="V1562">
        <v>832</v>
      </c>
      <c r="W1562" t="s">
        <v>7363</v>
      </c>
      <c r="X1562" t="s">
        <v>7366</v>
      </c>
      <c r="Z1562" t="s">
        <v>8614</v>
      </c>
      <c r="AA1562" t="s">
        <v>10179</v>
      </c>
      <c r="AB1562" t="s">
        <v>11349</v>
      </c>
      <c r="AC1562">
        <v>74</v>
      </c>
      <c r="AD1562" t="s">
        <v>12424</v>
      </c>
      <c r="AF1562">
        <v>20</v>
      </c>
      <c r="AG1562">
        <v>2</v>
      </c>
      <c r="AH1562">
        <v>0</v>
      </c>
      <c r="AI1562">
        <v>92.25</v>
      </c>
      <c r="AL1562" t="s">
        <v>12460</v>
      </c>
      <c r="AM1562">
        <v>15600</v>
      </c>
      <c r="AS1562">
        <v>1.5</v>
      </c>
      <c r="AT1562" t="s">
        <v>316</v>
      </c>
      <c r="AU1562" t="s">
        <v>13116</v>
      </c>
      <c r="AV1562" t="s">
        <v>13145</v>
      </c>
    </row>
    <row r="1563" spans="1:48">
      <c r="A1563" s="1">
        <f>HYPERLINK("https://cms.ls-nyc.org/matter/dynamic-profile/view/1891535","19-1891535")</f>
        <v>0</v>
      </c>
      <c r="B1563" t="s">
        <v>126</v>
      </c>
      <c r="C1563" t="s">
        <v>278</v>
      </c>
      <c r="E1563" t="s">
        <v>1423</v>
      </c>
      <c r="F1563" t="s">
        <v>2241</v>
      </c>
      <c r="G1563" t="s">
        <v>4610</v>
      </c>
      <c r="H1563" t="s">
        <v>5364</v>
      </c>
      <c r="I1563" t="s">
        <v>6049</v>
      </c>
      <c r="J1563">
        <v>10035</v>
      </c>
      <c r="K1563" t="s">
        <v>6074</v>
      </c>
      <c r="L1563" t="s">
        <v>6074</v>
      </c>
      <c r="N1563" t="s">
        <v>6104</v>
      </c>
      <c r="O1563" t="s">
        <v>7310</v>
      </c>
      <c r="Q1563" t="s">
        <v>7322</v>
      </c>
      <c r="R1563" t="s">
        <v>6074</v>
      </c>
      <c r="S1563" t="s">
        <v>7324</v>
      </c>
      <c r="T1563" t="s">
        <v>7336</v>
      </c>
      <c r="U1563" t="s">
        <v>359</v>
      </c>
      <c r="V1563">
        <v>1530</v>
      </c>
      <c r="W1563" t="s">
        <v>7365</v>
      </c>
      <c r="X1563" t="s">
        <v>7383</v>
      </c>
      <c r="Z1563" t="s">
        <v>8615</v>
      </c>
      <c r="AB1563" t="s">
        <v>11350</v>
      </c>
      <c r="AC1563">
        <v>30</v>
      </c>
      <c r="AD1563" t="s">
        <v>12422</v>
      </c>
      <c r="AE1563" t="s">
        <v>6110</v>
      </c>
      <c r="AF1563">
        <v>3</v>
      </c>
      <c r="AG1563">
        <v>1</v>
      </c>
      <c r="AH1563">
        <v>1</v>
      </c>
      <c r="AI1563">
        <v>92.25</v>
      </c>
      <c r="AL1563" t="s">
        <v>12460</v>
      </c>
      <c r="AM1563">
        <v>15600</v>
      </c>
      <c r="AS1563">
        <v>38.52</v>
      </c>
      <c r="AT1563" t="s">
        <v>496</v>
      </c>
      <c r="AU1563" t="s">
        <v>13081</v>
      </c>
    </row>
    <row r="1564" spans="1:48">
      <c r="A1564" s="1">
        <f>HYPERLINK("https://cms.ls-nyc.org/matter/dynamic-profile/view/1885539","18-1885539")</f>
        <v>0</v>
      </c>
      <c r="B1564" t="s">
        <v>102</v>
      </c>
      <c r="C1564" t="s">
        <v>320</v>
      </c>
      <c r="E1564" t="s">
        <v>1424</v>
      </c>
      <c r="F1564" t="s">
        <v>2898</v>
      </c>
      <c r="G1564" t="s">
        <v>3779</v>
      </c>
      <c r="H1564" t="s">
        <v>5738</v>
      </c>
      <c r="I1564" t="s">
        <v>6047</v>
      </c>
      <c r="J1564">
        <v>10460</v>
      </c>
      <c r="K1564" t="s">
        <v>6074</v>
      </c>
      <c r="L1564" t="s">
        <v>6074</v>
      </c>
      <c r="M1564" t="s">
        <v>6182</v>
      </c>
      <c r="N1564" t="s">
        <v>7273</v>
      </c>
      <c r="O1564" t="s">
        <v>7308</v>
      </c>
      <c r="Q1564" t="s">
        <v>7322</v>
      </c>
      <c r="R1564" t="s">
        <v>6074</v>
      </c>
      <c r="S1564" t="s">
        <v>7324</v>
      </c>
      <c r="U1564" t="s">
        <v>457</v>
      </c>
      <c r="V1564">
        <v>262</v>
      </c>
      <c r="W1564" t="s">
        <v>7363</v>
      </c>
      <c r="X1564" t="s">
        <v>7376</v>
      </c>
      <c r="Z1564" t="s">
        <v>8616</v>
      </c>
      <c r="AB1564" t="s">
        <v>11351</v>
      </c>
      <c r="AC1564">
        <v>169</v>
      </c>
      <c r="AD1564" t="s">
        <v>12421</v>
      </c>
      <c r="AE1564" t="s">
        <v>12434</v>
      </c>
      <c r="AF1564">
        <v>27</v>
      </c>
      <c r="AG1564">
        <v>1</v>
      </c>
      <c r="AH1564">
        <v>0</v>
      </c>
      <c r="AI1564">
        <v>92.26000000000001</v>
      </c>
      <c r="AL1564" t="s">
        <v>12460</v>
      </c>
      <c r="AM1564">
        <v>11200</v>
      </c>
      <c r="AS1564">
        <v>0</v>
      </c>
      <c r="AU1564" t="s">
        <v>13113</v>
      </c>
    </row>
    <row r="1565" spans="1:48">
      <c r="A1565" s="1">
        <f>HYPERLINK("https://cms.ls-nyc.org/matter/dynamic-profile/view/1884518","18-1884518")</f>
        <v>0</v>
      </c>
      <c r="B1565" t="s">
        <v>83</v>
      </c>
      <c r="C1565" t="s">
        <v>435</v>
      </c>
      <c r="E1565" t="s">
        <v>966</v>
      </c>
      <c r="F1565" t="s">
        <v>2485</v>
      </c>
      <c r="G1565" t="s">
        <v>4135</v>
      </c>
      <c r="I1565" t="s">
        <v>6043</v>
      </c>
      <c r="J1565">
        <v>11217</v>
      </c>
      <c r="K1565" t="s">
        <v>6074</v>
      </c>
      <c r="L1565" t="s">
        <v>6076</v>
      </c>
      <c r="M1565" t="s">
        <v>6745</v>
      </c>
      <c r="N1565" t="s">
        <v>7276</v>
      </c>
      <c r="O1565" t="s">
        <v>7308</v>
      </c>
      <c r="Q1565" t="s">
        <v>7322</v>
      </c>
      <c r="R1565" t="s">
        <v>6076</v>
      </c>
      <c r="S1565" t="s">
        <v>7324</v>
      </c>
      <c r="T1565" t="s">
        <v>7336</v>
      </c>
      <c r="U1565" t="s">
        <v>435</v>
      </c>
      <c r="V1565">
        <v>1104</v>
      </c>
      <c r="W1565" t="s">
        <v>7362</v>
      </c>
      <c r="X1565" t="s">
        <v>7305</v>
      </c>
      <c r="Z1565" t="s">
        <v>7959</v>
      </c>
      <c r="AB1565" t="s">
        <v>10763</v>
      </c>
      <c r="AC1565">
        <v>303</v>
      </c>
      <c r="AD1565" t="s">
        <v>12422</v>
      </c>
      <c r="AE1565" t="s">
        <v>6110</v>
      </c>
      <c r="AF1565">
        <v>1</v>
      </c>
      <c r="AG1565">
        <v>2</v>
      </c>
      <c r="AH1565">
        <v>1</v>
      </c>
      <c r="AI1565">
        <v>92.70999999999999</v>
      </c>
      <c r="AL1565" t="s">
        <v>12460</v>
      </c>
      <c r="AM1565">
        <v>19266</v>
      </c>
      <c r="AP1565" t="s">
        <v>12868</v>
      </c>
      <c r="AQ1565" t="s">
        <v>12909</v>
      </c>
      <c r="AR1565" t="s">
        <v>13014</v>
      </c>
      <c r="AS1565">
        <v>17.2</v>
      </c>
      <c r="AT1565" t="s">
        <v>338</v>
      </c>
      <c r="AU1565" t="s">
        <v>88</v>
      </c>
    </row>
    <row r="1566" spans="1:48">
      <c r="A1566" s="1">
        <f>HYPERLINK("https://cms.ls-nyc.org/matter/dynamic-profile/view/1899153","19-1899153")</f>
        <v>0</v>
      </c>
      <c r="B1566" t="s">
        <v>109</v>
      </c>
      <c r="C1566" t="s">
        <v>254</v>
      </c>
      <c r="E1566" t="s">
        <v>1425</v>
      </c>
      <c r="F1566" t="s">
        <v>2899</v>
      </c>
      <c r="G1566" t="s">
        <v>3927</v>
      </c>
      <c r="H1566" t="s">
        <v>5418</v>
      </c>
      <c r="I1566" t="s">
        <v>6047</v>
      </c>
      <c r="J1566">
        <v>10452</v>
      </c>
      <c r="K1566" t="s">
        <v>6074</v>
      </c>
      <c r="L1566" t="s">
        <v>6075</v>
      </c>
      <c r="N1566" t="s">
        <v>7279</v>
      </c>
      <c r="O1566" t="s">
        <v>7307</v>
      </c>
      <c r="Q1566" t="s">
        <v>7322</v>
      </c>
      <c r="R1566" t="s">
        <v>6074</v>
      </c>
      <c r="S1566" t="s">
        <v>7324</v>
      </c>
      <c r="U1566" t="s">
        <v>257</v>
      </c>
      <c r="V1566">
        <v>1024.89</v>
      </c>
      <c r="W1566" t="s">
        <v>7363</v>
      </c>
      <c r="X1566" t="s">
        <v>7376</v>
      </c>
      <c r="Z1566" t="s">
        <v>8617</v>
      </c>
      <c r="AC1566">
        <v>41</v>
      </c>
      <c r="AD1566" t="s">
        <v>12422</v>
      </c>
      <c r="AE1566" t="s">
        <v>7305</v>
      </c>
      <c r="AF1566">
        <v>12</v>
      </c>
      <c r="AG1566">
        <v>1</v>
      </c>
      <c r="AH1566">
        <v>0</v>
      </c>
      <c r="AI1566">
        <v>92.91</v>
      </c>
      <c r="AL1566" t="s">
        <v>12461</v>
      </c>
      <c r="AM1566">
        <v>11604</v>
      </c>
      <c r="AS1566">
        <v>0</v>
      </c>
      <c r="AU1566" t="s">
        <v>13092</v>
      </c>
      <c r="AV1566" t="s">
        <v>13145</v>
      </c>
    </row>
    <row r="1567" spans="1:48">
      <c r="A1567" s="1">
        <f>HYPERLINK("https://cms.ls-nyc.org/matter/dynamic-profile/view/1880842","18-1880842")</f>
        <v>0</v>
      </c>
      <c r="B1567" t="s">
        <v>126</v>
      </c>
      <c r="C1567" t="s">
        <v>333</v>
      </c>
      <c r="D1567" t="s">
        <v>297</v>
      </c>
      <c r="E1567" t="s">
        <v>777</v>
      </c>
      <c r="F1567" t="s">
        <v>2900</v>
      </c>
      <c r="G1567" t="s">
        <v>3859</v>
      </c>
      <c r="H1567" t="s">
        <v>5372</v>
      </c>
      <c r="I1567" t="s">
        <v>6049</v>
      </c>
      <c r="J1567">
        <v>10029</v>
      </c>
      <c r="K1567" t="s">
        <v>6074</v>
      </c>
      <c r="L1567" t="s">
        <v>6074</v>
      </c>
      <c r="M1567" t="s">
        <v>6228</v>
      </c>
      <c r="N1567" t="s">
        <v>7276</v>
      </c>
      <c r="O1567" t="s">
        <v>7306</v>
      </c>
      <c r="P1567" t="s">
        <v>7314</v>
      </c>
      <c r="Q1567" t="s">
        <v>7322</v>
      </c>
      <c r="R1567" t="s">
        <v>6076</v>
      </c>
      <c r="S1567" t="s">
        <v>7324</v>
      </c>
      <c r="T1567" t="s">
        <v>7336</v>
      </c>
      <c r="U1567" t="s">
        <v>333</v>
      </c>
      <c r="V1567">
        <v>1306.7</v>
      </c>
      <c r="W1567" t="s">
        <v>7365</v>
      </c>
      <c r="X1567" t="s">
        <v>7367</v>
      </c>
      <c r="Y1567" t="s">
        <v>7386</v>
      </c>
      <c r="Z1567" t="s">
        <v>7634</v>
      </c>
      <c r="AB1567" t="s">
        <v>10466</v>
      </c>
      <c r="AC1567">
        <v>15</v>
      </c>
      <c r="AD1567" t="s">
        <v>12422</v>
      </c>
      <c r="AE1567" t="s">
        <v>6110</v>
      </c>
      <c r="AF1567">
        <v>5</v>
      </c>
      <c r="AG1567">
        <v>1</v>
      </c>
      <c r="AH1567">
        <v>0</v>
      </c>
      <c r="AI1567">
        <v>93.11</v>
      </c>
      <c r="AL1567" t="s">
        <v>12460</v>
      </c>
      <c r="AM1567">
        <v>11304</v>
      </c>
      <c r="AS1567">
        <v>1.25</v>
      </c>
      <c r="AT1567" t="s">
        <v>414</v>
      </c>
      <c r="AU1567" t="s">
        <v>13107</v>
      </c>
    </row>
    <row r="1568" spans="1:48">
      <c r="A1568" s="1">
        <f>HYPERLINK("https://cms.ls-nyc.org/matter/dynamic-profile/view/1876957","18-1876957")</f>
        <v>0</v>
      </c>
      <c r="B1568" t="s">
        <v>103</v>
      </c>
      <c r="C1568" t="s">
        <v>290</v>
      </c>
      <c r="E1568" t="s">
        <v>1165</v>
      </c>
      <c r="F1568" t="s">
        <v>2363</v>
      </c>
      <c r="G1568" t="s">
        <v>4611</v>
      </c>
      <c r="H1568" t="s">
        <v>5455</v>
      </c>
      <c r="I1568" t="s">
        <v>6047</v>
      </c>
      <c r="J1568">
        <v>10459</v>
      </c>
      <c r="K1568" t="s">
        <v>6074</v>
      </c>
      <c r="L1568" t="s">
        <v>6074</v>
      </c>
      <c r="M1568" t="s">
        <v>6746</v>
      </c>
      <c r="N1568" t="s">
        <v>7276</v>
      </c>
      <c r="O1568" t="s">
        <v>7308</v>
      </c>
      <c r="Q1568" t="s">
        <v>7322</v>
      </c>
      <c r="R1568" t="s">
        <v>6076</v>
      </c>
      <c r="S1568" t="s">
        <v>7324</v>
      </c>
      <c r="U1568" t="s">
        <v>464</v>
      </c>
      <c r="V1568">
        <v>890</v>
      </c>
      <c r="W1568" t="s">
        <v>7363</v>
      </c>
      <c r="X1568" t="s">
        <v>7373</v>
      </c>
      <c r="Z1568" t="s">
        <v>8618</v>
      </c>
      <c r="AB1568" t="s">
        <v>11352</v>
      </c>
      <c r="AC1568">
        <v>56</v>
      </c>
      <c r="AD1568" t="s">
        <v>12422</v>
      </c>
      <c r="AE1568" t="s">
        <v>12433</v>
      </c>
      <c r="AF1568">
        <v>1</v>
      </c>
      <c r="AG1568">
        <v>2</v>
      </c>
      <c r="AH1568">
        <v>2</v>
      </c>
      <c r="AI1568">
        <v>93.23</v>
      </c>
      <c r="AL1568" t="s">
        <v>12460</v>
      </c>
      <c r="AM1568">
        <v>23400</v>
      </c>
      <c r="AS1568">
        <v>13.3</v>
      </c>
      <c r="AT1568" t="s">
        <v>270</v>
      </c>
      <c r="AU1568" t="s">
        <v>13095</v>
      </c>
    </row>
    <row r="1569" spans="1:48">
      <c r="A1569" s="1">
        <f>HYPERLINK("https://cms.ls-nyc.org/matter/dynamic-profile/view/1886692","18-1886692")</f>
        <v>0</v>
      </c>
      <c r="B1569" t="s">
        <v>175</v>
      </c>
      <c r="C1569" t="s">
        <v>465</v>
      </c>
      <c r="D1569" t="s">
        <v>465</v>
      </c>
      <c r="E1569" t="s">
        <v>1426</v>
      </c>
      <c r="F1569" t="s">
        <v>2901</v>
      </c>
      <c r="G1569" t="s">
        <v>4612</v>
      </c>
      <c r="H1569" t="s">
        <v>5418</v>
      </c>
      <c r="I1569" t="s">
        <v>6049</v>
      </c>
      <c r="J1569">
        <v>10025</v>
      </c>
      <c r="K1569" t="s">
        <v>6074</v>
      </c>
      <c r="L1569" t="s">
        <v>6074</v>
      </c>
      <c r="N1569" t="s">
        <v>6104</v>
      </c>
      <c r="O1569" t="s">
        <v>7306</v>
      </c>
      <c r="P1569" t="s">
        <v>7314</v>
      </c>
      <c r="Q1569" t="s">
        <v>7322</v>
      </c>
      <c r="R1569" t="s">
        <v>6076</v>
      </c>
      <c r="S1569" t="s">
        <v>7324</v>
      </c>
      <c r="U1569" t="s">
        <v>465</v>
      </c>
      <c r="V1569">
        <v>2700</v>
      </c>
      <c r="W1569" t="s">
        <v>7365</v>
      </c>
      <c r="X1569" t="s">
        <v>7369</v>
      </c>
      <c r="Y1569" t="s">
        <v>7386</v>
      </c>
      <c r="Z1569" t="s">
        <v>8619</v>
      </c>
      <c r="AB1569" t="s">
        <v>11353</v>
      </c>
      <c r="AC1569">
        <v>0</v>
      </c>
      <c r="AD1569" t="s">
        <v>12422</v>
      </c>
      <c r="AE1569" t="s">
        <v>6110</v>
      </c>
      <c r="AF1569">
        <v>1</v>
      </c>
      <c r="AG1569">
        <v>2</v>
      </c>
      <c r="AH1569">
        <v>2</v>
      </c>
      <c r="AI1569">
        <v>93.23</v>
      </c>
      <c r="AL1569" t="s">
        <v>12460</v>
      </c>
      <c r="AM1569">
        <v>23400</v>
      </c>
      <c r="AS1569">
        <v>0.87</v>
      </c>
      <c r="AT1569" t="s">
        <v>359</v>
      </c>
      <c r="AU1569" t="s">
        <v>13106</v>
      </c>
    </row>
    <row r="1570" spans="1:48">
      <c r="A1570" s="1">
        <f>HYPERLINK("https://cms.ls-nyc.org/matter/dynamic-profile/view/1874063","18-1874063")</f>
        <v>0</v>
      </c>
      <c r="B1570" t="s">
        <v>126</v>
      </c>
      <c r="C1570" t="s">
        <v>437</v>
      </c>
      <c r="E1570" t="s">
        <v>1085</v>
      </c>
      <c r="F1570" t="s">
        <v>2052</v>
      </c>
      <c r="G1570" t="s">
        <v>4613</v>
      </c>
      <c r="H1570" t="s">
        <v>5411</v>
      </c>
      <c r="I1570" t="s">
        <v>6049</v>
      </c>
      <c r="J1570">
        <v>10035</v>
      </c>
      <c r="K1570" t="s">
        <v>6074</v>
      </c>
      <c r="L1570" t="s">
        <v>6074</v>
      </c>
      <c r="N1570" t="s">
        <v>7275</v>
      </c>
      <c r="O1570" t="s">
        <v>7310</v>
      </c>
      <c r="Q1570" t="s">
        <v>7322</v>
      </c>
      <c r="R1570" t="s">
        <v>6076</v>
      </c>
      <c r="S1570" t="s">
        <v>7324</v>
      </c>
      <c r="U1570" t="s">
        <v>438</v>
      </c>
      <c r="V1570">
        <v>1323.55</v>
      </c>
      <c r="W1570" t="s">
        <v>7365</v>
      </c>
      <c r="X1570" t="s">
        <v>7381</v>
      </c>
      <c r="Z1570" t="s">
        <v>8620</v>
      </c>
      <c r="AB1570" t="s">
        <v>11354</v>
      </c>
      <c r="AC1570">
        <v>10</v>
      </c>
      <c r="AD1570" t="s">
        <v>12422</v>
      </c>
      <c r="AE1570" t="s">
        <v>12441</v>
      </c>
      <c r="AF1570">
        <v>32</v>
      </c>
      <c r="AG1570">
        <v>1</v>
      </c>
      <c r="AH1570">
        <v>0</v>
      </c>
      <c r="AI1570">
        <v>93.31</v>
      </c>
      <c r="AL1570" t="s">
        <v>12461</v>
      </c>
      <c r="AM1570">
        <v>11328</v>
      </c>
      <c r="AN1570" t="s">
        <v>12631</v>
      </c>
      <c r="AS1570">
        <v>11.05</v>
      </c>
      <c r="AT1570" t="s">
        <v>254</v>
      </c>
      <c r="AU1570" t="s">
        <v>13079</v>
      </c>
    </row>
    <row r="1571" spans="1:48">
      <c r="A1571" s="1">
        <f>HYPERLINK("https://cms.ls-nyc.org/matter/dynamic-profile/view/1873500","18-1873500")</f>
        <v>0</v>
      </c>
      <c r="B1571" t="s">
        <v>146</v>
      </c>
      <c r="C1571" t="s">
        <v>447</v>
      </c>
      <c r="D1571" t="s">
        <v>237</v>
      </c>
      <c r="E1571" t="s">
        <v>1427</v>
      </c>
      <c r="F1571" t="s">
        <v>2902</v>
      </c>
      <c r="G1571" t="s">
        <v>4614</v>
      </c>
      <c r="H1571" t="s">
        <v>5739</v>
      </c>
      <c r="I1571" t="s">
        <v>6049</v>
      </c>
      <c r="J1571">
        <v>10031</v>
      </c>
      <c r="K1571" t="s">
        <v>6074</v>
      </c>
      <c r="L1571" t="s">
        <v>6074</v>
      </c>
      <c r="M1571" t="s">
        <v>6747</v>
      </c>
      <c r="N1571" t="s">
        <v>7276</v>
      </c>
      <c r="O1571" t="s">
        <v>7306</v>
      </c>
      <c r="P1571" t="s">
        <v>7314</v>
      </c>
      <c r="Q1571" t="s">
        <v>7322</v>
      </c>
      <c r="R1571" t="s">
        <v>6076</v>
      </c>
      <c r="S1571" t="s">
        <v>7324</v>
      </c>
      <c r="U1571" t="s">
        <v>231</v>
      </c>
      <c r="V1571">
        <v>1279.77</v>
      </c>
      <c r="W1571" t="s">
        <v>7365</v>
      </c>
      <c r="X1571" t="s">
        <v>7368</v>
      </c>
      <c r="Y1571" t="s">
        <v>7386</v>
      </c>
      <c r="Z1571" t="s">
        <v>8621</v>
      </c>
      <c r="AB1571" t="s">
        <v>11355</v>
      </c>
      <c r="AC1571">
        <v>74</v>
      </c>
      <c r="AD1571" t="s">
        <v>12425</v>
      </c>
      <c r="AE1571" t="s">
        <v>12441</v>
      </c>
      <c r="AF1571">
        <v>40</v>
      </c>
      <c r="AG1571">
        <v>1</v>
      </c>
      <c r="AH1571">
        <v>2</v>
      </c>
      <c r="AI1571">
        <v>93.31999999999999</v>
      </c>
      <c r="AL1571" t="s">
        <v>12460</v>
      </c>
      <c r="AM1571">
        <v>19392</v>
      </c>
      <c r="AS1571">
        <v>0.8</v>
      </c>
      <c r="AT1571" t="s">
        <v>237</v>
      </c>
      <c r="AU1571" t="s">
        <v>13111</v>
      </c>
    </row>
    <row r="1572" spans="1:48">
      <c r="A1572" s="1">
        <f>HYPERLINK("https://cms.ls-nyc.org/matter/dynamic-profile/view/1898442","19-1898442")</f>
        <v>0</v>
      </c>
      <c r="B1572" t="s">
        <v>129</v>
      </c>
      <c r="C1572" t="s">
        <v>257</v>
      </c>
      <c r="E1572" t="s">
        <v>716</v>
      </c>
      <c r="F1572" t="s">
        <v>2903</v>
      </c>
      <c r="G1572" t="s">
        <v>4615</v>
      </c>
      <c r="H1572" t="s">
        <v>5413</v>
      </c>
      <c r="I1572" t="s">
        <v>6049</v>
      </c>
      <c r="J1572">
        <v>10040</v>
      </c>
      <c r="K1572" t="s">
        <v>6074</v>
      </c>
      <c r="L1572" t="s">
        <v>6074</v>
      </c>
      <c r="O1572" t="s">
        <v>7306</v>
      </c>
      <c r="Q1572" t="s">
        <v>7322</v>
      </c>
      <c r="R1572" t="s">
        <v>6076</v>
      </c>
      <c r="S1572" t="s">
        <v>7324</v>
      </c>
      <c r="U1572" t="s">
        <v>257</v>
      </c>
      <c r="V1572">
        <v>1153.74</v>
      </c>
      <c r="W1572" t="s">
        <v>7365</v>
      </c>
      <c r="X1572" t="s">
        <v>7367</v>
      </c>
      <c r="Z1572" t="s">
        <v>8622</v>
      </c>
      <c r="AB1572" t="s">
        <v>11356</v>
      </c>
      <c r="AC1572">
        <v>112</v>
      </c>
      <c r="AD1572" t="s">
        <v>12422</v>
      </c>
      <c r="AE1572" t="s">
        <v>6110</v>
      </c>
      <c r="AF1572">
        <v>43</v>
      </c>
      <c r="AG1572">
        <v>1</v>
      </c>
      <c r="AH1572">
        <v>0</v>
      </c>
      <c r="AI1572">
        <v>93.48</v>
      </c>
      <c r="AL1572" t="s">
        <v>12460</v>
      </c>
      <c r="AM1572">
        <v>11676</v>
      </c>
      <c r="AS1572">
        <v>5</v>
      </c>
      <c r="AT1572" t="s">
        <v>445</v>
      </c>
      <c r="AU1572" t="s">
        <v>13106</v>
      </c>
    </row>
    <row r="1573" spans="1:48">
      <c r="A1573" s="1">
        <f>HYPERLINK("https://cms.ls-nyc.org/matter/dynamic-profile/view/1897584","19-1897584")</f>
        <v>0</v>
      </c>
      <c r="B1573" t="s">
        <v>126</v>
      </c>
      <c r="C1573" t="s">
        <v>424</v>
      </c>
      <c r="E1573" t="s">
        <v>1428</v>
      </c>
      <c r="F1573" t="s">
        <v>2732</v>
      </c>
      <c r="G1573" t="s">
        <v>4479</v>
      </c>
      <c r="H1573" t="s">
        <v>5447</v>
      </c>
      <c r="I1573" t="s">
        <v>6049</v>
      </c>
      <c r="J1573">
        <v>10035</v>
      </c>
      <c r="K1573" t="s">
        <v>6074</v>
      </c>
      <c r="L1573" t="s">
        <v>6074</v>
      </c>
      <c r="N1573" t="s">
        <v>6104</v>
      </c>
      <c r="O1573" t="s">
        <v>7307</v>
      </c>
      <c r="Q1573" t="s">
        <v>7322</v>
      </c>
      <c r="R1573" t="s">
        <v>6074</v>
      </c>
      <c r="S1573" t="s">
        <v>7324</v>
      </c>
      <c r="T1573" t="s">
        <v>7336</v>
      </c>
      <c r="U1573" t="s">
        <v>279</v>
      </c>
      <c r="V1573">
        <v>258</v>
      </c>
      <c r="W1573" t="s">
        <v>7365</v>
      </c>
      <c r="X1573" t="s">
        <v>7375</v>
      </c>
      <c r="Z1573" t="s">
        <v>8623</v>
      </c>
      <c r="AC1573">
        <v>60</v>
      </c>
      <c r="AD1573" t="s">
        <v>12422</v>
      </c>
      <c r="AE1573" t="s">
        <v>12442</v>
      </c>
      <c r="AF1573">
        <v>14</v>
      </c>
      <c r="AG1573">
        <v>1</v>
      </c>
      <c r="AH1573">
        <v>0</v>
      </c>
      <c r="AI1573">
        <v>93.67</v>
      </c>
      <c r="AL1573" t="s">
        <v>12460</v>
      </c>
      <c r="AM1573">
        <v>11700</v>
      </c>
      <c r="AS1573">
        <v>0</v>
      </c>
      <c r="AU1573" t="s">
        <v>13107</v>
      </c>
    </row>
    <row r="1574" spans="1:48">
      <c r="A1574" s="1">
        <f>HYPERLINK("https://cms.ls-nyc.org/matter/dynamic-profile/view/1900594","19-1900594")</f>
        <v>0</v>
      </c>
      <c r="B1574" t="s">
        <v>52</v>
      </c>
      <c r="C1574" t="s">
        <v>260</v>
      </c>
      <c r="E1574" t="s">
        <v>1429</v>
      </c>
      <c r="F1574" t="s">
        <v>2904</v>
      </c>
      <c r="G1574" t="s">
        <v>4616</v>
      </c>
      <c r="H1574" t="s">
        <v>5362</v>
      </c>
      <c r="I1574" t="s">
        <v>6038</v>
      </c>
      <c r="J1574">
        <v>11369</v>
      </c>
      <c r="K1574" t="s">
        <v>6074</v>
      </c>
      <c r="L1574" t="s">
        <v>6075</v>
      </c>
      <c r="M1574" t="s">
        <v>6748</v>
      </c>
      <c r="N1574" t="s">
        <v>7274</v>
      </c>
      <c r="O1574" t="s">
        <v>7308</v>
      </c>
      <c r="Q1574" t="s">
        <v>7322</v>
      </c>
      <c r="R1574" t="s">
        <v>6076</v>
      </c>
      <c r="S1574" t="s">
        <v>7324</v>
      </c>
      <c r="T1574" t="s">
        <v>7336</v>
      </c>
      <c r="U1574" t="s">
        <v>260</v>
      </c>
      <c r="V1574">
        <v>1600</v>
      </c>
      <c r="W1574" t="s">
        <v>7361</v>
      </c>
      <c r="X1574" t="s">
        <v>7366</v>
      </c>
      <c r="Z1574" t="s">
        <v>8624</v>
      </c>
      <c r="AB1574" t="s">
        <v>11357</v>
      </c>
      <c r="AC1574">
        <v>2</v>
      </c>
      <c r="AD1574" t="s">
        <v>6322</v>
      </c>
      <c r="AE1574" t="s">
        <v>6110</v>
      </c>
      <c r="AF1574">
        <v>22</v>
      </c>
      <c r="AG1574">
        <v>3</v>
      </c>
      <c r="AH1574">
        <v>0</v>
      </c>
      <c r="AI1574">
        <v>93.76000000000001</v>
      </c>
      <c r="AL1574" t="s">
        <v>12460</v>
      </c>
      <c r="AM1574">
        <v>20000</v>
      </c>
      <c r="AS1574">
        <v>1.5</v>
      </c>
      <c r="AT1574" t="s">
        <v>564</v>
      </c>
      <c r="AU1574" t="s">
        <v>189</v>
      </c>
      <c r="AV1574" t="s">
        <v>13145</v>
      </c>
    </row>
    <row r="1575" spans="1:48">
      <c r="A1575" s="1">
        <f>HYPERLINK("https://cms.ls-nyc.org/matter/dynamic-profile/view/1897843","19-1897843")</f>
        <v>0</v>
      </c>
      <c r="B1575" t="s">
        <v>72</v>
      </c>
      <c r="C1575" t="s">
        <v>375</v>
      </c>
      <c r="E1575" t="s">
        <v>1430</v>
      </c>
      <c r="F1575" t="s">
        <v>2762</v>
      </c>
      <c r="G1575" t="s">
        <v>3700</v>
      </c>
      <c r="H1575" t="s">
        <v>5740</v>
      </c>
      <c r="I1575" t="s">
        <v>6043</v>
      </c>
      <c r="J1575">
        <v>11233</v>
      </c>
      <c r="K1575" t="s">
        <v>6074</v>
      </c>
      <c r="L1575" t="s">
        <v>6076</v>
      </c>
      <c r="N1575" t="s">
        <v>7279</v>
      </c>
      <c r="O1575" t="s">
        <v>7311</v>
      </c>
      <c r="Q1575" t="s">
        <v>7322</v>
      </c>
      <c r="R1575" t="s">
        <v>6074</v>
      </c>
      <c r="S1575" t="s">
        <v>7324</v>
      </c>
      <c r="T1575" t="s">
        <v>7336</v>
      </c>
      <c r="U1575" t="s">
        <v>330</v>
      </c>
      <c r="V1575">
        <v>1300</v>
      </c>
      <c r="W1575" t="s">
        <v>7362</v>
      </c>
      <c r="X1575" t="s">
        <v>7305</v>
      </c>
      <c r="Z1575" t="s">
        <v>8625</v>
      </c>
      <c r="AC1575">
        <v>359</v>
      </c>
      <c r="AD1575" t="s">
        <v>12422</v>
      </c>
      <c r="AF1575">
        <v>3</v>
      </c>
      <c r="AG1575">
        <v>2</v>
      </c>
      <c r="AH1575">
        <v>1</v>
      </c>
      <c r="AI1575">
        <v>93.76000000000001</v>
      </c>
      <c r="AL1575" t="s">
        <v>12460</v>
      </c>
      <c r="AM1575">
        <v>20000</v>
      </c>
      <c r="AN1575" t="s">
        <v>12488</v>
      </c>
      <c r="AS1575">
        <v>0</v>
      </c>
      <c r="AU1575" t="s">
        <v>180</v>
      </c>
    </row>
    <row r="1576" spans="1:48">
      <c r="A1576" s="1">
        <f>HYPERLINK("https://cms.ls-nyc.org/matter/dynamic-profile/view/1897985","19-1897985")</f>
        <v>0</v>
      </c>
      <c r="B1576" t="s">
        <v>72</v>
      </c>
      <c r="C1576" t="s">
        <v>418</v>
      </c>
      <c r="E1576" t="s">
        <v>1430</v>
      </c>
      <c r="F1576" t="s">
        <v>2762</v>
      </c>
      <c r="G1576" t="s">
        <v>3700</v>
      </c>
      <c r="H1576" t="s">
        <v>5740</v>
      </c>
      <c r="I1576" t="s">
        <v>6043</v>
      </c>
      <c r="J1576">
        <v>11233</v>
      </c>
      <c r="K1576" t="s">
        <v>6074</v>
      </c>
      <c r="L1576" t="s">
        <v>6076</v>
      </c>
      <c r="N1576" t="s">
        <v>7275</v>
      </c>
      <c r="O1576" t="s">
        <v>7307</v>
      </c>
      <c r="Q1576" t="s">
        <v>7322</v>
      </c>
      <c r="R1576" t="s">
        <v>6074</v>
      </c>
      <c r="S1576" t="s">
        <v>7324</v>
      </c>
      <c r="T1576" t="s">
        <v>7336</v>
      </c>
      <c r="U1576" t="s">
        <v>287</v>
      </c>
      <c r="V1576">
        <v>1300</v>
      </c>
      <c r="W1576" t="s">
        <v>7362</v>
      </c>
      <c r="X1576" t="s">
        <v>7305</v>
      </c>
      <c r="Z1576" t="s">
        <v>8625</v>
      </c>
      <c r="AC1576">
        <v>359</v>
      </c>
      <c r="AD1576" t="s">
        <v>12422</v>
      </c>
      <c r="AF1576">
        <v>3</v>
      </c>
      <c r="AG1576">
        <v>2</v>
      </c>
      <c r="AH1576">
        <v>1</v>
      </c>
      <c r="AI1576">
        <v>93.76000000000001</v>
      </c>
      <c r="AL1576" t="s">
        <v>12460</v>
      </c>
      <c r="AM1576">
        <v>20000</v>
      </c>
      <c r="AN1576" t="s">
        <v>12632</v>
      </c>
      <c r="AS1576">
        <v>0</v>
      </c>
      <c r="AU1576" t="s">
        <v>180</v>
      </c>
    </row>
    <row r="1577" spans="1:48">
      <c r="A1577" s="1">
        <f>HYPERLINK("https://cms.ls-nyc.org/matter/dynamic-profile/view/1890460","19-1890460")</f>
        <v>0</v>
      </c>
      <c r="B1577" t="s">
        <v>97</v>
      </c>
      <c r="C1577" t="s">
        <v>330</v>
      </c>
      <c r="D1577" t="s">
        <v>356</v>
      </c>
      <c r="E1577" t="s">
        <v>1431</v>
      </c>
      <c r="F1577" t="s">
        <v>1647</v>
      </c>
      <c r="G1577" t="s">
        <v>4617</v>
      </c>
      <c r="H1577" t="s">
        <v>5388</v>
      </c>
      <c r="I1577" t="s">
        <v>6047</v>
      </c>
      <c r="J1577">
        <v>10472</v>
      </c>
      <c r="K1577" t="s">
        <v>6074</v>
      </c>
      <c r="L1577" t="s">
        <v>6074</v>
      </c>
      <c r="N1577" t="s">
        <v>6104</v>
      </c>
      <c r="O1577" t="s">
        <v>7306</v>
      </c>
      <c r="P1577" t="s">
        <v>7314</v>
      </c>
      <c r="Q1577" t="s">
        <v>7322</v>
      </c>
      <c r="R1577" t="s">
        <v>6076</v>
      </c>
      <c r="S1577" t="s">
        <v>7324</v>
      </c>
      <c r="U1577" t="s">
        <v>330</v>
      </c>
      <c r="V1577">
        <v>1000</v>
      </c>
      <c r="W1577" t="s">
        <v>7363</v>
      </c>
      <c r="X1577" t="s">
        <v>7376</v>
      </c>
      <c r="Y1577" t="s">
        <v>7386</v>
      </c>
      <c r="Z1577" t="s">
        <v>8626</v>
      </c>
      <c r="AC1577">
        <v>129</v>
      </c>
      <c r="AD1577" t="s">
        <v>12422</v>
      </c>
      <c r="AE1577" t="s">
        <v>6110</v>
      </c>
      <c r="AF1577">
        <v>1</v>
      </c>
      <c r="AG1577">
        <v>1</v>
      </c>
      <c r="AH1577">
        <v>2</v>
      </c>
      <c r="AI1577">
        <v>93.76000000000001</v>
      </c>
      <c r="AL1577" t="s">
        <v>12460</v>
      </c>
      <c r="AM1577">
        <v>20000</v>
      </c>
      <c r="AS1577">
        <v>0.8</v>
      </c>
      <c r="AT1577" t="s">
        <v>356</v>
      </c>
      <c r="AU1577" t="s">
        <v>97</v>
      </c>
    </row>
    <row r="1578" spans="1:48">
      <c r="A1578" s="1">
        <f>HYPERLINK("https://cms.ls-nyc.org/matter/dynamic-profile/view/1892604","19-1892604")</f>
        <v>0</v>
      </c>
      <c r="B1578" t="s">
        <v>96</v>
      </c>
      <c r="C1578" t="s">
        <v>277</v>
      </c>
      <c r="E1578" t="s">
        <v>1366</v>
      </c>
      <c r="F1578" t="s">
        <v>2536</v>
      </c>
      <c r="G1578" t="s">
        <v>3792</v>
      </c>
      <c r="H1578" t="s">
        <v>5528</v>
      </c>
      <c r="I1578" t="s">
        <v>6047</v>
      </c>
      <c r="J1578">
        <v>10453</v>
      </c>
      <c r="K1578" t="s">
        <v>6074</v>
      </c>
      <c r="L1578" t="s">
        <v>6074</v>
      </c>
      <c r="N1578" t="s">
        <v>7279</v>
      </c>
      <c r="O1578" t="s">
        <v>7311</v>
      </c>
      <c r="Q1578" t="s">
        <v>7322</v>
      </c>
      <c r="R1578" t="s">
        <v>6074</v>
      </c>
      <c r="S1578" t="s">
        <v>7324</v>
      </c>
      <c r="U1578" t="s">
        <v>457</v>
      </c>
      <c r="V1578">
        <v>1237.88</v>
      </c>
      <c r="W1578" t="s">
        <v>7363</v>
      </c>
      <c r="X1578" t="s">
        <v>7376</v>
      </c>
      <c r="Z1578" t="s">
        <v>8627</v>
      </c>
      <c r="AC1578">
        <v>170</v>
      </c>
      <c r="AD1578" t="s">
        <v>12422</v>
      </c>
      <c r="AE1578" t="s">
        <v>6110</v>
      </c>
      <c r="AF1578">
        <v>9</v>
      </c>
      <c r="AG1578">
        <v>3</v>
      </c>
      <c r="AH1578">
        <v>0</v>
      </c>
      <c r="AI1578">
        <v>93.76000000000001</v>
      </c>
      <c r="AL1578" t="s">
        <v>12461</v>
      </c>
      <c r="AM1578">
        <v>20000</v>
      </c>
      <c r="AS1578">
        <v>0</v>
      </c>
      <c r="AU1578" t="s">
        <v>13099</v>
      </c>
    </row>
    <row r="1579" spans="1:48">
      <c r="A1579" s="1">
        <f>HYPERLINK("https://cms.ls-nyc.org/matter/dynamic-profile/view/1892594","19-1892594")</f>
        <v>0</v>
      </c>
      <c r="B1579" t="s">
        <v>96</v>
      </c>
      <c r="C1579" t="s">
        <v>277</v>
      </c>
      <c r="E1579" t="s">
        <v>1366</v>
      </c>
      <c r="F1579" t="s">
        <v>2536</v>
      </c>
      <c r="G1579" t="s">
        <v>3792</v>
      </c>
      <c r="H1579" t="s">
        <v>5528</v>
      </c>
      <c r="I1579" t="s">
        <v>6047</v>
      </c>
      <c r="J1579">
        <v>10453</v>
      </c>
      <c r="K1579" t="s">
        <v>6074</v>
      </c>
      <c r="L1579" t="s">
        <v>6074</v>
      </c>
      <c r="M1579" t="s">
        <v>6259</v>
      </c>
      <c r="N1579" t="s">
        <v>7273</v>
      </c>
      <c r="O1579" t="s">
        <v>7308</v>
      </c>
      <c r="Q1579" t="s">
        <v>7322</v>
      </c>
      <c r="R1579" t="s">
        <v>6074</v>
      </c>
      <c r="S1579" t="s">
        <v>7324</v>
      </c>
      <c r="U1579" t="s">
        <v>457</v>
      </c>
      <c r="V1579">
        <v>1237.88</v>
      </c>
      <c r="W1579" t="s">
        <v>7363</v>
      </c>
      <c r="X1579" t="s">
        <v>7376</v>
      </c>
      <c r="Z1579" t="s">
        <v>8627</v>
      </c>
      <c r="AC1579">
        <v>170</v>
      </c>
      <c r="AD1579" t="s">
        <v>12422</v>
      </c>
      <c r="AE1579" t="s">
        <v>6110</v>
      </c>
      <c r="AF1579">
        <v>9</v>
      </c>
      <c r="AG1579">
        <v>3</v>
      </c>
      <c r="AH1579">
        <v>0</v>
      </c>
      <c r="AI1579">
        <v>93.76000000000001</v>
      </c>
      <c r="AL1579" t="s">
        <v>12461</v>
      </c>
      <c r="AM1579">
        <v>20000</v>
      </c>
      <c r="AS1579">
        <v>0</v>
      </c>
      <c r="AU1579" t="s">
        <v>13099</v>
      </c>
    </row>
    <row r="1580" spans="1:48">
      <c r="A1580" s="1">
        <f>HYPERLINK("https://cms.ls-nyc.org/matter/dynamic-profile/view/1877117","18-1877117")</f>
        <v>0</v>
      </c>
      <c r="B1580" t="s">
        <v>124</v>
      </c>
      <c r="C1580" t="s">
        <v>244</v>
      </c>
      <c r="E1580" t="s">
        <v>582</v>
      </c>
      <c r="F1580" t="s">
        <v>2905</v>
      </c>
      <c r="G1580" t="s">
        <v>4034</v>
      </c>
      <c r="H1580" t="s">
        <v>5393</v>
      </c>
      <c r="I1580" t="s">
        <v>6048</v>
      </c>
      <c r="J1580">
        <v>10304</v>
      </c>
      <c r="K1580" t="s">
        <v>6074</v>
      </c>
      <c r="L1580" t="s">
        <v>6074</v>
      </c>
      <c r="M1580" t="s">
        <v>6749</v>
      </c>
      <c r="N1580" t="s">
        <v>7276</v>
      </c>
      <c r="O1580" t="s">
        <v>7308</v>
      </c>
      <c r="Q1580" t="s">
        <v>7322</v>
      </c>
      <c r="R1580" t="s">
        <v>6076</v>
      </c>
      <c r="S1580" t="s">
        <v>7324</v>
      </c>
      <c r="T1580" t="s">
        <v>7336</v>
      </c>
      <c r="U1580" t="s">
        <v>244</v>
      </c>
      <c r="V1580">
        <v>1321.12</v>
      </c>
      <c r="W1580" t="s">
        <v>7364</v>
      </c>
      <c r="X1580" t="s">
        <v>7367</v>
      </c>
      <c r="Z1580" t="s">
        <v>8628</v>
      </c>
      <c r="AB1580" t="s">
        <v>11358</v>
      </c>
      <c r="AC1580">
        <v>84</v>
      </c>
      <c r="AD1580" t="s">
        <v>12422</v>
      </c>
      <c r="AE1580" t="s">
        <v>6110</v>
      </c>
      <c r="AF1580">
        <v>3</v>
      </c>
      <c r="AG1580">
        <v>1</v>
      </c>
      <c r="AH1580">
        <v>0</v>
      </c>
      <c r="AI1580">
        <v>93.81</v>
      </c>
      <c r="AL1580" t="s">
        <v>12460</v>
      </c>
      <c r="AM1580">
        <v>11388</v>
      </c>
      <c r="AO1580" t="s">
        <v>12845</v>
      </c>
      <c r="AS1580">
        <v>58.65</v>
      </c>
      <c r="AT1580" t="s">
        <v>418</v>
      </c>
      <c r="AU1580" t="s">
        <v>210</v>
      </c>
    </row>
    <row r="1581" spans="1:48">
      <c r="A1581" s="1">
        <f>HYPERLINK("https://cms.ls-nyc.org/matter/dynamic-profile/view/1886842","19-1886842")</f>
        <v>0</v>
      </c>
      <c r="B1581" t="s">
        <v>70</v>
      </c>
      <c r="C1581" t="s">
        <v>272</v>
      </c>
      <c r="E1581" t="s">
        <v>716</v>
      </c>
      <c r="F1581" t="s">
        <v>2488</v>
      </c>
      <c r="G1581" t="s">
        <v>4618</v>
      </c>
      <c r="H1581" t="s">
        <v>5382</v>
      </c>
      <c r="I1581" t="s">
        <v>6043</v>
      </c>
      <c r="J1581">
        <v>11231</v>
      </c>
      <c r="K1581" t="s">
        <v>6074</v>
      </c>
      <c r="L1581" t="s">
        <v>6074</v>
      </c>
      <c r="M1581" t="s">
        <v>6750</v>
      </c>
      <c r="N1581" t="s">
        <v>7276</v>
      </c>
      <c r="O1581" t="s">
        <v>7308</v>
      </c>
      <c r="Q1581" t="s">
        <v>7322</v>
      </c>
      <c r="S1581" t="s">
        <v>7324</v>
      </c>
      <c r="T1581" t="s">
        <v>7339</v>
      </c>
      <c r="U1581" t="s">
        <v>285</v>
      </c>
      <c r="V1581">
        <v>995.25</v>
      </c>
      <c r="W1581" t="s">
        <v>7362</v>
      </c>
      <c r="Z1581" t="s">
        <v>8629</v>
      </c>
      <c r="AB1581" t="s">
        <v>11359</v>
      </c>
      <c r="AC1581">
        <v>20</v>
      </c>
      <c r="AF1581">
        <v>15</v>
      </c>
      <c r="AG1581">
        <v>2</v>
      </c>
      <c r="AH1581">
        <v>2</v>
      </c>
      <c r="AI1581">
        <v>94.02</v>
      </c>
      <c r="AL1581" t="s">
        <v>12460</v>
      </c>
      <c r="AM1581">
        <v>23600</v>
      </c>
      <c r="AO1581" t="s">
        <v>12847</v>
      </c>
      <c r="AP1581" t="s">
        <v>12863</v>
      </c>
      <c r="AQ1581" t="s">
        <v>12909</v>
      </c>
      <c r="AS1581">
        <v>12.05</v>
      </c>
      <c r="AT1581" t="s">
        <v>359</v>
      </c>
      <c r="AU1581" t="s">
        <v>88</v>
      </c>
    </row>
    <row r="1582" spans="1:48">
      <c r="A1582" s="1">
        <f>HYPERLINK("https://cms.ls-nyc.org/matter/dynamic-profile/view/1887081","19-1887081")</f>
        <v>0</v>
      </c>
      <c r="B1582" t="s">
        <v>168</v>
      </c>
      <c r="C1582" t="s">
        <v>272</v>
      </c>
      <c r="E1582" t="s">
        <v>1432</v>
      </c>
      <c r="F1582" t="s">
        <v>818</v>
      </c>
      <c r="G1582" t="s">
        <v>4619</v>
      </c>
      <c r="H1582">
        <v>2</v>
      </c>
      <c r="I1582" t="s">
        <v>6043</v>
      </c>
      <c r="J1582">
        <v>11212</v>
      </c>
      <c r="K1582" t="s">
        <v>6074</v>
      </c>
      <c r="L1582" t="s">
        <v>6074</v>
      </c>
      <c r="N1582" t="s">
        <v>7274</v>
      </c>
      <c r="O1582" t="s">
        <v>7308</v>
      </c>
      <c r="Q1582" t="s">
        <v>7322</v>
      </c>
      <c r="R1582" t="s">
        <v>6076</v>
      </c>
      <c r="S1582" t="s">
        <v>7324</v>
      </c>
      <c r="T1582" t="s">
        <v>7336</v>
      </c>
      <c r="U1582" t="s">
        <v>289</v>
      </c>
      <c r="V1582">
        <v>800</v>
      </c>
      <c r="W1582" t="s">
        <v>7362</v>
      </c>
      <c r="X1582" t="s">
        <v>7368</v>
      </c>
      <c r="Z1582" t="s">
        <v>8630</v>
      </c>
      <c r="AA1582" t="s">
        <v>10180</v>
      </c>
      <c r="AB1582" t="s">
        <v>11360</v>
      </c>
      <c r="AC1582">
        <v>4</v>
      </c>
      <c r="AD1582" t="s">
        <v>12419</v>
      </c>
      <c r="AF1582">
        <v>9</v>
      </c>
      <c r="AG1582">
        <v>2</v>
      </c>
      <c r="AH1582">
        <v>0</v>
      </c>
      <c r="AI1582">
        <v>94.05</v>
      </c>
      <c r="AL1582" t="s">
        <v>12460</v>
      </c>
      <c r="AM1582">
        <v>15480</v>
      </c>
      <c r="AN1582" t="s">
        <v>12633</v>
      </c>
      <c r="AS1582">
        <v>0</v>
      </c>
      <c r="AU1582" t="s">
        <v>218</v>
      </c>
    </row>
    <row r="1583" spans="1:48">
      <c r="A1583" s="1">
        <f>HYPERLINK("https://cms.ls-nyc.org/matter/dynamic-profile/view/1887074","19-1887074")</f>
        <v>0</v>
      </c>
      <c r="B1583" t="s">
        <v>73</v>
      </c>
      <c r="C1583" t="s">
        <v>272</v>
      </c>
      <c r="D1583" t="s">
        <v>472</v>
      </c>
      <c r="E1583" t="s">
        <v>1432</v>
      </c>
      <c r="F1583" t="s">
        <v>818</v>
      </c>
      <c r="G1583" t="s">
        <v>4619</v>
      </c>
      <c r="H1583">
        <v>2</v>
      </c>
      <c r="I1583" t="s">
        <v>6043</v>
      </c>
      <c r="J1583">
        <v>11212</v>
      </c>
      <c r="K1583" t="s">
        <v>6074</v>
      </c>
      <c r="L1583" t="s">
        <v>6074</v>
      </c>
      <c r="N1583" t="s">
        <v>7273</v>
      </c>
      <c r="O1583" t="s">
        <v>7308</v>
      </c>
      <c r="P1583" t="s">
        <v>7320</v>
      </c>
      <c r="Q1583" t="s">
        <v>7322</v>
      </c>
      <c r="R1583" t="s">
        <v>6076</v>
      </c>
      <c r="S1583" t="s">
        <v>7324</v>
      </c>
      <c r="U1583" t="s">
        <v>289</v>
      </c>
      <c r="V1583">
        <v>800</v>
      </c>
      <c r="W1583" t="s">
        <v>7362</v>
      </c>
      <c r="X1583" t="s">
        <v>7368</v>
      </c>
      <c r="Y1583" t="s">
        <v>7394</v>
      </c>
      <c r="Z1583" t="s">
        <v>8630</v>
      </c>
      <c r="AA1583" t="s">
        <v>10180</v>
      </c>
      <c r="AB1583" t="s">
        <v>11360</v>
      </c>
      <c r="AC1583">
        <v>4</v>
      </c>
      <c r="AD1583" t="s">
        <v>12419</v>
      </c>
      <c r="AF1583">
        <v>9</v>
      </c>
      <c r="AG1583">
        <v>2</v>
      </c>
      <c r="AH1583">
        <v>0</v>
      </c>
      <c r="AI1583">
        <v>94.05</v>
      </c>
      <c r="AL1583" t="s">
        <v>12460</v>
      </c>
      <c r="AM1583">
        <v>15480</v>
      </c>
      <c r="AN1583" t="s">
        <v>12633</v>
      </c>
      <c r="AS1583">
        <v>0.75</v>
      </c>
      <c r="AT1583" t="s">
        <v>340</v>
      </c>
      <c r="AU1583" t="s">
        <v>218</v>
      </c>
    </row>
    <row r="1584" spans="1:48">
      <c r="A1584" s="1">
        <f>HYPERLINK("https://cms.ls-nyc.org/matter/dynamic-profile/view/1873030","18-1873030")</f>
        <v>0</v>
      </c>
      <c r="B1584" t="s">
        <v>74</v>
      </c>
      <c r="C1584" t="s">
        <v>289</v>
      </c>
      <c r="D1584" t="s">
        <v>339</v>
      </c>
      <c r="E1584" t="s">
        <v>1432</v>
      </c>
      <c r="F1584" t="s">
        <v>818</v>
      </c>
      <c r="G1584" t="s">
        <v>4619</v>
      </c>
      <c r="H1584">
        <v>2</v>
      </c>
      <c r="I1584" t="s">
        <v>6043</v>
      </c>
      <c r="J1584">
        <v>11212</v>
      </c>
      <c r="K1584" t="s">
        <v>6074</v>
      </c>
      <c r="L1584" t="s">
        <v>6074</v>
      </c>
      <c r="M1584" t="s">
        <v>6751</v>
      </c>
      <c r="N1584" t="s">
        <v>7276</v>
      </c>
      <c r="O1584" t="s">
        <v>7308</v>
      </c>
      <c r="P1584" t="s">
        <v>7320</v>
      </c>
      <c r="Q1584" t="s">
        <v>7322</v>
      </c>
      <c r="R1584" t="s">
        <v>6076</v>
      </c>
      <c r="S1584" t="s">
        <v>7324</v>
      </c>
      <c r="U1584" t="s">
        <v>289</v>
      </c>
      <c r="V1584">
        <v>800</v>
      </c>
      <c r="W1584" t="s">
        <v>7362</v>
      </c>
      <c r="X1584" t="s">
        <v>7376</v>
      </c>
      <c r="Y1584" t="s">
        <v>7388</v>
      </c>
      <c r="Z1584" t="s">
        <v>8630</v>
      </c>
      <c r="AA1584" t="s">
        <v>10180</v>
      </c>
      <c r="AB1584" t="s">
        <v>11360</v>
      </c>
      <c r="AC1584">
        <v>4</v>
      </c>
      <c r="AD1584" t="s">
        <v>12419</v>
      </c>
      <c r="AF1584">
        <v>9</v>
      </c>
      <c r="AG1584">
        <v>2</v>
      </c>
      <c r="AH1584">
        <v>0</v>
      </c>
      <c r="AI1584">
        <v>94.05</v>
      </c>
      <c r="AL1584" t="s">
        <v>12460</v>
      </c>
      <c r="AM1584">
        <v>15480</v>
      </c>
      <c r="AN1584" t="s">
        <v>12532</v>
      </c>
      <c r="AS1584">
        <v>123.43</v>
      </c>
      <c r="AT1584" t="s">
        <v>339</v>
      </c>
      <c r="AU1584" t="s">
        <v>13080</v>
      </c>
    </row>
    <row r="1585" spans="1:48">
      <c r="A1585" s="1">
        <f>HYPERLINK("https://cms.ls-nyc.org/matter/dynamic-profile/view/1883813","18-1883813")</f>
        <v>0</v>
      </c>
      <c r="B1585" t="s">
        <v>83</v>
      </c>
      <c r="C1585" t="s">
        <v>305</v>
      </c>
      <c r="E1585" t="s">
        <v>1234</v>
      </c>
      <c r="F1585" t="s">
        <v>2906</v>
      </c>
      <c r="G1585" t="s">
        <v>4620</v>
      </c>
      <c r="H1585">
        <v>43</v>
      </c>
      <c r="I1585" t="s">
        <v>6043</v>
      </c>
      <c r="J1585">
        <v>11210</v>
      </c>
      <c r="K1585" t="s">
        <v>6076</v>
      </c>
      <c r="L1585" t="s">
        <v>6076</v>
      </c>
      <c r="M1585" t="s">
        <v>6752</v>
      </c>
      <c r="N1585" t="s">
        <v>7279</v>
      </c>
      <c r="O1585" t="s">
        <v>7309</v>
      </c>
      <c r="Q1585" t="s">
        <v>7322</v>
      </c>
      <c r="R1585" t="s">
        <v>6074</v>
      </c>
      <c r="S1585" t="s">
        <v>7324</v>
      </c>
      <c r="U1585" t="s">
        <v>305</v>
      </c>
      <c r="V1585">
        <v>831.92</v>
      </c>
      <c r="W1585" t="s">
        <v>7362</v>
      </c>
      <c r="X1585" t="s">
        <v>7376</v>
      </c>
      <c r="Z1585" t="s">
        <v>8631</v>
      </c>
      <c r="AB1585" t="s">
        <v>11361</v>
      </c>
      <c r="AC1585">
        <v>60</v>
      </c>
      <c r="AD1585" t="s">
        <v>12422</v>
      </c>
      <c r="AF1585">
        <v>38</v>
      </c>
      <c r="AG1585">
        <v>1</v>
      </c>
      <c r="AH1585">
        <v>0</v>
      </c>
      <c r="AI1585">
        <v>94.3</v>
      </c>
      <c r="AL1585" t="s">
        <v>12460</v>
      </c>
      <c r="AM1585">
        <v>11448</v>
      </c>
      <c r="AS1585">
        <v>7.4</v>
      </c>
      <c r="AT1585" t="s">
        <v>466</v>
      </c>
      <c r="AU1585" t="s">
        <v>83</v>
      </c>
    </row>
    <row r="1586" spans="1:48">
      <c r="A1586" s="1">
        <f>HYPERLINK("https://cms.ls-nyc.org/matter/dynamic-profile/view/1887235","19-1887235")</f>
        <v>0</v>
      </c>
      <c r="B1586" t="s">
        <v>83</v>
      </c>
      <c r="C1586" t="s">
        <v>452</v>
      </c>
      <c r="E1586" t="s">
        <v>1234</v>
      </c>
      <c r="F1586" t="s">
        <v>2906</v>
      </c>
      <c r="G1586" t="s">
        <v>4620</v>
      </c>
      <c r="H1586">
        <v>43</v>
      </c>
      <c r="I1586" t="s">
        <v>6043</v>
      </c>
      <c r="J1586">
        <v>11210</v>
      </c>
      <c r="K1586" t="s">
        <v>6076</v>
      </c>
      <c r="L1586" t="s">
        <v>6075</v>
      </c>
      <c r="O1586" t="s">
        <v>7309</v>
      </c>
      <c r="Q1586" t="s">
        <v>7322</v>
      </c>
      <c r="R1586" t="s">
        <v>6076</v>
      </c>
      <c r="S1586" t="s">
        <v>7324</v>
      </c>
      <c r="U1586" t="s">
        <v>452</v>
      </c>
      <c r="V1586">
        <v>0</v>
      </c>
      <c r="W1586" t="s">
        <v>7362</v>
      </c>
      <c r="Z1586" t="s">
        <v>8631</v>
      </c>
      <c r="AB1586" t="s">
        <v>11361</v>
      </c>
      <c r="AC1586">
        <v>0</v>
      </c>
      <c r="AF1586">
        <v>0</v>
      </c>
      <c r="AG1586">
        <v>1</v>
      </c>
      <c r="AH1586">
        <v>0</v>
      </c>
      <c r="AI1586">
        <v>94.3</v>
      </c>
      <c r="AL1586" t="s">
        <v>12460</v>
      </c>
      <c r="AM1586">
        <v>11448</v>
      </c>
      <c r="AS1586">
        <v>10</v>
      </c>
      <c r="AT1586" t="s">
        <v>361</v>
      </c>
      <c r="AU1586" t="s">
        <v>88</v>
      </c>
    </row>
    <row r="1587" spans="1:48">
      <c r="A1587" s="1">
        <f>HYPERLINK("https://cms.ls-nyc.org/matter/dynamic-profile/view/1894701","19-1894701")</f>
        <v>0</v>
      </c>
      <c r="B1587" t="s">
        <v>52</v>
      </c>
      <c r="C1587" t="s">
        <v>235</v>
      </c>
      <c r="E1587" t="s">
        <v>987</v>
      </c>
      <c r="F1587" t="s">
        <v>2730</v>
      </c>
      <c r="G1587" t="s">
        <v>4413</v>
      </c>
      <c r="H1587">
        <v>404</v>
      </c>
      <c r="I1587" t="s">
        <v>6040</v>
      </c>
      <c r="J1587">
        <v>11354</v>
      </c>
      <c r="K1587" t="s">
        <v>6074</v>
      </c>
      <c r="L1587" t="s">
        <v>6074</v>
      </c>
      <c r="M1587" t="s">
        <v>6753</v>
      </c>
      <c r="N1587" t="s">
        <v>7276</v>
      </c>
      <c r="O1587" t="s">
        <v>7308</v>
      </c>
      <c r="Q1587" t="s">
        <v>7322</v>
      </c>
      <c r="R1587" t="s">
        <v>6076</v>
      </c>
      <c r="S1587" t="s">
        <v>7324</v>
      </c>
      <c r="T1587" t="s">
        <v>7336</v>
      </c>
      <c r="U1587" t="s">
        <v>235</v>
      </c>
      <c r="V1587">
        <v>1355.8</v>
      </c>
      <c r="W1587" t="s">
        <v>7361</v>
      </c>
      <c r="X1587" t="s">
        <v>7305</v>
      </c>
      <c r="Z1587" t="s">
        <v>8327</v>
      </c>
      <c r="AB1587" t="s">
        <v>11095</v>
      </c>
      <c r="AC1587">
        <v>130</v>
      </c>
      <c r="AD1587" t="s">
        <v>12422</v>
      </c>
      <c r="AE1587" t="s">
        <v>12441</v>
      </c>
      <c r="AF1587">
        <v>20</v>
      </c>
      <c r="AG1587">
        <v>1</v>
      </c>
      <c r="AH1587">
        <v>0</v>
      </c>
      <c r="AI1587">
        <v>94.44</v>
      </c>
      <c r="AL1587" t="s">
        <v>12460</v>
      </c>
      <c r="AM1587">
        <v>11796</v>
      </c>
      <c r="AO1587" t="s">
        <v>12846</v>
      </c>
      <c r="AP1587" t="s">
        <v>12858</v>
      </c>
      <c r="AQ1587" t="s">
        <v>12909</v>
      </c>
      <c r="AR1587" t="s">
        <v>13015</v>
      </c>
      <c r="AS1587">
        <v>10.25</v>
      </c>
      <c r="AT1587" t="s">
        <v>260</v>
      </c>
      <c r="AU1587" t="s">
        <v>13079</v>
      </c>
      <c r="AV1587" t="s">
        <v>13145</v>
      </c>
    </row>
    <row r="1588" spans="1:48">
      <c r="A1588" s="1">
        <f>HYPERLINK("https://cms.ls-nyc.org/matter/dynamic-profile/view/1885749","18-1885749")</f>
        <v>0</v>
      </c>
      <c r="B1588" t="s">
        <v>102</v>
      </c>
      <c r="C1588" t="s">
        <v>344</v>
      </c>
      <c r="E1588" t="s">
        <v>1433</v>
      </c>
      <c r="F1588" t="s">
        <v>2663</v>
      </c>
      <c r="G1588" t="s">
        <v>3779</v>
      </c>
      <c r="H1588" t="s">
        <v>5515</v>
      </c>
      <c r="I1588" t="s">
        <v>6047</v>
      </c>
      <c r="J1588">
        <v>10460</v>
      </c>
      <c r="K1588" t="s">
        <v>6074</v>
      </c>
      <c r="L1588" t="s">
        <v>6074</v>
      </c>
      <c r="M1588" t="s">
        <v>6182</v>
      </c>
      <c r="N1588" t="s">
        <v>7273</v>
      </c>
      <c r="O1588" t="s">
        <v>7308</v>
      </c>
      <c r="Q1588" t="s">
        <v>7322</v>
      </c>
      <c r="R1588" t="s">
        <v>6074</v>
      </c>
      <c r="S1588" t="s">
        <v>7324</v>
      </c>
      <c r="U1588" t="s">
        <v>457</v>
      </c>
      <c r="V1588">
        <v>287</v>
      </c>
      <c r="W1588" t="s">
        <v>7363</v>
      </c>
      <c r="X1588" t="s">
        <v>7376</v>
      </c>
      <c r="Z1588" t="s">
        <v>8632</v>
      </c>
      <c r="AB1588" t="s">
        <v>11362</v>
      </c>
      <c r="AC1588">
        <v>168</v>
      </c>
      <c r="AD1588" t="s">
        <v>12425</v>
      </c>
      <c r="AE1588" t="s">
        <v>12434</v>
      </c>
      <c r="AF1588">
        <v>19</v>
      </c>
      <c r="AG1588">
        <v>1</v>
      </c>
      <c r="AH1588">
        <v>0</v>
      </c>
      <c r="AI1588">
        <v>94.5</v>
      </c>
      <c r="AL1588" t="s">
        <v>12460</v>
      </c>
      <c r="AM1588">
        <v>11472</v>
      </c>
      <c r="AS1588">
        <v>0</v>
      </c>
      <c r="AU1588" t="s">
        <v>13092</v>
      </c>
    </row>
    <row r="1589" spans="1:48">
      <c r="A1589" s="1">
        <f>HYPERLINK("https://cms.ls-nyc.org/matter/dynamic-profile/view/1882714","18-1882714")</f>
        <v>0</v>
      </c>
      <c r="B1589" t="s">
        <v>98</v>
      </c>
      <c r="C1589" t="s">
        <v>296</v>
      </c>
      <c r="E1589" t="s">
        <v>1255</v>
      </c>
      <c r="F1589" t="s">
        <v>2907</v>
      </c>
      <c r="G1589" t="s">
        <v>3786</v>
      </c>
      <c r="H1589" t="s">
        <v>5382</v>
      </c>
      <c r="I1589" t="s">
        <v>6047</v>
      </c>
      <c r="J1589">
        <v>10457</v>
      </c>
      <c r="K1589" t="s">
        <v>6074</v>
      </c>
      <c r="L1589" t="s">
        <v>6074</v>
      </c>
      <c r="M1589" t="s">
        <v>6187</v>
      </c>
      <c r="N1589" t="s">
        <v>7279</v>
      </c>
      <c r="O1589" t="s">
        <v>7311</v>
      </c>
      <c r="Q1589" t="s">
        <v>7322</v>
      </c>
      <c r="R1589" t="s">
        <v>6074</v>
      </c>
      <c r="S1589" t="s">
        <v>7324</v>
      </c>
      <c r="U1589" t="s">
        <v>472</v>
      </c>
      <c r="V1589">
        <v>235.4</v>
      </c>
      <c r="W1589" t="s">
        <v>7363</v>
      </c>
      <c r="X1589" t="s">
        <v>7376</v>
      </c>
      <c r="Z1589" t="s">
        <v>8633</v>
      </c>
      <c r="AB1589" t="s">
        <v>11363</v>
      </c>
      <c r="AC1589">
        <v>47</v>
      </c>
      <c r="AD1589" t="s">
        <v>12425</v>
      </c>
      <c r="AE1589" t="s">
        <v>6110</v>
      </c>
      <c r="AF1589">
        <v>49</v>
      </c>
      <c r="AG1589">
        <v>1</v>
      </c>
      <c r="AH1589">
        <v>0</v>
      </c>
      <c r="AI1589">
        <v>94.5</v>
      </c>
      <c r="AL1589" t="s">
        <v>12461</v>
      </c>
      <c r="AM1589">
        <v>11472</v>
      </c>
      <c r="AS1589">
        <v>0.1</v>
      </c>
      <c r="AT1589" t="s">
        <v>421</v>
      </c>
      <c r="AU1589" t="s">
        <v>13092</v>
      </c>
    </row>
    <row r="1590" spans="1:48">
      <c r="A1590" s="1">
        <f>HYPERLINK("https://cms.ls-nyc.org/matter/dynamic-profile/view/1882709","18-1882709")</f>
        <v>0</v>
      </c>
      <c r="B1590" t="s">
        <v>98</v>
      </c>
      <c r="C1590" t="s">
        <v>296</v>
      </c>
      <c r="E1590" t="s">
        <v>1255</v>
      </c>
      <c r="F1590" t="s">
        <v>2907</v>
      </c>
      <c r="G1590" t="s">
        <v>3786</v>
      </c>
      <c r="H1590" t="s">
        <v>5382</v>
      </c>
      <c r="I1590" t="s">
        <v>6047</v>
      </c>
      <c r="J1590">
        <v>10457</v>
      </c>
      <c r="K1590" t="s">
        <v>6074</v>
      </c>
      <c r="L1590" t="s">
        <v>6074</v>
      </c>
      <c r="M1590" t="s">
        <v>6191</v>
      </c>
      <c r="N1590" t="s">
        <v>7273</v>
      </c>
      <c r="O1590" t="s">
        <v>7308</v>
      </c>
      <c r="Q1590" t="s">
        <v>7322</v>
      </c>
      <c r="R1590" t="s">
        <v>6074</v>
      </c>
      <c r="S1590" t="s">
        <v>7324</v>
      </c>
      <c r="U1590" t="s">
        <v>472</v>
      </c>
      <c r="V1590">
        <v>235.4</v>
      </c>
      <c r="W1590" t="s">
        <v>7363</v>
      </c>
      <c r="X1590" t="s">
        <v>7376</v>
      </c>
      <c r="Z1590" t="s">
        <v>8633</v>
      </c>
      <c r="AB1590" t="s">
        <v>11363</v>
      </c>
      <c r="AC1590">
        <v>47</v>
      </c>
      <c r="AD1590" t="s">
        <v>12425</v>
      </c>
      <c r="AE1590" t="s">
        <v>6110</v>
      </c>
      <c r="AF1590">
        <v>49</v>
      </c>
      <c r="AG1590">
        <v>1</v>
      </c>
      <c r="AH1590">
        <v>0</v>
      </c>
      <c r="AI1590">
        <v>94.5</v>
      </c>
      <c r="AL1590" t="s">
        <v>12461</v>
      </c>
      <c r="AM1590">
        <v>11472</v>
      </c>
      <c r="AS1590">
        <v>0</v>
      </c>
      <c r="AU1590" t="s">
        <v>13092</v>
      </c>
    </row>
    <row r="1591" spans="1:48">
      <c r="A1591" s="1">
        <f>HYPERLINK("https://cms.ls-nyc.org/matter/dynamic-profile/view/1884207","18-1884207")</f>
        <v>0</v>
      </c>
      <c r="B1591" t="s">
        <v>89</v>
      </c>
      <c r="C1591" t="s">
        <v>426</v>
      </c>
      <c r="E1591" t="s">
        <v>567</v>
      </c>
      <c r="F1591" t="s">
        <v>2858</v>
      </c>
      <c r="G1591" t="s">
        <v>4439</v>
      </c>
      <c r="H1591" t="s">
        <v>5483</v>
      </c>
      <c r="I1591" t="s">
        <v>6043</v>
      </c>
      <c r="J1591">
        <v>11213</v>
      </c>
      <c r="K1591" t="s">
        <v>6074</v>
      </c>
      <c r="L1591" t="s">
        <v>6074</v>
      </c>
      <c r="N1591" t="s">
        <v>7273</v>
      </c>
      <c r="O1591" t="s">
        <v>7308</v>
      </c>
      <c r="Q1591" t="s">
        <v>7322</v>
      </c>
      <c r="R1591" t="s">
        <v>6074</v>
      </c>
      <c r="S1591" t="s">
        <v>7324</v>
      </c>
      <c r="T1591" t="s">
        <v>7336</v>
      </c>
      <c r="U1591" t="s">
        <v>331</v>
      </c>
      <c r="V1591">
        <v>659.52</v>
      </c>
      <c r="W1591" t="s">
        <v>7362</v>
      </c>
      <c r="X1591" t="s">
        <v>7376</v>
      </c>
      <c r="Z1591" t="s">
        <v>8541</v>
      </c>
      <c r="AA1591" t="s">
        <v>10157</v>
      </c>
      <c r="AC1591">
        <v>35</v>
      </c>
      <c r="AD1591" t="s">
        <v>12422</v>
      </c>
      <c r="AE1591" t="s">
        <v>6110</v>
      </c>
      <c r="AF1591">
        <v>30</v>
      </c>
      <c r="AG1591">
        <v>2</v>
      </c>
      <c r="AH1591">
        <v>0</v>
      </c>
      <c r="AI1591">
        <v>94.78</v>
      </c>
      <c r="AL1591" t="s">
        <v>12460</v>
      </c>
      <c r="AM1591">
        <v>15600</v>
      </c>
      <c r="AS1591">
        <v>0.1</v>
      </c>
      <c r="AT1591" t="s">
        <v>452</v>
      </c>
      <c r="AU1591" t="s">
        <v>218</v>
      </c>
      <c r="AV1591" t="s">
        <v>13145</v>
      </c>
    </row>
    <row r="1592" spans="1:48">
      <c r="A1592" s="1">
        <f>HYPERLINK("https://cms.ls-nyc.org/matter/dynamic-profile/view/1881908","18-1881908")</f>
        <v>0</v>
      </c>
      <c r="B1592" t="s">
        <v>69</v>
      </c>
      <c r="C1592" t="s">
        <v>258</v>
      </c>
      <c r="D1592" t="s">
        <v>260</v>
      </c>
      <c r="E1592" t="s">
        <v>1434</v>
      </c>
      <c r="F1592" t="s">
        <v>2908</v>
      </c>
      <c r="G1592" t="s">
        <v>4621</v>
      </c>
      <c r="H1592" t="s">
        <v>5361</v>
      </c>
      <c r="I1592" t="s">
        <v>6043</v>
      </c>
      <c r="J1592">
        <v>11210</v>
      </c>
      <c r="K1592" t="s">
        <v>6074</v>
      </c>
      <c r="L1592" t="s">
        <v>6074</v>
      </c>
      <c r="O1592" t="s">
        <v>7307</v>
      </c>
      <c r="P1592" t="s">
        <v>7314</v>
      </c>
      <c r="Q1592" t="s">
        <v>7322</v>
      </c>
      <c r="S1592" t="s">
        <v>7324</v>
      </c>
      <c r="U1592" t="s">
        <v>258</v>
      </c>
      <c r="V1592">
        <v>0</v>
      </c>
      <c r="W1592" t="s">
        <v>7362</v>
      </c>
      <c r="Y1592" t="s">
        <v>7386</v>
      </c>
      <c r="Z1592" t="s">
        <v>8634</v>
      </c>
      <c r="AB1592" t="s">
        <v>11364</v>
      </c>
      <c r="AC1592">
        <v>0</v>
      </c>
      <c r="AF1592">
        <v>0</v>
      </c>
      <c r="AG1592">
        <v>2</v>
      </c>
      <c r="AH1592">
        <v>0</v>
      </c>
      <c r="AI1592">
        <v>94.78</v>
      </c>
      <c r="AL1592" t="s">
        <v>12460</v>
      </c>
      <c r="AM1592">
        <v>15600</v>
      </c>
      <c r="AS1592">
        <v>5.5</v>
      </c>
      <c r="AT1592" t="s">
        <v>260</v>
      </c>
      <c r="AU1592" t="s">
        <v>69</v>
      </c>
    </row>
    <row r="1593" spans="1:48">
      <c r="A1593" s="1">
        <f>HYPERLINK("https://cms.ls-nyc.org/matter/dynamic-profile/view/1885581","18-1885581")</f>
        <v>0</v>
      </c>
      <c r="B1593" t="s">
        <v>102</v>
      </c>
      <c r="C1593" t="s">
        <v>413</v>
      </c>
      <c r="E1593" t="s">
        <v>1435</v>
      </c>
      <c r="F1593" t="s">
        <v>2647</v>
      </c>
      <c r="G1593" t="s">
        <v>3779</v>
      </c>
      <c r="H1593" t="s">
        <v>5741</v>
      </c>
      <c r="I1593" t="s">
        <v>6047</v>
      </c>
      <c r="J1593">
        <v>10460</v>
      </c>
      <c r="K1593" t="s">
        <v>6074</v>
      </c>
      <c r="L1593" t="s">
        <v>6074</v>
      </c>
      <c r="M1593" t="s">
        <v>6182</v>
      </c>
      <c r="N1593" t="s">
        <v>7273</v>
      </c>
      <c r="O1593" t="s">
        <v>7308</v>
      </c>
      <c r="Q1593" t="s">
        <v>7322</v>
      </c>
      <c r="R1593" t="s">
        <v>6074</v>
      </c>
      <c r="S1593" t="s">
        <v>7324</v>
      </c>
      <c r="U1593" t="s">
        <v>457</v>
      </c>
      <c r="V1593">
        <v>1543</v>
      </c>
      <c r="W1593" t="s">
        <v>7363</v>
      </c>
      <c r="X1593" t="s">
        <v>7376</v>
      </c>
      <c r="Z1593" t="s">
        <v>8635</v>
      </c>
      <c r="AB1593" t="s">
        <v>11365</v>
      </c>
      <c r="AC1593">
        <v>168</v>
      </c>
      <c r="AD1593" t="s">
        <v>12422</v>
      </c>
      <c r="AE1593" t="s">
        <v>12434</v>
      </c>
      <c r="AF1593">
        <v>24</v>
      </c>
      <c r="AG1593">
        <v>2</v>
      </c>
      <c r="AH1593">
        <v>0</v>
      </c>
      <c r="AI1593">
        <v>94.78</v>
      </c>
      <c r="AL1593" t="s">
        <v>12460</v>
      </c>
      <c r="AM1593">
        <v>15600</v>
      </c>
      <c r="AS1593">
        <v>0</v>
      </c>
      <c r="AU1593" t="s">
        <v>13095</v>
      </c>
      <c r="AV1593" t="s">
        <v>13145</v>
      </c>
    </row>
    <row r="1594" spans="1:48">
      <c r="A1594" s="1">
        <f>HYPERLINK("https://cms.ls-nyc.org/matter/dynamic-profile/view/1886091","18-1886091")</f>
        <v>0</v>
      </c>
      <c r="B1594" t="s">
        <v>128</v>
      </c>
      <c r="C1594" t="s">
        <v>326</v>
      </c>
      <c r="E1594" t="s">
        <v>737</v>
      </c>
      <c r="F1594" t="s">
        <v>2474</v>
      </c>
      <c r="G1594" t="s">
        <v>3934</v>
      </c>
      <c r="H1594">
        <v>35</v>
      </c>
      <c r="I1594" t="s">
        <v>6049</v>
      </c>
      <c r="J1594">
        <v>10034</v>
      </c>
      <c r="K1594" t="s">
        <v>6074</v>
      </c>
      <c r="L1594" t="s">
        <v>6074</v>
      </c>
      <c r="N1594" t="s">
        <v>7273</v>
      </c>
      <c r="O1594" t="s">
        <v>7308</v>
      </c>
      <c r="Q1594" t="s">
        <v>7322</v>
      </c>
      <c r="R1594" t="s">
        <v>6074</v>
      </c>
      <c r="S1594" t="s">
        <v>7324</v>
      </c>
      <c r="U1594" t="s">
        <v>326</v>
      </c>
      <c r="V1594">
        <v>961.5</v>
      </c>
      <c r="W1594" t="s">
        <v>7365</v>
      </c>
      <c r="X1594" t="s">
        <v>7367</v>
      </c>
      <c r="Z1594" t="s">
        <v>8636</v>
      </c>
      <c r="AB1594" t="s">
        <v>11366</v>
      </c>
      <c r="AC1594">
        <v>25</v>
      </c>
      <c r="AD1594" t="s">
        <v>12422</v>
      </c>
      <c r="AE1594" t="s">
        <v>6110</v>
      </c>
      <c r="AF1594">
        <v>26</v>
      </c>
      <c r="AG1594">
        <v>2</v>
      </c>
      <c r="AH1594">
        <v>0</v>
      </c>
      <c r="AI1594">
        <v>94.78</v>
      </c>
      <c r="AL1594" t="s">
        <v>12461</v>
      </c>
      <c r="AM1594">
        <v>15600</v>
      </c>
      <c r="AS1594">
        <v>96.3</v>
      </c>
      <c r="AT1594" t="s">
        <v>460</v>
      </c>
      <c r="AU1594" t="s">
        <v>13106</v>
      </c>
    </row>
    <row r="1595" spans="1:48">
      <c r="A1595" s="1">
        <f>HYPERLINK("https://cms.ls-nyc.org/matter/dynamic-profile/view/1874297","18-1874297")</f>
        <v>0</v>
      </c>
      <c r="B1595" t="s">
        <v>126</v>
      </c>
      <c r="C1595" t="s">
        <v>471</v>
      </c>
      <c r="E1595" t="s">
        <v>1420</v>
      </c>
      <c r="F1595" t="s">
        <v>2909</v>
      </c>
      <c r="G1595" t="s">
        <v>3956</v>
      </c>
      <c r="H1595" t="s">
        <v>5438</v>
      </c>
      <c r="I1595" t="s">
        <v>6049</v>
      </c>
      <c r="J1595">
        <v>10031</v>
      </c>
      <c r="K1595" t="s">
        <v>6074</v>
      </c>
      <c r="L1595" t="s">
        <v>6074</v>
      </c>
      <c r="M1595" t="s">
        <v>6327</v>
      </c>
      <c r="N1595" t="s">
        <v>7273</v>
      </c>
      <c r="O1595" t="s">
        <v>7308</v>
      </c>
      <c r="Q1595" t="s">
        <v>7322</v>
      </c>
      <c r="R1595" t="s">
        <v>6074</v>
      </c>
      <c r="S1595" t="s">
        <v>7324</v>
      </c>
      <c r="T1595" t="s">
        <v>7336</v>
      </c>
      <c r="U1595" t="s">
        <v>471</v>
      </c>
      <c r="V1595">
        <v>2050</v>
      </c>
      <c r="W1595" t="s">
        <v>7365</v>
      </c>
      <c r="X1595" t="s">
        <v>7375</v>
      </c>
      <c r="Z1595" t="s">
        <v>8637</v>
      </c>
      <c r="AB1595" t="s">
        <v>11367</v>
      </c>
      <c r="AC1595">
        <v>44</v>
      </c>
      <c r="AD1595" t="s">
        <v>12420</v>
      </c>
      <c r="AE1595" t="s">
        <v>12434</v>
      </c>
      <c r="AF1595">
        <v>22</v>
      </c>
      <c r="AG1595">
        <v>2</v>
      </c>
      <c r="AH1595">
        <v>0</v>
      </c>
      <c r="AI1595">
        <v>94.78</v>
      </c>
      <c r="AL1595" t="s">
        <v>12461</v>
      </c>
      <c r="AM1595">
        <v>15600</v>
      </c>
      <c r="AO1595" t="s">
        <v>12847</v>
      </c>
      <c r="AS1595">
        <v>2.25</v>
      </c>
      <c r="AT1595" t="s">
        <v>280</v>
      </c>
      <c r="AU1595" t="s">
        <v>13107</v>
      </c>
    </row>
    <row r="1596" spans="1:48">
      <c r="A1596" s="1">
        <f>HYPERLINK("https://cms.ls-nyc.org/matter/dynamic-profile/view/1875266","18-1875266")</f>
        <v>0</v>
      </c>
      <c r="B1596" t="s">
        <v>137</v>
      </c>
      <c r="C1596" t="s">
        <v>399</v>
      </c>
      <c r="D1596" t="s">
        <v>466</v>
      </c>
      <c r="E1596" t="s">
        <v>1436</v>
      </c>
      <c r="F1596" t="s">
        <v>2910</v>
      </c>
      <c r="G1596" t="s">
        <v>4622</v>
      </c>
      <c r="H1596">
        <v>12</v>
      </c>
      <c r="I1596" t="s">
        <v>6049</v>
      </c>
      <c r="J1596">
        <v>10029</v>
      </c>
      <c r="K1596" t="s">
        <v>6074</v>
      </c>
      <c r="L1596" t="s">
        <v>6074</v>
      </c>
      <c r="N1596" t="s">
        <v>6104</v>
      </c>
      <c r="O1596" t="s">
        <v>7307</v>
      </c>
      <c r="P1596" t="s">
        <v>7315</v>
      </c>
      <c r="Q1596" t="s">
        <v>7322</v>
      </c>
      <c r="R1596" t="s">
        <v>6076</v>
      </c>
      <c r="S1596" t="s">
        <v>7324</v>
      </c>
      <c r="T1596" t="s">
        <v>7336</v>
      </c>
      <c r="U1596" t="s">
        <v>399</v>
      </c>
      <c r="V1596">
        <v>1700</v>
      </c>
      <c r="W1596" t="s">
        <v>7365</v>
      </c>
      <c r="X1596" t="s">
        <v>7367</v>
      </c>
      <c r="Y1596" t="s">
        <v>7387</v>
      </c>
      <c r="Z1596" t="s">
        <v>8638</v>
      </c>
      <c r="AB1596" t="s">
        <v>11368</v>
      </c>
      <c r="AC1596">
        <v>16</v>
      </c>
      <c r="AD1596" t="s">
        <v>6322</v>
      </c>
      <c r="AE1596" t="s">
        <v>6110</v>
      </c>
      <c r="AF1596">
        <v>31</v>
      </c>
      <c r="AG1596">
        <v>2</v>
      </c>
      <c r="AH1596">
        <v>0</v>
      </c>
      <c r="AI1596">
        <v>94.78</v>
      </c>
      <c r="AL1596" t="s">
        <v>12460</v>
      </c>
      <c r="AM1596">
        <v>15600</v>
      </c>
      <c r="AS1596">
        <v>3.7</v>
      </c>
      <c r="AT1596" t="s">
        <v>249</v>
      </c>
      <c r="AU1596" t="s">
        <v>13107</v>
      </c>
    </row>
    <row r="1597" spans="1:48">
      <c r="A1597" s="1">
        <f>HYPERLINK("https://cms.ls-nyc.org/matter/dynamic-profile/view/1874710","18-1874710")</f>
        <v>0</v>
      </c>
      <c r="B1597" t="s">
        <v>202</v>
      </c>
      <c r="C1597" t="s">
        <v>378</v>
      </c>
      <c r="D1597" t="s">
        <v>378</v>
      </c>
      <c r="E1597" t="s">
        <v>1437</v>
      </c>
      <c r="F1597" t="s">
        <v>2268</v>
      </c>
      <c r="G1597" t="s">
        <v>4623</v>
      </c>
      <c r="H1597">
        <v>12</v>
      </c>
      <c r="I1597" t="s">
        <v>6049</v>
      </c>
      <c r="J1597">
        <v>10002</v>
      </c>
      <c r="K1597" t="s">
        <v>6074</v>
      </c>
      <c r="L1597" t="s">
        <v>6074</v>
      </c>
      <c r="N1597" t="s">
        <v>6104</v>
      </c>
      <c r="O1597" t="s">
        <v>7307</v>
      </c>
      <c r="P1597" t="s">
        <v>7315</v>
      </c>
      <c r="Q1597" t="s">
        <v>7322</v>
      </c>
      <c r="R1597" t="s">
        <v>6076</v>
      </c>
      <c r="S1597" t="s">
        <v>7324</v>
      </c>
      <c r="U1597" t="s">
        <v>237</v>
      </c>
      <c r="V1597">
        <v>0</v>
      </c>
      <c r="W1597" t="s">
        <v>7365</v>
      </c>
      <c r="X1597" t="s">
        <v>7375</v>
      </c>
      <c r="Y1597" t="s">
        <v>7386</v>
      </c>
      <c r="AB1597" t="s">
        <v>11369</v>
      </c>
      <c r="AC1597">
        <v>0</v>
      </c>
      <c r="AD1597" t="s">
        <v>6322</v>
      </c>
      <c r="AE1597" t="s">
        <v>6110</v>
      </c>
      <c r="AF1597">
        <v>0</v>
      </c>
      <c r="AG1597">
        <v>2</v>
      </c>
      <c r="AH1597">
        <v>0</v>
      </c>
      <c r="AI1597">
        <v>94.78</v>
      </c>
      <c r="AM1597">
        <v>15600</v>
      </c>
      <c r="AS1597">
        <v>0.1</v>
      </c>
      <c r="AT1597" t="s">
        <v>378</v>
      </c>
      <c r="AU1597" t="s">
        <v>13111</v>
      </c>
    </row>
    <row r="1598" spans="1:48">
      <c r="A1598" s="1">
        <f>HYPERLINK("https://cms.ls-nyc.org/matter/dynamic-profile/view/1880614","18-1880614")</f>
        <v>0</v>
      </c>
      <c r="B1598" t="s">
        <v>96</v>
      </c>
      <c r="C1598" t="s">
        <v>360</v>
      </c>
      <c r="E1598" t="s">
        <v>1080</v>
      </c>
      <c r="F1598" t="s">
        <v>2536</v>
      </c>
      <c r="G1598" t="s">
        <v>4152</v>
      </c>
      <c r="H1598" t="s">
        <v>5453</v>
      </c>
      <c r="I1598" t="s">
        <v>6047</v>
      </c>
      <c r="J1598">
        <v>10456</v>
      </c>
      <c r="K1598" t="s">
        <v>6074</v>
      </c>
      <c r="L1598" t="s">
        <v>6074</v>
      </c>
      <c r="M1598" t="s">
        <v>6498</v>
      </c>
      <c r="N1598" t="s">
        <v>7279</v>
      </c>
      <c r="O1598" t="s">
        <v>7311</v>
      </c>
      <c r="Q1598" t="s">
        <v>7322</v>
      </c>
      <c r="R1598" t="s">
        <v>6074</v>
      </c>
      <c r="S1598" t="s">
        <v>7324</v>
      </c>
      <c r="U1598" t="s">
        <v>457</v>
      </c>
      <c r="V1598">
        <v>1466.39</v>
      </c>
      <c r="W1598" t="s">
        <v>7363</v>
      </c>
      <c r="X1598" t="s">
        <v>7376</v>
      </c>
      <c r="Z1598" t="s">
        <v>8028</v>
      </c>
      <c r="AB1598" t="s">
        <v>10826</v>
      </c>
      <c r="AC1598">
        <v>61</v>
      </c>
      <c r="AD1598" t="s">
        <v>12422</v>
      </c>
      <c r="AE1598" t="s">
        <v>12434</v>
      </c>
      <c r="AF1598">
        <v>18</v>
      </c>
      <c r="AG1598">
        <v>2</v>
      </c>
      <c r="AH1598">
        <v>0</v>
      </c>
      <c r="AI1598">
        <v>94.84999999999999</v>
      </c>
      <c r="AL1598" t="s">
        <v>12461</v>
      </c>
      <c r="AM1598">
        <v>15612</v>
      </c>
      <c r="AS1598">
        <v>0</v>
      </c>
      <c r="AU1598" t="s">
        <v>13092</v>
      </c>
    </row>
    <row r="1599" spans="1:48">
      <c r="A1599" s="1">
        <f>HYPERLINK("https://cms.ls-nyc.org/matter/dynamic-profile/view/1882565","18-1882565")</f>
        <v>0</v>
      </c>
      <c r="B1599" t="s">
        <v>128</v>
      </c>
      <c r="C1599" t="s">
        <v>283</v>
      </c>
      <c r="D1599" t="s">
        <v>344</v>
      </c>
      <c r="E1599" t="s">
        <v>737</v>
      </c>
      <c r="F1599" t="s">
        <v>2395</v>
      </c>
      <c r="G1599" t="s">
        <v>4265</v>
      </c>
      <c r="H1599" t="s">
        <v>5439</v>
      </c>
      <c r="I1599" t="s">
        <v>6049</v>
      </c>
      <c r="J1599">
        <v>10031</v>
      </c>
      <c r="K1599" t="s">
        <v>6074</v>
      </c>
      <c r="L1599" t="s">
        <v>6074</v>
      </c>
      <c r="N1599" t="s">
        <v>7278</v>
      </c>
      <c r="O1599" t="s">
        <v>7307</v>
      </c>
      <c r="P1599" t="s">
        <v>7315</v>
      </c>
      <c r="Q1599" t="s">
        <v>7322</v>
      </c>
      <c r="R1599" t="s">
        <v>6076</v>
      </c>
      <c r="S1599" t="s">
        <v>7324</v>
      </c>
      <c r="U1599" t="s">
        <v>283</v>
      </c>
      <c r="V1599">
        <v>1019.08</v>
      </c>
      <c r="W1599" t="s">
        <v>7365</v>
      </c>
      <c r="X1599" t="s">
        <v>7367</v>
      </c>
      <c r="Y1599" t="s">
        <v>7387</v>
      </c>
      <c r="Z1599" t="s">
        <v>8639</v>
      </c>
      <c r="AB1599" t="s">
        <v>11370</v>
      </c>
      <c r="AC1599">
        <v>33</v>
      </c>
      <c r="AD1599" t="s">
        <v>12422</v>
      </c>
      <c r="AE1599" t="s">
        <v>6110</v>
      </c>
      <c r="AF1599">
        <v>28</v>
      </c>
      <c r="AG1599">
        <v>1</v>
      </c>
      <c r="AH1599">
        <v>0</v>
      </c>
      <c r="AI1599">
        <v>94.89</v>
      </c>
      <c r="AL1599" t="s">
        <v>12461</v>
      </c>
      <c r="AM1599">
        <v>11520</v>
      </c>
      <c r="AS1599">
        <v>3.6</v>
      </c>
      <c r="AT1599" t="s">
        <v>269</v>
      </c>
      <c r="AU1599" t="s">
        <v>13106</v>
      </c>
    </row>
    <row r="1600" spans="1:48">
      <c r="A1600" s="1">
        <f>HYPERLINK("https://cms.ls-nyc.org/matter/dynamic-profile/view/1894073","19-1894073")</f>
        <v>0</v>
      </c>
      <c r="B1600" t="s">
        <v>107</v>
      </c>
      <c r="C1600" t="s">
        <v>326</v>
      </c>
      <c r="E1600" t="s">
        <v>1075</v>
      </c>
      <c r="F1600" t="s">
        <v>2174</v>
      </c>
      <c r="G1600" t="s">
        <v>3793</v>
      </c>
      <c r="H1600" t="s">
        <v>5438</v>
      </c>
      <c r="I1600" t="s">
        <v>6047</v>
      </c>
      <c r="J1600">
        <v>10453</v>
      </c>
      <c r="K1600" t="s">
        <v>6074</v>
      </c>
      <c r="L1600" t="s">
        <v>6074</v>
      </c>
      <c r="N1600" t="s">
        <v>7279</v>
      </c>
      <c r="O1600" t="s">
        <v>7311</v>
      </c>
      <c r="Q1600" t="s">
        <v>7322</v>
      </c>
      <c r="R1600" t="s">
        <v>6074</v>
      </c>
      <c r="S1600" t="s">
        <v>7324</v>
      </c>
      <c r="U1600" t="s">
        <v>457</v>
      </c>
      <c r="V1600">
        <v>0</v>
      </c>
      <c r="W1600" t="s">
        <v>7363</v>
      </c>
      <c r="X1600" t="s">
        <v>7376</v>
      </c>
      <c r="Z1600" t="s">
        <v>8640</v>
      </c>
      <c r="AB1600" t="s">
        <v>11371</v>
      </c>
      <c r="AC1600">
        <v>44</v>
      </c>
      <c r="AD1600" t="s">
        <v>12422</v>
      </c>
      <c r="AE1600" t="s">
        <v>7305</v>
      </c>
      <c r="AF1600">
        <v>13</v>
      </c>
      <c r="AG1600">
        <v>1</v>
      </c>
      <c r="AH1600">
        <v>0</v>
      </c>
      <c r="AI1600">
        <v>95.19</v>
      </c>
      <c r="AL1600" t="s">
        <v>12460</v>
      </c>
      <c r="AM1600">
        <v>11556</v>
      </c>
      <c r="AS1600">
        <v>0</v>
      </c>
      <c r="AU1600" t="s">
        <v>13095</v>
      </c>
    </row>
    <row r="1601" spans="1:48">
      <c r="A1601" s="1">
        <f>HYPERLINK("https://cms.ls-nyc.org/matter/dynamic-profile/view/1894071","19-1894071")</f>
        <v>0</v>
      </c>
      <c r="B1601" t="s">
        <v>107</v>
      </c>
      <c r="C1601" t="s">
        <v>326</v>
      </c>
      <c r="E1601" t="s">
        <v>1075</v>
      </c>
      <c r="F1601" t="s">
        <v>2174</v>
      </c>
      <c r="G1601" t="s">
        <v>3793</v>
      </c>
      <c r="H1601" t="s">
        <v>5438</v>
      </c>
      <c r="I1601" t="s">
        <v>6047</v>
      </c>
      <c r="J1601">
        <v>10453</v>
      </c>
      <c r="K1601" t="s">
        <v>6074</v>
      </c>
      <c r="L1601" t="s">
        <v>6074</v>
      </c>
      <c r="M1601" t="s">
        <v>6194</v>
      </c>
      <c r="N1601" t="s">
        <v>7273</v>
      </c>
      <c r="O1601" t="s">
        <v>7308</v>
      </c>
      <c r="Q1601" t="s">
        <v>7322</v>
      </c>
      <c r="R1601" t="s">
        <v>6074</v>
      </c>
      <c r="S1601" t="s">
        <v>7324</v>
      </c>
      <c r="U1601" t="s">
        <v>457</v>
      </c>
      <c r="V1601">
        <v>0</v>
      </c>
      <c r="W1601" t="s">
        <v>7363</v>
      </c>
      <c r="X1601" t="s">
        <v>7376</v>
      </c>
      <c r="Z1601" t="s">
        <v>8640</v>
      </c>
      <c r="AB1601" t="s">
        <v>11371</v>
      </c>
      <c r="AC1601">
        <v>44</v>
      </c>
      <c r="AD1601" t="s">
        <v>12422</v>
      </c>
      <c r="AE1601" t="s">
        <v>7305</v>
      </c>
      <c r="AF1601">
        <v>13</v>
      </c>
      <c r="AG1601">
        <v>1</v>
      </c>
      <c r="AH1601">
        <v>0</v>
      </c>
      <c r="AI1601">
        <v>95.19</v>
      </c>
      <c r="AL1601" t="s">
        <v>12460</v>
      </c>
      <c r="AM1601">
        <v>11556</v>
      </c>
      <c r="AS1601">
        <v>0</v>
      </c>
      <c r="AU1601" t="s">
        <v>13095</v>
      </c>
    </row>
    <row r="1602" spans="1:48">
      <c r="A1602" s="1">
        <f>HYPERLINK("https://cms.ls-nyc.org/matter/dynamic-profile/view/1894068","18-1894068")</f>
        <v>0</v>
      </c>
      <c r="B1602" t="s">
        <v>112</v>
      </c>
      <c r="C1602" t="s">
        <v>326</v>
      </c>
      <c r="E1602" t="s">
        <v>1075</v>
      </c>
      <c r="F1602" t="s">
        <v>2174</v>
      </c>
      <c r="G1602" t="s">
        <v>3793</v>
      </c>
      <c r="H1602" t="s">
        <v>5438</v>
      </c>
      <c r="I1602" t="s">
        <v>6047</v>
      </c>
      <c r="J1602">
        <v>10453</v>
      </c>
      <c r="K1602" t="s">
        <v>6074</v>
      </c>
      <c r="L1602" t="s">
        <v>6074</v>
      </c>
      <c r="N1602" t="s">
        <v>6104</v>
      </c>
      <c r="O1602" t="s">
        <v>7309</v>
      </c>
      <c r="Q1602" t="s">
        <v>7322</v>
      </c>
      <c r="R1602" t="s">
        <v>6074</v>
      </c>
      <c r="S1602" t="s">
        <v>7324</v>
      </c>
      <c r="U1602" t="s">
        <v>457</v>
      </c>
      <c r="V1602">
        <v>0</v>
      </c>
      <c r="W1602" t="s">
        <v>7363</v>
      </c>
      <c r="X1602" t="s">
        <v>7376</v>
      </c>
      <c r="Z1602" t="s">
        <v>8640</v>
      </c>
      <c r="AB1602" t="s">
        <v>11371</v>
      </c>
      <c r="AC1602">
        <v>44</v>
      </c>
      <c r="AD1602" t="s">
        <v>12422</v>
      </c>
      <c r="AE1602" t="s">
        <v>7305</v>
      </c>
      <c r="AF1602">
        <v>13</v>
      </c>
      <c r="AG1602">
        <v>1</v>
      </c>
      <c r="AH1602">
        <v>0</v>
      </c>
      <c r="AI1602">
        <v>95.19</v>
      </c>
      <c r="AL1602" t="s">
        <v>12460</v>
      </c>
      <c r="AM1602">
        <v>11556</v>
      </c>
      <c r="AS1602">
        <v>0</v>
      </c>
      <c r="AU1602" t="s">
        <v>13095</v>
      </c>
    </row>
    <row r="1603" spans="1:48">
      <c r="A1603" s="1">
        <f>HYPERLINK("https://cms.ls-nyc.org/matter/dynamic-profile/view/1880927","18-1880927")</f>
        <v>0</v>
      </c>
      <c r="B1603" t="s">
        <v>96</v>
      </c>
      <c r="C1603" t="s">
        <v>258</v>
      </c>
      <c r="E1603" t="s">
        <v>767</v>
      </c>
      <c r="F1603" t="s">
        <v>2911</v>
      </c>
      <c r="G1603" t="s">
        <v>4624</v>
      </c>
      <c r="H1603" t="s">
        <v>5417</v>
      </c>
      <c r="I1603" t="s">
        <v>6047</v>
      </c>
      <c r="J1603">
        <v>10453</v>
      </c>
      <c r="K1603" t="s">
        <v>6074</v>
      </c>
      <c r="L1603" t="s">
        <v>6074</v>
      </c>
      <c r="N1603" t="s">
        <v>7278</v>
      </c>
      <c r="O1603" t="s">
        <v>7306</v>
      </c>
      <c r="Q1603" t="s">
        <v>7322</v>
      </c>
      <c r="S1603" t="s">
        <v>7324</v>
      </c>
      <c r="U1603" t="s">
        <v>389</v>
      </c>
      <c r="V1603">
        <v>1335.48</v>
      </c>
      <c r="W1603" t="s">
        <v>7363</v>
      </c>
      <c r="X1603" t="s">
        <v>7376</v>
      </c>
      <c r="Z1603" t="s">
        <v>8641</v>
      </c>
      <c r="AB1603" t="s">
        <v>11372</v>
      </c>
      <c r="AC1603">
        <v>0</v>
      </c>
      <c r="AD1603" t="s">
        <v>12422</v>
      </c>
      <c r="AF1603">
        <v>0</v>
      </c>
      <c r="AG1603">
        <v>3</v>
      </c>
      <c r="AH1603">
        <v>0</v>
      </c>
      <c r="AI1603">
        <v>95.28</v>
      </c>
      <c r="AL1603" t="s">
        <v>12461</v>
      </c>
      <c r="AM1603">
        <v>19800</v>
      </c>
      <c r="AS1603">
        <v>0.1</v>
      </c>
      <c r="AT1603" t="s">
        <v>389</v>
      </c>
      <c r="AU1603" t="s">
        <v>99</v>
      </c>
    </row>
    <row r="1604" spans="1:48">
      <c r="A1604" s="1">
        <f>HYPERLINK("https://cms.ls-nyc.org/matter/dynamic-profile/view/1884045","18-1884045")</f>
        <v>0</v>
      </c>
      <c r="B1604" t="s">
        <v>98</v>
      </c>
      <c r="C1604" t="s">
        <v>412</v>
      </c>
      <c r="D1604" t="s">
        <v>247</v>
      </c>
      <c r="E1604" t="s">
        <v>1438</v>
      </c>
      <c r="F1604" t="s">
        <v>2059</v>
      </c>
      <c r="G1604" t="s">
        <v>4625</v>
      </c>
      <c r="H1604" t="s">
        <v>5378</v>
      </c>
      <c r="I1604" t="s">
        <v>6047</v>
      </c>
      <c r="J1604">
        <v>10468</v>
      </c>
      <c r="K1604" t="s">
        <v>6074</v>
      </c>
      <c r="L1604" t="s">
        <v>6074</v>
      </c>
      <c r="N1604" t="s">
        <v>7279</v>
      </c>
      <c r="O1604" t="s">
        <v>7307</v>
      </c>
      <c r="P1604" t="s">
        <v>7315</v>
      </c>
      <c r="Q1604" t="s">
        <v>7322</v>
      </c>
      <c r="R1604" t="s">
        <v>6076</v>
      </c>
      <c r="S1604" t="s">
        <v>7324</v>
      </c>
      <c r="U1604" t="s">
        <v>412</v>
      </c>
      <c r="V1604">
        <v>1500</v>
      </c>
      <c r="W1604" t="s">
        <v>7363</v>
      </c>
      <c r="X1604" t="s">
        <v>7376</v>
      </c>
      <c r="Y1604" t="s">
        <v>7386</v>
      </c>
      <c r="Z1604" t="s">
        <v>8642</v>
      </c>
      <c r="AB1604" t="s">
        <v>11373</v>
      </c>
      <c r="AC1604">
        <v>50</v>
      </c>
      <c r="AD1604" t="s">
        <v>6322</v>
      </c>
      <c r="AE1604" t="s">
        <v>6110</v>
      </c>
      <c r="AF1604">
        <v>15</v>
      </c>
      <c r="AG1604">
        <v>2</v>
      </c>
      <c r="AH1604">
        <v>0</v>
      </c>
      <c r="AI1604">
        <v>95.41</v>
      </c>
      <c r="AL1604" t="s">
        <v>12461</v>
      </c>
      <c r="AM1604">
        <v>15704</v>
      </c>
      <c r="AS1604">
        <v>1.8</v>
      </c>
      <c r="AT1604" t="s">
        <v>247</v>
      </c>
      <c r="AU1604" t="s">
        <v>13092</v>
      </c>
    </row>
    <row r="1605" spans="1:48">
      <c r="A1605" s="1">
        <f>HYPERLINK("https://cms.ls-nyc.org/matter/dynamic-profile/view/1884681","18-1884681")</f>
        <v>0</v>
      </c>
      <c r="B1605" t="s">
        <v>109</v>
      </c>
      <c r="C1605" t="s">
        <v>413</v>
      </c>
      <c r="E1605" t="s">
        <v>1425</v>
      </c>
      <c r="F1605" t="s">
        <v>2899</v>
      </c>
      <c r="G1605" t="s">
        <v>3927</v>
      </c>
      <c r="H1605" t="s">
        <v>5418</v>
      </c>
      <c r="I1605" t="s">
        <v>6047</v>
      </c>
      <c r="J1605">
        <v>10452</v>
      </c>
      <c r="K1605" t="s">
        <v>6074</v>
      </c>
      <c r="L1605" t="s">
        <v>6074</v>
      </c>
      <c r="M1605" t="s">
        <v>6658</v>
      </c>
      <c r="N1605" t="s">
        <v>7273</v>
      </c>
      <c r="O1605" t="s">
        <v>7308</v>
      </c>
      <c r="Q1605" t="s">
        <v>7322</v>
      </c>
      <c r="R1605" t="s">
        <v>6074</v>
      </c>
      <c r="S1605" t="s">
        <v>7324</v>
      </c>
      <c r="U1605" t="s">
        <v>472</v>
      </c>
      <c r="V1605">
        <v>1024.89</v>
      </c>
      <c r="W1605" t="s">
        <v>7363</v>
      </c>
      <c r="X1605" t="s">
        <v>7376</v>
      </c>
      <c r="Z1605" t="s">
        <v>8617</v>
      </c>
      <c r="AC1605">
        <v>41</v>
      </c>
      <c r="AD1605" t="s">
        <v>12422</v>
      </c>
      <c r="AE1605" t="s">
        <v>7305</v>
      </c>
      <c r="AF1605">
        <v>12</v>
      </c>
      <c r="AG1605">
        <v>1</v>
      </c>
      <c r="AH1605">
        <v>0</v>
      </c>
      <c r="AI1605">
        <v>95.58</v>
      </c>
      <c r="AL1605" t="s">
        <v>12461</v>
      </c>
      <c r="AM1605">
        <v>11604</v>
      </c>
      <c r="AN1605" t="s">
        <v>12634</v>
      </c>
      <c r="AS1605">
        <v>1</v>
      </c>
      <c r="AT1605" t="s">
        <v>329</v>
      </c>
      <c r="AU1605" t="s">
        <v>13092</v>
      </c>
    </row>
    <row r="1606" spans="1:48">
      <c r="A1606" s="1">
        <f>HYPERLINK("https://cms.ls-nyc.org/matter/dynamic-profile/view/1895666","19-1895666")</f>
        <v>0</v>
      </c>
      <c r="B1606" t="s">
        <v>120</v>
      </c>
      <c r="C1606" t="s">
        <v>417</v>
      </c>
      <c r="E1606" t="s">
        <v>1439</v>
      </c>
      <c r="F1606" t="s">
        <v>2912</v>
      </c>
      <c r="G1606" t="s">
        <v>3817</v>
      </c>
      <c r="H1606" t="s">
        <v>5435</v>
      </c>
      <c r="I1606" t="s">
        <v>6048</v>
      </c>
      <c r="J1606">
        <v>10304</v>
      </c>
      <c r="K1606" t="s">
        <v>6074</v>
      </c>
      <c r="L1606" t="s">
        <v>6075</v>
      </c>
      <c r="M1606" t="s">
        <v>6754</v>
      </c>
      <c r="N1606" t="s">
        <v>7276</v>
      </c>
      <c r="O1606" t="s">
        <v>7308</v>
      </c>
      <c r="Q1606" t="s">
        <v>7322</v>
      </c>
      <c r="R1606" t="s">
        <v>6076</v>
      </c>
      <c r="S1606" t="s">
        <v>7331</v>
      </c>
      <c r="T1606" t="s">
        <v>7336</v>
      </c>
      <c r="U1606" t="s">
        <v>417</v>
      </c>
      <c r="V1606">
        <v>1400</v>
      </c>
      <c r="W1606" t="s">
        <v>7364</v>
      </c>
      <c r="X1606" t="s">
        <v>7305</v>
      </c>
      <c r="Z1606" t="s">
        <v>8643</v>
      </c>
      <c r="AB1606" t="s">
        <v>11374</v>
      </c>
      <c r="AC1606">
        <v>0</v>
      </c>
      <c r="AD1606" t="s">
        <v>12420</v>
      </c>
      <c r="AE1606" t="s">
        <v>12434</v>
      </c>
      <c r="AF1606">
        <v>6</v>
      </c>
      <c r="AG1606">
        <v>1</v>
      </c>
      <c r="AH1606">
        <v>4</v>
      </c>
      <c r="AI1606">
        <v>95.66</v>
      </c>
      <c r="AL1606" t="s">
        <v>12460</v>
      </c>
      <c r="AM1606">
        <v>28860</v>
      </c>
      <c r="AS1606">
        <v>7.6</v>
      </c>
      <c r="AT1606" t="s">
        <v>324</v>
      </c>
      <c r="AU1606" t="s">
        <v>13101</v>
      </c>
      <c r="AV1606" t="s">
        <v>13145</v>
      </c>
    </row>
    <row r="1607" spans="1:48">
      <c r="A1607" s="1">
        <f>HYPERLINK("https://cms.ls-nyc.org/matter/dynamic-profile/view/0796053","16-0796053")</f>
        <v>0</v>
      </c>
      <c r="B1607" t="s">
        <v>104</v>
      </c>
      <c r="C1607" t="s">
        <v>506</v>
      </c>
      <c r="E1607" t="s">
        <v>861</v>
      </c>
      <c r="F1607" t="s">
        <v>2913</v>
      </c>
      <c r="G1607" t="s">
        <v>4161</v>
      </c>
      <c r="H1607" t="s">
        <v>5653</v>
      </c>
      <c r="I1607" t="s">
        <v>6047</v>
      </c>
      <c r="J1607">
        <v>10452</v>
      </c>
      <c r="K1607" t="s">
        <v>6074</v>
      </c>
      <c r="L1607" t="s">
        <v>6074</v>
      </c>
      <c r="M1607" t="s">
        <v>6455</v>
      </c>
      <c r="N1607" t="s">
        <v>7285</v>
      </c>
      <c r="O1607" t="s">
        <v>7311</v>
      </c>
      <c r="Q1607" t="s">
        <v>7322</v>
      </c>
      <c r="R1607" t="s">
        <v>6074</v>
      </c>
      <c r="S1607" t="s">
        <v>7324</v>
      </c>
      <c r="U1607" t="s">
        <v>7344</v>
      </c>
      <c r="V1607">
        <v>1088.6</v>
      </c>
      <c r="W1607" t="s">
        <v>7363</v>
      </c>
      <c r="X1607" t="s">
        <v>7376</v>
      </c>
      <c r="Z1607" t="s">
        <v>8644</v>
      </c>
      <c r="AB1607" t="s">
        <v>11375</v>
      </c>
      <c r="AC1607">
        <v>122</v>
      </c>
      <c r="AD1607" t="s">
        <v>12422</v>
      </c>
      <c r="AE1607" t="s">
        <v>6110</v>
      </c>
      <c r="AF1607">
        <v>3</v>
      </c>
      <c r="AG1607">
        <v>2</v>
      </c>
      <c r="AH1607">
        <v>4</v>
      </c>
      <c r="AI1607">
        <v>95.79000000000001</v>
      </c>
      <c r="AL1607" t="s">
        <v>12460</v>
      </c>
      <c r="AM1607">
        <v>31200</v>
      </c>
      <c r="AN1607" t="s">
        <v>12635</v>
      </c>
      <c r="AS1607">
        <v>2.85</v>
      </c>
      <c r="AT1607" t="s">
        <v>360</v>
      </c>
      <c r="AU1607" t="s">
        <v>13135</v>
      </c>
    </row>
    <row r="1608" spans="1:48">
      <c r="A1608" s="1">
        <f>HYPERLINK("https://cms.ls-nyc.org/matter/dynamic-profile/view/1897154","19-1897154")</f>
        <v>0</v>
      </c>
      <c r="B1608" t="s">
        <v>72</v>
      </c>
      <c r="C1608" t="s">
        <v>279</v>
      </c>
      <c r="E1608" t="s">
        <v>1440</v>
      </c>
      <c r="F1608" t="s">
        <v>2514</v>
      </c>
      <c r="G1608" t="s">
        <v>3700</v>
      </c>
      <c r="H1608" t="s">
        <v>5555</v>
      </c>
      <c r="I1608" t="s">
        <v>6043</v>
      </c>
      <c r="J1608">
        <v>11233</v>
      </c>
      <c r="K1608" t="s">
        <v>6074</v>
      </c>
      <c r="L1608" t="s">
        <v>6076</v>
      </c>
      <c r="N1608" t="s">
        <v>7279</v>
      </c>
      <c r="O1608" t="s">
        <v>7311</v>
      </c>
      <c r="Q1608" t="s">
        <v>7322</v>
      </c>
      <c r="R1608" t="s">
        <v>6074</v>
      </c>
      <c r="S1608" t="s">
        <v>7324</v>
      </c>
      <c r="T1608" t="s">
        <v>7336</v>
      </c>
      <c r="U1608" t="s">
        <v>330</v>
      </c>
      <c r="V1608">
        <v>1100</v>
      </c>
      <c r="W1608" t="s">
        <v>7362</v>
      </c>
      <c r="X1608" t="s">
        <v>7305</v>
      </c>
      <c r="Z1608" t="s">
        <v>8645</v>
      </c>
      <c r="AC1608">
        <v>359</v>
      </c>
      <c r="AD1608" t="s">
        <v>12422</v>
      </c>
      <c r="AE1608" t="s">
        <v>6110</v>
      </c>
      <c r="AF1608">
        <v>32</v>
      </c>
      <c r="AG1608">
        <v>1</v>
      </c>
      <c r="AH1608">
        <v>1</v>
      </c>
      <c r="AI1608">
        <v>95.8</v>
      </c>
      <c r="AL1608" t="s">
        <v>12460</v>
      </c>
      <c r="AM1608">
        <v>16200</v>
      </c>
      <c r="AN1608" t="s">
        <v>12488</v>
      </c>
      <c r="AS1608">
        <v>0</v>
      </c>
      <c r="AU1608" t="s">
        <v>180</v>
      </c>
    </row>
    <row r="1609" spans="1:48">
      <c r="A1609" s="1">
        <f>HYPERLINK("https://cms.ls-nyc.org/matter/dynamic-profile/view/1897159","19-1897159")</f>
        <v>0</v>
      </c>
      <c r="B1609" t="s">
        <v>72</v>
      </c>
      <c r="C1609" t="s">
        <v>279</v>
      </c>
      <c r="E1609" t="s">
        <v>1440</v>
      </c>
      <c r="F1609" t="s">
        <v>2514</v>
      </c>
      <c r="G1609" t="s">
        <v>3700</v>
      </c>
      <c r="H1609" t="s">
        <v>5555</v>
      </c>
      <c r="I1609" t="s">
        <v>6043</v>
      </c>
      <c r="J1609">
        <v>11233</v>
      </c>
      <c r="K1609" t="s">
        <v>6074</v>
      </c>
      <c r="L1609" t="s">
        <v>6076</v>
      </c>
      <c r="N1609" t="s">
        <v>7275</v>
      </c>
      <c r="O1609" t="s">
        <v>7307</v>
      </c>
      <c r="Q1609" t="s">
        <v>7322</v>
      </c>
      <c r="R1609" t="s">
        <v>6074</v>
      </c>
      <c r="S1609" t="s">
        <v>7324</v>
      </c>
      <c r="T1609" t="s">
        <v>7336</v>
      </c>
      <c r="U1609" t="s">
        <v>287</v>
      </c>
      <c r="V1609">
        <v>1100</v>
      </c>
      <c r="W1609" t="s">
        <v>7362</v>
      </c>
      <c r="X1609" t="s">
        <v>7305</v>
      </c>
      <c r="Z1609" t="s">
        <v>8645</v>
      </c>
      <c r="AC1609">
        <v>359</v>
      </c>
      <c r="AD1609" t="s">
        <v>12422</v>
      </c>
      <c r="AE1609" t="s">
        <v>6110</v>
      </c>
      <c r="AF1609">
        <v>32</v>
      </c>
      <c r="AG1609">
        <v>1</v>
      </c>
      <c r="AH1609">
        <v>1</v>
      </c>
      <c r="AI1609">
        <v>95.8</v>
      </c>
      <c r="AL1609" t="s">
        <v>12460</v>
      </c>
      <c r="AM1609">
        <v>16200</v>
      </c>
      <c r="AN1609" t="s">
        <v>12636</v>
      </c>
      <c r="AS1609">
        <v>0</v>
      </c>
      <c r="AU1609" t="s">
        <v>180</v>
      </c>
    </row>
    <row r="1610" spans="1:48">
      <c r="A1610" s="1">
        <f>HYPERLINK("https://cms.ls-nyc.org/matter/dynamic-profile/view/1890123","19-1890123")</f>
        <v>0</v>
      </c>
      <c r="B1610" t="s">
        <v>97</v>
      </c>
      <c r="C1610" t="s">
        <v>477</v>
      </c>
      <c r="D1610" t="s">
        <v>356</v>
      </c>
      <c r="E1610" t="s">
        <v>1277</v>
      </c>
      <c r="F1610" t="s">
        <v>2914</v>
      </c>
      <c r="G1610" t="s">
        <v>4626</v>
      </c>
      <c r="H1610" t="s">
        <v>5686</v>
      </c>
      <c r="I1610" t="s">
        <v>6047</v>
      </c>
      <c r="J1610">
        <v>10453</v>
      </c>
      <c r="K1610" t="s">
        <v>6074</v>
      </c>
      <c r="L1610" t="s">
        <v>6074</v>
      </c>
      <c r="N1610" t="s">
        <v>6104</v>
      </c>
      <c r="O1610" t="s">
        <v>7306</v>
      </c>
      <c r="P1610" t="s">
        <v>7314</v>
      </c>
      <c r="Q1610" t="s">
        <v>7322</v>
      </c>
      <c r="R1610" t="s">
        <v>6076</v>
      </c>
      <c r="S1610" t="s">
        <v>7324</v>
      </c>
      <c r="U1610" t="s">
        <v>251</v>
      </c>
      <c r="V1610">
        <v>986.5</v>
      </c>
      <c r="W1610" t="s">
        <v>7363</v>
      </c>
      <c r="X1610" t="s">
        <v>7376</v>
      </c>
      <c r="Y1610" t="s">
        <v>7386</v>
      </c>
      <c r="Z1610" t="s">
        <v>8646</v>
      </c>
      <c r="AB1610" t="s">
        <v>11376</v>
      </c>
      <c r="AC1610">
        <v>71</v>
      </c>
      <c r="AD1610" t="s">
        <v>12422</v>
      </c>
      <c r="AE1610" t="s">
        <v>6110</v>
      </c>
      <c r="AF1610">
        <v>34</v>
      </c>
      <c r="AG1610">
        <v>2</v>
      </c>
      <c r="AH1610">
        <v>0</v>
      </c>
      <c r="AI1610">
        <v>95.8</v>
      </c>
      <c r="AL1610" t="s">
        <v>12461</v>
      </c>
      <c r="AM1610">
        <v>16200</v>
      </c>
      <c r="AS1610">
        <v>1.7</v>
      </c>
      <c r="AT1610" t="s">
        <v>356</v>
      </c>
      <c r="AU1610" t="s">
        <v>13090</v>
      </c>
    </row>
    <row r="1611" spans="1:48">
      <c r="A1611" s="1">
        <f>HYPERLINK("https://cms.ls-nyc.org/matter/dynamic-profile/view/1900989","19-1900989")</f>
        <v>0</v>
      </c>
      <c r="B1611" t="s">
        <v>120</v>
      </c>
      <c r="C1611" t="s">
        <v>382</v>
      </c>
      <c r="E1611" t="s">
        <v>961</v>
      </c>
      <c r="F1611" t="s">
        <v>2915</v>
      </c>
      <c r="G1611" t="s">
        <v>4627</v>
      </c>
      <c r="I1611" t="s">
        <v>6048</v>
      </c>
      <c r="J1611">
        <v>10314</v>
      </c>
      <c r="K1611" t="s">
        <v>6074</v>
      </c>
      <c r="L1611" t="s">
        <v>6075</v>
      </c>
      <c r="N1611" t="s">
        <v>6104</v>
      </c>
      <c r="O1611" t="s">
        <v>7310</v>
      </c>
      <c r="Q1611" t="s">
        <v>7323</v>
      </c>
      <c r="R1611" t="s">
        <v>6076</v>
      </c>
      <c r="S1611" t="s">
        <v>7324</v>
      </c>
      <c r="T1611" t="s">
        <v>7336</v>
      </c>
      <c r="U1611" t="s">
        <v>382</v>
      </c>
      <c r="V1611">
        <v>0</v>
      </c>
      <c r="W1611" t="s">
        <v>7364</v>
      </c>
      <c r="X1611" t="s">
        <v>7369</v>
      </c>
      <c r="Z1611" t="s">
        <v>8647</v>
      </c>
      <c r="AB1611" t="s">
        <v>11377</v>
      </c>
      <c r="AC1611">
        <v>0</v>
      </c>
      <c r="AF1611">
        <v>3</v>
      </c>
      <c r="AG1611">
        <v>1</v>
      </c>
      <c r="AH1611">
        <v>2</v>
      </c>
      <c r="AI1611">
        <v>95.81</v>
      </c>
      <c r="AL1611" t="s">
        <v>12460</v>
      </c>
      <c r="AM1611">
        <v>20436</v>
      </c>
      <c r="AS1611">
        <v>2</v>
      </c>
      <c r="AT1611" t="s">
        <v>382</v>
      </c>
      <c r="AU1611" t="s">
        <v>120</v>
      </c>
    </row>
    <row r="1612" spans="1:48">
      <c r="A1612" s="1">
        <f>HYPERLINK("https://cms.ls-nyc.org/matter/dynamic-profile/view/1874329","18-1874329")</f>
        <v>0</v>
      </c>
      <c r="B1612" t="s">
        <v>139</v>
      </c>
      <c r="C1612" t="s">
        <v>471</v>
      </c>
      <c r="D1612" t="s">
        <v>290</v>
      </c>
      <c r="E1612" t="s">
        <v>1441</v>
      </c>
      <c r="F1612" t="s">
        <v>2084</v>
      </c>
      <c r="G1612" t="s">
        <v>4512</v>
      </c>
      <c r="H1612" t="s">
        <v>5598</v>
      </c>
      <c r="I1612" t="s">
        <v>6049</v>
      </c>
      <c r="J1612">
        <v>10040</v>
      </c>
      <c r="K1612" t="s">
        <v>6074</v>
      </c>
      <c r="L1612" t="s">
        <v>6074</v>
      </c>
      <c r="N1612" t="s">
        <v>7275</v>
      </c>
      <c r="O1612" t="s">
        <v>7306</v>
      </c>
      <c r="P1612" t="s">
        <v>7314</v>
      </c>
      <c r="Q1612" t="s">
        <v>7322</v>
      </c>
      <c r="R1612" t="s">
        <v>6076</v>
      </c>
      <c r="S1612" t="s">
        <v>7324</v>
      </c>
      <c r="U1612" t="s">
        <v>471</v>
      </c>
      <c r="V1612">
        <v>1023.42</v>
      </c>
      <c r="W1612" t="s">
        <v>7365</v>
      </c>
      <c r="X1612" t="s">
        <v>7367</v>
      </c>
      <c r="Y1612" t="s">
        <v>7386</v>
      </c>
      <c r="Z1612" t="s">
        <v>8648</v>
      </c>
      <c r="AB1612" t="s">
        <v>11378</v>
      </c>
      <c r="AC1612">
        <v>185</v>
      </c>
      <c r="AD1612" t="s">
        <v>12422</v>
      </c>
      <c r="AE1612" t="s">
        <v>6110</v>
      </c>
      <c r="AF1612">
        <v>21</v>
      </c>
      <c r="AG1612">
        <v>2</v>
      </c>
      <c r="AH1612">
        <v>0</v>
      </c>
      <c r="AI1612">
        <v>95.81999999999999</v>
      </c>
      <c r="AL1612" t="s">
        <v>12461</v>
      </c>
      <c r="AM1612">
        <v>15772</v>
      </c>
      <c r="AS1612">
        <v>3.5</v>
      </c>
      <c r="AT1612" t="s">
        <v>238</v>
      </c>
      <c r="AU1612" t="s">
        <v>13106</v>
      </c>
    </row>
    <row r="1613" spans="1:48">
      <c r="A1613" s="1">
        <f>HYPERLINK("https://cms.ls-nyc.org/matter/dynamic-profile/view/1872575","18-1872575")</f>
        <v>0</v>
      </c>
      <c r="B1613" t="s">
        <v>103</v>
      </c>
      <c r="C1613" t="s">
        <v>242</v>
      </c>
      <c r="E1613" t="s">
        <v>1442</v>
      </c>
      <c r="F1613" t="s">
        <v>2916</v>
      </c>
      <c r="G1613" t="s">
        <v>4628</v>
      </c>
      <c r="H1613" t="s">
        <v>5369</v>
      </c>
      <c r="I1613" t="s">
        <v>6047</v>
      </c>
      <c r="J1613">
        <v>10463</v>
      </c>
      <c r="K1613" t="s">
        <v>6074</v>
      </c>
      <c r="L1613" t="s">
        <v>6074</v>
      </c>
      <c r="M1613" t="s">
        <v>6755</v>
      </c>
      <c r="N1613" t="s">
        <v>7274</v>
      </c>
      <c r="O1613" t="s">
        <v>7308</v>
      </c>
      <c r="Q1613" t="s">
        <v>7322</v>
      </c>
      <c r="S1613" t="s">
        <v>7324</v>
      </c>
      <c r="U1613" t="s">
        <v>502</v>
      </c>
      <c r="V1613">
        <v>0</v>
      </c>
      <c r="W1613" t="s">
        <v>7363</v>
      </c>
      <c r="Z1613" t="s">
        <v>8649</v>
      </c>
      <c r="AB1613" t="s">
        <v>9856</v>
      </c>
      <c r="AC1613">
        <v>145</v>
      </c>
      <c r="AF1613">
        <v>0</v>
      </c>
      <c r="AG1613">
        <v>1</v>
      </c>
      <c r="AH1613">
        <v>0</v>
      </c>
      <c r="AI1613">
        <v>95.98</v>
      </c>
      <c r="AL1613" t="s">
        <v>12461</v>
      </c>
      <c r="AM1613">
        <v>11652</v>
      </c>
      <c r="AS1613">
        <v>15.5</v>
      </c>
      <c r="AT1613" t="s">
        <v>421</v>
      </c>
      <c r="AU1613" t="s">
        <v>13095</v>
      </c>
    </row>
    <row r="1614" spans="1:48">
      <c r="A1614" s="1">
        <f>HYPERLINK("https://cms.ls-nyc.org/matter/dynamic-profile/view/1899922","19-1899922")</f>
        <v>0</v>
      </c>
      <c r="B1614" t="s">
        <v>117</v>
      </c>
      <c r="C1614" t="s">
        <v>501</v>
      </c>
      <c r="E1614" t="s">
        <v>1443</v>
      </c>
      <c r="F1614" t="s">
        <v>2917</v>
      </c>
      <c r="G1614" t="s">
        <v>4629</v>
      </c>
      <c r="H1614" t="s">
        <v>5350</v>
      </c>
      <c r="I1614" t="s">
        <v>6048</v>
      </c>
      <c r="J1614">
        <v>10301</v>
      </c>
      <c r="K1614" t="s">
        <v>6074</v>
      </c>
      <c r="L1614" t="s">
        <v>6075</v>
      </c>
      <c r="M1614" t="s">
        <v>6756</v>
      </c>
      <c r="N1614" t="s">
        <v>7274</v>
      </c>
      <c r="O1614" t="s">
        <v>7308</v>
      </c>
      <c r="Q1614" t="s">
        <v>7322</v>
      </c>
      <c r="R1614" t="s">
        <v>6076</v>
      </c>
      <c r="S1614" t="s">
        <v>7324</v>
      </c>
      <c r="T1614" t="s">
        <v>7336</v>
      </c>
      <c r="U1614" t="s">
        <v>501</v>
      </c>
      <c r="V1614">
        <v>3200</v>
      </c>
      <c r="W1614" t="s">
        <v>7364</v>
      </c>
      <c r="X1614" t="s">
        <v>7373</v>
      </c>
      <c r="Z1614" t="s">
        <v>8650</v>
      </c>
      <c r="AB1614" t="s">
        <v>11379</v>
      </c>
      <c r="AC1614">
        <v>2</v>
      </c>
      <c r="AD1614" t="s">
        <v>12419</v>
      </c>
      <c r="AE1614" t="s">
        <v>6110</v>
      </c>
      <c r="AF1614">
        <v>2</v>
      </c>
      <c r="AG1614">
        <v>5</v>
      </c>
      <c r="AH1614">
        <v>2</v>
      </c>
      <c r="AI1614">
        <v>95.98</v>
      </c>
      <c r="AL1614" t="s">
        <v>12460</v>
      </c>
      <c r="AM1614">
        <v>37440</v>
      </c>
      <c r="AS1614">
        <v>3.7</v>
      </c>
      <c r="AT1614" t="s">
        <v>324</v>
      </c>
      <c r="AU1614" t="s">
        <v>13101</v>
      </c>
      <c r="AV1614" t="s">
        <v>13145</v>
      </c>
    </row>
    <row r="1615" spans="1:48">
      <c r="A1615" s="1">
        <f>HYPERLINK("https://cms.ls-nyc.org/matter/dynamic-profile/view/1857086","18-1857086")</f>
        <v>0</v>
      </c>
      <c r="B1615" t="s">
        <v>104</v>
      </c>
      <c r="C1615" t="s">
        <v>507</v>
      </c>
      <c r="E1615" t="s">
        <v>665</v>
      </c>
      <c r="F1615" t="s">
        <v>2918</v>
      </c>
      <c r="G1615" t="s">
        <v>4161</v>
      </c>
      <c r="I1615" t="s">
        <v>6047</v>
      </c>
      <c r="J1615">
        <v>10452</v>
      </c>
      <c r="K1615" t="s">
        <v>6074</v>
      </c>
      <c r="L1615" t="s">
        <v>6075</v>
      </c>
      <c r="M1615" t="s">
        <v>6455</v>
      </c>
      <c r="N1615" t="s">
        <v>7285</v>
      </c>
      <c r="O1615" t="s">
        <v>7311</v>
      </c>
      <c r="Q1615" t="s">
        <v>7322</v>
      </c>
      <c r="R1615" t="s">
        <v>6074</v>
      </c>
      <c r="S1615" t="s">
        <v>7324</v>
      </c>
      <c r="U1615" t="s">
        <v>7344</v>
      </c>
      <c r="V1615">
        <v>699</v>
      </c>
      <c r="W1615" t="s">
        <v>7363</v>
      </c>
      <c r="X1615" t="s">
        <v>7376</v>
      </c>
      <c r="Z1615" t="s">
        <v>8651</v>
      </c>
      <c r="AB1615" t="s">
        <v>11380</v>
      </c>
      <c r="AC1615">
        <v>122</v>
      </c>
      <c r="AD1615" t="s">
        <v>12422</v>
      </c>
      <c r="AE1615" t="s">
        <v>6110</v>
      </c>
      <c r="AF1615">
        <v>19</v>
      </c>
      <c r="AG1615">
        <v>2</v>
      </c>
      <c r="AH1615">
        <v>0</v>
      </c>
      <c r="AI1615">
        <v>96.06</v>
      </c>
      <c r="AL1615" t="s">
        <v>12461</v>
      </c>
      <c r="AM1615">
        <v>15600</v>
      </c>
      <c r="AN1615" t="s">
        <v>12584</v>
      </c>
      <c r="AS1615">
        <v>0</v>
      </c>
      <c r="AU1615" t="s">
        <v>13099</v>
      </c>
    </row>
    <row r="1616" spans="1:48">
      <c r="A1616" s="1">
        <f>HYPERLINK("https://cms.ls-nyc.org/matter/dynamic-profile/view/1892728","19-1892728")</f>
        <v>0</v>
      </c>
      <c r="B1616" t="s">
        <v>52</v>
      </c>
      <c r="C1616" t="s">
        <v>395</v>
      </c>
      <c r="D1616" t="s">
        <v>332</v>
      </c>
      <c r="E1616" t="s">
        <v>1444</v>
      </c>
      <c r="F1616" t="s">
        <v>2919</v>
      </c>
      <c r="G1616" t="s">
        <v>4630</v>
      </c>
      <c r="H1616" t="s">
        <v>5663</v>
      </c>
      <c r="I1616" t="s">
        <v>6026</v>
      </c>
      <c r="J1616">
        <v>11432</v>
      </c>
      <c r="K1616" t="s">
        <v>6074</v>
      </c>
      <c r="L1616" t="s">
        <v>6074</v>
      </c>
      <c r="N1616" t="s">
        <v>6104</v>
      </c>
      <c r="O1616" t="s">
        <v>7306</v>
      </c>
      <c r="P1616" t="s">
        <v>7314</v>
      </c>
      <c r="Q1616" t="s">
        <v>7323</v>
      </c>
      <c r="R1616" t="s">
        <v>6076</v>
      </c>
      <c r="S1616" t="s">
        <v>7326</v>
      </c>
      <c r="T1616" t="s">
        <v>7336</v>
      </c>
      <c r="U1616" t="s">
        <v>395</v>
      </c>
      <c r="V1616">
        <v>0</v>
      </c>
      <c r="W1616" t="s">
        <v>7361</v>
      </c>
      <c r="X1616" t="s">
        <v>7369</v>
      </c>
      <c r="Y1616" t="s">
        <v>7386</v>
      </c>
      <c r="Z1616" t="s">
        <v>8652</v>
      </c>
      <c r="AB1616" t="s">
        <v>11381</v>
      </c>
      <c r="AC1616">
        <v>115</v>
      </c>
      <c r="AD1616" t="s">
        <v>12424</v>
      </c>
      <c r="AE1616" t="s">
        <v>6110</v>
      </c>
      <c r="AF1616">
        <v>2</v>
      </c>
      <c r="AG1616">
        <v>1</v>
      </c>
      <c r="AH1616">
        <v>0</v>
      </c>
      <c r="AI1616">
        <v>96.08</v>
      </c>
      <c r="AJ1616" t="s">
        <v>12443</v>
      </c>
      <c r="AK1616" t="s">
        <v>12455</v>
      </c>
      <c r="AL1616" t="s">
        <v>12462</v>
      </c>
      <c r="AM1616">
        <v>12000</v>
      </c>
      <c r="AS1616">
        <v>1.2</v>
      </c>
      <c r="AT1616" t="s">
        <v>356</v>
      </c>
      <c r="AU1616" t="s">
        <v>52</v>
      </c>
    </row>
    <row r="1617" spans="1:48">
      <c r="A1617" s="1">
        <f>HYPERLINK("https://cms.ls-nyc.org/matter/dynamic-profile/view/1893266","19-1893266")</f>
        <v>0</v>
      </c>
      <c r="B1617" t="s">
        <v>81</v>
      </c>
      <c r="C1617" t="s">
        <v>293</v>
      </c>
      <c r="E1617" t="s">
        <v>1366</v>
      </c>
      <c r="F1617" t="s">
        <v>1245</v>
      </c>
      <c r="G1617" t="s">
        <v>4534</v>
      </c>
      <c r="H1617" t="s">
        <v>5372</v>
      </c>
      <c r="I1617" t="s">
        <v>6043</v>
      </c>
      <c r="J1617">
        <v>11225</v>
      </c>
      <c r="K1617" t="s">
        <v>6074</v>
      </c>
      <c r="L1617" t="s">
        <v>6074</v>
      </c>
      <c r="N1617" t="s">
        <v>7288</v>
      </c>
      <c r="O1617" t="s">
        <v>7309</v>
      </c>
      <c r="Q1617" t="s">
        <v>7322</v>
      </c>
      <c r="S1617" t="s">
        <v>7324</v>
      </c>
      <c r="U1617" t="s">
        <v>293</v>
      </c>
      <c r="V1617">
        <v>1480.9</v>
      </c>
      <c r="W1617" t="s">
        <v>7362</v>
      </c>
      <c r="Z1617" t="s">
        <v>8506</v>
      </c>
      <c r="AB1617" t="s">
        <v>11256</v>
      </c>
      <c r="AC1617">
        <v>0</v>
      </c>
      <c r="AE1617" t="s">
        <v>12434</v>
      </c>
      <c r="AF1617">
        <v>11</v>
      </c>
      <c r="AG1617">
        <v>1</v>
      </c>
      <c r="AH1617">
        <v>0</v>
      </c>
      <c r="AI1617">
        <v>96.08</v>
      </c>
      <c r="AL1617" t="s">
        <v>12460</v>
      </c>
      <c r="AM1617">
        <v>12000</v>
      </c>
      <c r="AS1617">
        <v>0.5</v>
      </c>
      <c r="AT1617" t="s">
        <v>241</v>
      </c>
      <c r="AU1617" t="s">
        <v>88</v>
      </c>
    </row>
    <row r="1618" spans="1:48">
      <c r="A1618" s="1">
        <f>HYPERLINK("https://cms.ls-nyc.org/matter/dynamic-profile/view/1877456","18-1877456")</f>
        <v>0</v>
      </c>
      <c r="B1618" t="s">
        <v>68</v>
      </c>
      <c r="C1618" t="s">
        <v>372</v>
      </c>
      <c r="D1618" t="s">
        <v>344</v>
      </c>
      <c r="E1618" t="s">
        <v>1445</v>
      </c>
      <c r="F1618" t="s">
        <v>2920</v>
      </c>
      <c r="G1618" t="s">
        <v>4631</v>
      </c>
      <c r="H1618" t="s">
        <v>5372</v>
      </c>
      <c r="I1618" t="s">
        <v>6043</v>
      </c>
      <c r="J1618">
        <v>11212</v>
      </c>
      <c r="K1618" t="s">
        <v>6074</v>
      </c>
      <c r="L1618" t="s">
        <v>6074</v>
      </c>
      <c r="M1618" t="s">
        <v>6757</v>
      </c>
      <c r="N1618" t="s">
        <v>7276</v>
      </c>
      <c r="O1618" t="s">
        <v>7308</v>
      </c>
      <c r="P1618" t="s">
        <v>7317</v>
      </c>
      <c r="Q1618" t="s">
        <v>7322</v>
      </c>
      <c r="R1618" t="s">
        <v>6076</v>
      </c>
      <c r="S1618" t="s">
        <v>7324</v>
      </c>
      <c r="T1618" t="s">
        <v>7336</v>
      </c>
      <c r="U1618" t="s">
        <v>344</v>
      </c>
      <c r="V1618">
        <v>1521</v>
      </c>
      <c r="W1618" t="s">
        <v>7362</v>
      </c>
      <c r="X1618" t="s">
        <v>7368</v>
      </c>
      <c r="Y1618" t="s">
        <v>7388</v>
      </c>
      <c r="Z1618" t="s">
        <v>8653</v>
      </c>
      <c r="AA1618" t="s">
        <v>10181</v>
      </c>
      <c r="AB1618" t="s">
        <v>11382</v>
      </c>
      <c r="AC1618">
        <v>6</v>
      </c>
      <c r="AD1618" t="s">
        <v>12422</v>
      </c>
      <c r="AE1618" t="s">
        <v>12439</v>
      </c>
      <c r="AF1618">
        <v>24</v>
      </c>
      <c r="AG1618">
        <v>1</v>
      </c>
      <c r="AH1618">
        <v>0</v>
      </c>
      <c r="AI1618">
        <v>96.08</v>
      </c>
      <c r="AL1618" t="s">
        <v>12460</v>
      </c>
      <c r="AM1618">
        <v>11664</v>
      </c>
      <c r="AS1618">
        <v>3.6</v>
      </c>
      <c r="AT1618" t="s">
        <v>451</v>
      </c>
      <c r="AU1618" t="s">
        <v>218</v>
      </c>
    </row>
    <row r="1619" spans="1:48">
      <c r="A1619" s="1">
        <f>HYPERLINK("https://cms.ls-nyc.org/matter/dynamic-profile/view/1896228","19-1896228")</f>
        <v>0</v>
      </c>
      <c r="B1619" t="s">
        <v>96</v>
      </c>
      <c r="C1619" t="s">
        <v>314</v>
      </c>
      <c r="E1619" t="s">
        <v>1446</v>
      </c>
      <c r="F1619" t="s">
        <v>2921</v>
      </c>
      <c r="G1619" t="s">
        <v>3792</v>
      </c>
      <c r="H1619" t="s">
        <v>5385</v>
      </c>
      <c r="I1619" t="s">
        <v>6047</v>
      </c>
      <c r="J1619">
        <v>10453</v>
      </c>
      <c r="K1619" t="s">
        <v>6074</v>
      </c>
      <c r="L1619" t="s">
        <v>6074</v>
      </c>
      <c r="N1619" t="s">
        <v>7279</v>
      </c>
      <c r="O1619" t="s">
        <v>7311</v>
      </c>
      <c r="Q1619" t="s">
        <v>7322</v>
      </c>
      <c r="R1619" t="s">
        <v>6074</v>
      </c>
      <c r="S1619" t="s">
        <v>7324</v>
      </c>
      <c r="U1619" t="s">
        <v>457</v>
      </c>
      <c r="V1619">
        <v>1000</v>
      </c>
      <c r="W1619" t="s">
        <v>7363</v>
      </c>
      <c r="X1619" t="s">
        <v>7375</v>
      </c>
      <c r="Z1619" t="s">
        <v>8654</v>
      </c>
      <c r="AB1619" t="s">
        <v>11383</v>
      </c>
      <c r="AC1619">
        <v>170</v>
      </c>
      <c r="AD1619" t="s">
        <v>12422</v>
      </c>
      <c r="AF1619">
        <v>9</v>
      </c>
      <c r="AG1619">
        <v>1</v>
      </c>
      <c r="AH1619">
        <v>0</v>
      </c>
      <c r="AI1619">
        <v>96.08</v>
      </c>
      <c r="AL1619" t="s">
        <v>12461</v>
      </c>
      <c r="AM1619">
        <v>12000</v>
      </c>
      <c r="AS1619">
        <v>0</v>
      </c>
      <c r="AU1619" t="s">
        <v>13093</v>
      </c>
    </row>
    <row r="1620" spans="1:48">
      <c r="A1620" s="1">
        <f>HYPERLINK("https://cms.ls-nyc.org/matter/dynamic-profile/view/1896222","19-1896222")</f>
        <v>0</v>
      </c>
      <c r="B1620" t="s">
        <v>96</v>
      </c>
      <c r="C1620" t="s">
        <v>314</v>
      </c>
      <c r="E1620" t="s">
        <v>1446</v>
      </c>
      <c r="F1620" t="s">
        <v>2921</v>
      </c>
      <c r="G1620" t="s">
        <v>3792</v>
      </c>
      <c r="H1620" t="s">
        <v>5385</v>
      </c>
      <c r="I1620" t="s">
        <v>6047</v>
      </c>
      <c r="J1620">
        <v>10453</v>
      </c>
      <c r="K1620" t="s">
        <v>6074</v>
      </c>
      <c r="L1620" t="s">
        <v>6074</v>
      </c>
      <c r="M1620" t="s">
        <v>6259</v>
      </c>
      <c r="N1620" t="s">
        <v>7273</v>
      </c>
      <c r="O1620" t="s">
        <v>7308</v>
      </c>
      <c r="Q1620" t="s">
        <v>7322</v>
      </c>
      <c r="R1620" t="s">
        <v>6074</v>
      </c>
      <c r="S1620" t="s">
        <v>7324</v>
      </c>
      <c r="U1620" t="s">
        <v>457</v>
      </c>
      <c r="V1620">
        <v>1000</v>
      </c>
      <c r="W1620" t="s">
        <v>7363</v>
      </c>
      <c r="X1620" t="s">
        <v>7375</v>
      </c>
      <c r="Z1620" t="s">
        <v>8654</v>
      </c>
      <c r="AB1620" t="s">
        <v>11383</v>
      </c>
      <c r="AC1620">
        <v>170</v>
      </c>
      <c r="AD1620" t="s">
        <v>12422</v>
      </c>
      <c r="AE1620" t="s">
        <v>6110</v>
      </c>
      <c r="AF1620">
        <v>9</v>
      </c>
      <c r="AG1620">
        <v>1</v>
      </c>
      <c r="AH1620">
        <v>0</v>
      </c>
      <c r="AI1620">
        <v>96.08</v>
      </c>
      <c r="AL1620" t="s">
        <v>12461</v>
      </c>
      <c r="AM1620">
        <v>12000</v>
      </c>
      <c r="AS1620">
        <v>0</v>
      </c>
      <c r="AU1620" t="s">
        <v>13093</v>
      </c>
    </row>
    <row r="1621" spans="1:48">
      <c r="A1621" s="1">
        <f>HYPERLINK("https://cms.ls-nyc.org/matter/dynamic-profile/view/1897620","19-1897620")</f>
        <v>0</v>
      </c>
      <c r="B1621" t="s">
        <v>126</v>
      </c>
      <c r="C1621" t="s">
        <v>424</v>
      </c>
      <c r="E1621" t="s">
        <v>993</v>
      </c>
      <c r="F1621" t="s">
        <v>2624</v>
      </c>
      <c r="G1621" t="s">
        <v>4479</v>
      </c>
      <c r="H1621" t="s">
        <v>5742</v>
      </c>
      <c r="I1621" t="s">
        <v>6049</v>
      </c>
      <c r="J1621">
        <v>10035</v>
      </c>
      <c r="K1621" t="s">
        <v>6074</v>
      </c>
      <c r="L1621" t="s">
        <v>6074</v>
      </c>
      <c r="N1621" t="s">
        <v>6104</v>
      </c>
      <c r="O1621" t="s">
        <v>7307</v>
      </c>
      <c r="Q1621" t="s">
        <v>7322</v>
      </c>
      <c r="R1621" t="s">
        <v>6074</v>
      </c>
      <c r="S1621" t="s">
        <v>7324</v>
      </c>
      <c r="T1621" t="s">
        <v>7336</v>
      </c>
      <c r="U1621" t="s">
        <v>279</v>
      </c>
      <c r="V1621">
        <v>1104.42</v>
      </c>
      <c r="W1621" t="s">
        <v>7365</v>
      </c>
      <c r="X1621" t="s">
        <v>7378</v>
      </c>
      <c r="Z1621" t="s">
        <v>8655</v>
      </c>
      <c r="AB1621" t="s">
        <v>11384</v>
      </c>
      <c r="AC1621">
        <v>60</v>
      </c>
      <c r="AD1621" t="s">
        <v>12422</v>
      </c>
      <c r="AE1621" t="s">
        <v>6110</v>
      </c>
      <c r="AF1621">
        <v>7</v>
      </c>
      <c r="AG1621">
        <v>1</v>
      </c>
      <c r="AH1621">
        <v>0</v>
      </c>
      <c r="AI1621">
        <v>96.08</v>
      </c>
      <c r="AL1621" t="s">
        <v>12461</v>
      </c>
      <c r="AM1621">
        <v>12000</v>
      </c>
      <c r="AS1621">
        <v>0</v>
      </c>
      <c r="AU1621" t="s">
        <v>13107</v>
      </c>
    </row>
    <row r="1622" spans="1:48">
      <c r="A1622" s="1">
        <f>HYPERLINK("https://cms.ls-nyc.org/matter/dynamic-profile/view/1877962","18-1877962")</f>
        <v>0</v>
      </c>
      <c r="B1622" t="s">
        <v>54</v>
      </c>
      <c r="C1622" t="s">
        <v>244</v>
      </c>
      <c r="D1622" t="s">
        <v>255</v>
      </c>
      <c r="E1622" t="s">
        <v>1447</v>
      </c>
      <c r="F1622" t="s">
        <v>2922</v>
      </c>
      <c r="G1622" t="s">
        <v>4632</v>
      </c>
      <c r="H1622" t="s">
        <v>5465</v>
      </c>
      <c r="I1622" t="s">
        <v>6035</v>
      </c>
      <c r="J1622">
        <v>11377</v>
      </c>
      <c r="K1622" t="s">
        <v>6074</v>
      </c>
      <c r="L1622" t="s">
        <v>6074</v>
      </c>
      <c r="M1622" t="s">
        <v>6758</v>
      </c>
      <c r="N1622" t="s">
        <v>7274</v>
      </c>
      <c r="O1622" t="s">
        <v>7306</v>
      </c>
      <c r="P1622" t="s">
        <v>7314</v>
      </c>
      <c r="Q1622" t="s">
        <v>7322</v>
      </c>
      <c r="R1622" t="s">
        <v>6076</v>
      </c>
      <c r="S1622" t="s">
        <v>7324</v>
      </c>
      <c r="T1622" t="s">
        <v>7336</v>
      </c>
      <c r="U1622" t="s">
        <v>244</v>
      </c>
      <c r="V1622">
        <v>860</v>
      </c>
      <c r="W1622" t="s">
        <v>7361</v>
      </c>
      <c r="X1622" t="s">
        <v>7366</v>
      </c>
      <c r="Y1622" t="s">
        <v>7386</v>
      </c>
      <c r="Z1622" t="s">
        <v>8656</v>
      </c>
      <c r="AB1622" t="s">
        <v>11385</v>
      </c>
      <c r="AC1622">
        <v>39</v>
      </c>
      <c r="AD1622" t="s">
        <v>12422</v>
      </c>
      <c r="AE1622" t="s">
        <v>6110</v>
      </c>
      <c r="AF1622">
        <v>14</v>
      </c>
      <c r="AG1622">
        <v>2</v>
      </c>
      <c r="AH1622">
        <v>1</v>
      </c>
      <c r="AI1622">
        <v>96.25</v>
      </c>
      <c r="AL1622" t="s">
        <v>12460</v>
      </c>
      <c r="AM1622">
        <v>20000</v>
      </c>
      <c r="AS1622">
        <v>1.1</v>
      </c>
      <c r="AT1622" t="s">
        <v>255</v>
      </c>
      <c r="AU1622" t="s">
        <v>48</v>
      </c>
    </row>
    <row r="1623" spans="1:48">
      <c r="A1623" s="1">
        <f>HYPERLINK("https://cms.ls-nyc.org/matter/dynamic-profile/view/1881008","18-1881008")</f>
        <v>0</v>
      </c>
      <c r="B1623" t="s">
        <v>113</v>
      </c>
      <c r="C1623" t="s">
        <v>357</v>
      </c>
      <c r="E1623" t="s">
        <v>1448</v>
      </c>
      <c r="F1623" t="s">
        <v>2587</v>
      </c>
      <c r="G1623" t="s">
        <v>4633</v>
      </c>
      <c r="H1623" t="s">
        <v>5411</v>
      </c>
      <c r="I1623" t="s">
        <v>6047</v>
      </c>
      <c r="J1623">
        <v>10458</v>
      </c>
      <c r="K1623" t="s">
        <v>6074</v>
      </c>
      <c r="L1623" t="s">
        <v>6074</v>
      </c>
      <c r="M1623" t="s">
        <v>6759</v>
      </c>
      <c r="N1623" t="s">
        <v>7274</v>
      </c>
      <c r="O1623" t="s">
        <v>7308</v>
      </c>
      <c r="Q1623" t="s">
        <v>7322</v>
      </c>
      <c r="R1623" t="s">
        <v>6076</v>
      </c>
      <c r="S1623" t="s">
        <v>7324</v>
      </c>
      <c r="T1623" t="s">
        <v>7338</v>
      </c>
      <c r="U1623" t="s">
        <v>357</v>
      </c>
      <c r="V1623">
        <v>0</v>
      </c>
      <c r="W1623" t="s">
        <v>7363</v>
      </c>
      <c r="X1623" t="s">
        <v>7374</v>
      </c>
      <c r="Z1623" t="s">
        <v>8657</v>
      </c>
      <c r="AB1623" t="s">
        <v>11386</v>
      </c>
      <c r="AC1623">
        <v>69</v>
      </c>
      <c r="AD1623" t="s">
        <v>12422</v>
      </c>
      <c r="AE1623" t="s">
        <v>12434</v>
      </c>
      <c r="AF1623">
        <v>5</v>
      </c>
      <c r="AG1623">
        <v>3</v>
      </c>
      <c r="AH1623">
        <v>0</v>
      </c>
      <c r="AI1623">
        <v>96.25</v>
      </c>
      <c r="AL1623" t="s">
        <v>12460</v>
      </c>
      <c r="AM1623">
        <v>20000</v>
      </c>
      <c r="AS1623">
        <v>112.4</v>
      </c>
      <c r="AT1623" t="s">
        <v>324</v>
      </c>
      <c r="AU1623" t="s">
        <v>13095</v>
      </c>
    </row>
    <row r="1624" spans="1:48">
      <c r="A1624" s="1">
        <f>HYPERLINK("https://cms.ls-nyc.org/matter/dynamic-profile/view/1883614","18-1883614")</f>
        <v>0</v>
      </c>
      <c r="B1624" t="s">
        <v>124</v>
      </c>
      <c r="C1624" t="s">
        <v>297</v>
      </c>
      <c r="E1624" t="s">
        <v>1449</v>
      </c>
      <c r="F1624" t="s">
        <v>2923</v>
      </c>
      <c r="G1624" t="s">
        <v>4634</v>
      </c>
      <c r="H1624" t="s">
        <v>5743</v>
      </c>
      <c r="I1624" t="s">
        <v>6048</v>
      </c>
      <c r="J1624">
        <v>10301</v>
      </c>
      <c r="K1624" t="s">
        <v>6074</v>
      </c>
      <c r="L1624" t="s">
        <v>6074</v>
      </c>
      <c r="M1624" t="s">
        <v>6760</v>
      </c>
      <c r="N1624" t="s">
        <v>7276</v>
      </c>
      <c r="O1624" t="s">
        <v>7308</v>
      </c>
      <c r="Q1624" t="s">
        <v>7322</v>
      </c>
      <c r="S1624" t="s">
        <v>7324</v>
      </c>
      <c r="U1624" t="s">
        <v>297</v>
      </c>
      <c r="V1624">
        <v>0</v>
      </c>
      <c r="W1624" t="s">
        <v>7364</v>
      </c>
      <c r="Z1624" t="s">
        <v>8658</v>
      </c>
      <c r="AB1624" t="s">
        <v>11387</v>
      </c>
      <c r="AC1624">
        <v>0</v>
      </c>
      <c r="AE1624" t="s">
        <v>12437</v>
      </c>
      <c r="AF1624">
        <v>0</v>
      </c>
      <c r="AG1624">
        <v>1</v>
      </c>
      <c r="AH1624">
        <v>0</v>
      </c>
      <c r="AI1624">
        <v>96.59999999999999</v>
      </c>
      <c r="AL1624" t="s">
        <v>12460</v>
      </c>
      <c r="AM1624">
        <v>11727.12</v>
      </c>
      <c r="AS1624">
        <v>24.5</v>
      </c>
      <c r="AT1624" t="s">
        <v>381</v>
      </c>
      <c r="AU1624" t="s">
        <v>13103</v>
      </c>
    </row>
    <row r="1625" spans="1:48">
      <c r="A1625" s="1">
        <f>HYPERLINK("https://cms.ls-nyc.org/matter/dynamic-profile/view/1878905","18-1878905")</f>
        <v>0</v>
      </c>
      <c r="B1625" t="s">
        <v>99</v>
      </c>
      <c r="C1625" t="s">
        <v>438</v>
      </c>
      <c r="D1625" t="s">
        <v>431</v>
      </c>
      <c r="E1625" t="s">
        <v>1372</v>
      </c>
      <c r="F1625" t="s">
        <v>2493</v>
      </c>
      <c r="G1625" t="s">
        <v>4343</v>
      </c>
      <c r="H1625" t="s">
        <v>5744</v>
      </c>
      <c r="I1625" t="s">
        <v>6047</v>
      </c>
      <c r="J1625">
        <v>10452</v>
      </c>
      <c r="K1625" t="s">
        <v>6074</v>
      </c>
      <c r="L1625" t="s">
        <v>6074</v>
      </c>
      <c r="M1625" t="s">
        <v>6110</v>
      </c>
      <c r="N1625" t="s">
        <v>7278</v>
      </c>
      <c r="O1625" t="s">
        <v>7306</v>
      </c>
      <c r="P1625" t="s">
        <v>7314</v>
      </c>
      <c r="Q1625" t="s">
        <v>7322</v>
      </c>
      <c r="R1625" t="s">
        <v>6076</v>
      </c>
      <c r="S1625" t="s">
        <v>7324</v>
      </c>
      <c r="T1625" t="s">
        <v>7336</v>
      </c>
      <c r="U1625" t="s">
        <v>258</v>
      </c>
      <c r="V1625">
        <v>13358.81</v>
      </c>
      <c r="W1625" t="s">
        <v>7363</v>
      </c>
      <c r="X1625" t="s">
        <v>7376</v>
      </c>
      <c r="Y1625" t="s">
        <v>7386</v>
      </c>
      <c r="Z1625" t="s">
        <v>8659</v>
      </c>
      <c r="AB1625" t="s">
        <v>11388</v>
      </c>
      <c r="AC1625">
        <v>0</v>
      </c>
      <c r="AD1625" t="s">
        <v>12422</v>
      </c>
      <c r="AE1625" t="s">
        <v>12434</v>
      </c>
      <c r="AF1625">
        <v>11</v>
      </c>
      <c r="AG1625">
        <v>1</v>
      </c>
      <c r="AH1625">
        <v>0</v>
      </c>
      <c r="AI1625">
        <v>96.87</v>
      </c>
      <c r="AL1625" t="s">
        <v>12460</v>
      </c>
      <c r="AM1625">
        <v>11760</v>
      </c>
      <c r="AS1625">
        <v>2.3</v>
      </c>
      <c r="AT1625" t="s">
        <v>431</v>
      </c>
      <c r="AU1625" t="s">
        <v>99</v>
      </c>
    </row>
    <row r="1626" spans="1:48">
      <c r="A1626" s="1">
        <f>HYPERLINK("https://cms.ls-nyc.org/matter/dynamic-profile/view/1897227","19-1897227")</f>
        <v>0</v>
      </c>
      <c r="B1626" t="s">
        <v>98</v>
      </c>
      <c r="C1626" t="s">
        <v>279</v>
      </c>
      <c r="E1626" t="s">
        <v>655</v>
      </c>
      <c r="F1626" t="s">
        <v>2846</v>
      </c>
      <c r="G1626" t="s">
        <v>4597</v>
      </c>
      <c r="H1626" t="s">
        <v>5413</v>
      </c>
      <c r="I1626" t="s">
        <v>6047</v>
      </c>
      <c r="J1626">
        <v>10452</v>
      </c>
      <c r="K1626" t="s">
        <v>6074</v>
      </c>
      <c r="L1626" t="s">
        <v>6074</v>
      </c>
      <c r="N1626" t="s">
        <v>7274</v>
      </c>
      <c r="O1626" t="s">
        <v>7307</v>
      </c>
      <c r="Q1626" t="s">
        <v>7322</v>
      </c>
      <c r="R1626" t="s">
        <v>6076</v>
      </c>
      <c r="S1626" t="s">
        <v>7324</v>
      </c>
      <c r="U1626" t="s">
        <v>279</v>
      </c>
      <c r="V1626">
        <v>1500</v>
      </c>
      <c r="W1626" t="s">
        <v>7363</v>
      </c>
      <c r="X1626" t="s">
        <v>7370</v>
      </c>
      <c r="Z1626" t="s">
        <v>8600</v>
      </c>
      <c r="AA1626">
        <v>370953540</v>
      </c>
      <c r="AB1626" t="s">
        <v>11335</v>
      </c>
      <c r="AC1626">
        <v>49</v>
      </c>
      <c r="AF1626">
        <v>10</v>
      </c>
      <c r="AG1626">
        <v>2</v>
      </c>
      <c r="AH1626">
        <v>1</v>
      </c>
      <c r="AI1626">
        <v>96.88</v>
      </c>
      <c r="AL1626" t="s">
        <v>12461</v>
      </c>
      <c r="AM1626">
        <v>20664</v>
      </c>
      <c r="AS1626">
        <v>1.8</v>
      </c>
      <c r="AT1626" t="s">
        <v>382</v>
      </c>
      <c r="AU1626" t="s">
        <v>98</v>
      </c>
      <c r="AV1626" t="s">
        <v>13146</v>
      </c>
    </row>
    <row r="1627" spans="1:48">
      <c r="A1627" s="1">
        <f>HYPERLINK("https://cms.ls-nyc.org/matter/dynamic-profile/view/1881801","18-1881801")</f>
        <v>0</v>
      </c>
      <c r="B1627" t="s">
        <v>103</v>
      </c>
      <c r="C1627" t="s">
        <v>360</v>
      </c>
      <c r="E1627" t="s">
        <v>1208</v>
      </c>
      <c r="F1627" t="s">
        <v>2059</v>
      </c>
      <c r="G1627" t="s">
        <v>3810</v>
      </c>
      <c r="H1627" t="s">
        <v>5745</v>
      </c>
      <c r="I1627" t="s">
        <v>6047</v>
      </c>
      <c r="J1627">
        <v>10451</v>
      </c>
      <c r="K1627" t="s">
        <v>6074</v>
      </c>
      <c r="L1627" t="s">
        <v>6074</v>
      </c>
      <c r="M1627" t="s">
        <v>6201</v>
      </c>
      <c r="N1627" t="s">
        <v>7273</v>
      </c>
      <c r="O1627" t="s">
        <v>7308</v>
      </c>
      <c r="Q1627" t="s">
        <v>7322</v>
      </c>
      <c r="R1627" t="s">
        <v>6074</v>
      </c>
      <c r="S1627" t="s">
        <v>7324</v>
      </c>
      <c r="U1627" t="s">
        <v>472</v>
      </c>
      <c r="V1627">
        <v>900</v>
      </c>
      <c r="W1627" t="s">
        <v>7363</v>
      </c>
      <c r="X1627" t="s">
        <v>7376</v>
      </c>
      <c r="Z1627" t="s">
        <v>8660</v>
      </c>
      <c r="AB1627" t="s">
        <v>11389</v>
      </c>
      <c r="AC1627">
        <v>100</v>
      </c>
      <c r="AD1627" t="s">
        <v>12422</v>
      </c>
      <c r="AE1627" t="s">
        <v>12441</v>
      </c>
      <c r="AF1627">
        <v>35</v>
      </c>
      <c r="AG1627">
        <v>1</v>
      </c>
      <c r="AH1627">
        <v>0</v>
      </c>
      <c r="AI1627">
        <v>96.93000000000001</v>
      </c>
      <c r="AL1627" t="s">
        <v>12461</v>
      </c>
      <c r="AM1627">
        <v>11767.2</v>
      </c>
      <c r="AS1627">
        <v>0</v>
      </c>
      <c r="AU1627" t="s">
        <v>13095</v>
      </c>
    </row>
    <row r="1628" spans="1:48">
      <c r="A1628" s="1">
        <f>HYPERLINK("https://cms.ls-nyc.org/matter/dynamic-profile/view/1895329","19-1895329")</f>
        <v>0</v>
      </c>
      <c r="B1628" t="s">
        <v>148</v>
      </c>
      <c r="C1628" t="s">
        <v>247</v>
      </c>
      <c r="E1628" t="s">
        <v>716</v>
      </c>
      <c r="F1628" t="s">
        <v>2924</v>
      </c>
      <c r="G1628" t="s">
        <v>3871</v>
      </c>
      <c r="H1628" t="s">
        <v>5354</v>
      </c>
      <c r="I1628" t="s">
        <v>6043</v>
      </c>
      <c r="J1628">
        <v>11213</v>
      </c>
      <c r="K1628" t="s">
        <v>6074</v>
      </c>
      <c r="L1628" t="s">
        <v>6074</v>
      </c>
      <c r="N1628" t="s">
        <v>7287</v>
      </c>
      <c r="O1628" t="s">
        <v>7312</v>
      </c>
      <c r="Q1628" t="s">
        <v>7322</v>
      </c>
      <c r="R1628" t="s">
        <v>6074</v>
      </c>
      <c r="S1628" t="s">
        <v>7329</v>
      </c>
      <c r="U1628" t="s">
        <v>247</v>
      </c>
      <c r="V1628">
        <v>1268</v>
      </c>
      <c r="W1628" t="s">
        <v>7362</v>
      </c>
      <c r="X1628" t="s">
        <v>7381</v>
      </c>
      <c r="Z1628" t="s">
        <v>8661</v>
      </c>
      <c r="AB1628" t="s">
        <v>11390</v>
      </c>
      <c r="AC1628">
        <v>0</v>
      </c>
      <c r="AD1628" t="s">
        <v>12422</v>
      </c>
      <c r="AE1628" t="s">
        <v>12437</v>
      </c>
      <c r="AF1628">
        <v>2</v>
      </c>
      <c r="AG1628">
        <v>2</v>
      </c>
      <c r="AH1628">
        <v>0</v>
      </c>
      <c r="AI1628">
        <v>96.97</v>
      </c>
      <c r="AL1628" t="s">
        <v>12460</v>
      </c>
      <c r="AM1628">
        <v>16398</v>
      </c>
      <c r="AS1628">
        <v>0</v>
      </c>
      <c r="AU1628" t="s">
        <v>180</v>
      </c>
    </row>
    <row r="1629" spans="1:48">
      <c r="A1629" s="1">
        <f>HYPERLINK("https://cms.ls-nyc.org/matter/dynamic-profile/view/1890052","19-1890052")</f>
        <v>0</v>
      </c>
      <c r="B1629" t="s">
        <v>96</v>
      </c>
      <c r="C1629" t="s">
        <v>366</v>
      </c>
      <c r="E1629" t="s">
        <v>637</v>
      </c>
      <c r="F1629" t="s">
        <v>2239</v>
      </c>
      <c r="G1629" t="s">
        <v>3792</v>
      </c>
      <c r="H1629" t="s">
        <v>5739</v>
      </c>
      <c r="I1629" t="s">
        <v>6047</v>
      </c>
      <c r="J1629">
        <v>10453</v>
      </c>
      <c r="K1629" t="s">
        <v>6074</v>
      </c>
      <c r="L1629" t="s">
        <v>6074</v>
      </c>
      <c r="N1629" t="s">
        <v>7279</v>
      </c>
      <c r="O1629" t="s">
        <v>7311</v>
      </c>
      <c r="Q1629" t="s">
        <v>7322</v>
      </c>
      <c r="R1629" t="s">
        <v>6074</v>
      </c>
      <c r="S1629" t="s">
        <v>7324</v>
      </c>
      <c r="U1629" t="s">
        <v>457</v>
      </c>
      <c r="V1629">
        <v>1319</v>
      </c>
      <c r="W1629" t="s">
        <v>7363</v>
      </c>
      <c r="X1629" t="s">
        <v>7376</v>
      </c>
      <c r="Z1629" t="s">
        <v>8662</v>
      </c>
      <c r="AC1629">
        <v>170</v>
      </c>
      <c r="AD1629" t="s">
        <v>12422</v>
      </c>
      <c r="AF1629">
        <v>12</v>
      </c>
      <c r="AG1629">
        <v>2</v>
      </c>
      <c r="AH1629">
        <v>2</v>
      </c>
      <c r="AI1629">
        <v>97.09</v>
      </c>
      <c r="AL1629" t="s">
        <v>12461</v>
      </c>
      <c r="AM1629">
        <v>25000</v>
      </c>
      <c r="AS1629">
        <v>0</v>
      </c>
      <c r="AU1629" t="s">
        <v>13113</v>
      </c>
    </row>
    <row r="1630" spans="1:48">
      <c r="A1630" s="1">
        <f>HYPERLINK("https://cms.ls-nyc.org/matter/dynamic-profile/view/1890043","19-1890043")</f>
        <v>0</v>
      </c>
      <c r="B1630" t="s">
        <v>96</v>
      </c>
      <c r="C1630" t="s">
        <v>366</v>
      </c>
      <c r="E1630" t="s">
        <v>637</v>
      </c>
      <c r="F1630" t="s">
        <v>2239</v>
      </c>
      <c r="G1630" t="s">
        <v>3792</v>
      </c>
      <c r="H1630" t="s">
        <v>5739</v>
      </c>
      <c r="I1630" t="s">
        <v>6047</v>
      </c>
      <c r="J1630">
        <v>10453</v>
      </c>
      <c r="K1630" t="s">
        <v>6074</v>
      </c>
      <c r="L1630" t="s">
        <v>6074</v>
      </c>
      <c r="M1630" t="s">
        <v>6259</v>
      </c>
      <c r="N1630" t="s">
        <v>7273</v>
      </c>
      <c r="O1630" t="s">
        <v>7308</v>
      </c>
      <c r="Q1630" t="s">
        <v>7322</v>
      </c>
      <c r="R1630" t="s">
        <v>6074</v>
      </c>
      <c r="S1630" t="s">
        <v>7324</v>
      </c>
      <c r="U1630" t="s">
        <v>457</v>
      </c>
      <c r="V1630">
        <v>1319</v>
      </c>
      <c r="W1630" t="s">
        <v>7363</v>
      </c>
      <c r="X1630" t="s">
        <v>7376</v>
      </c>
      <c r="Z1630" t="s">
        <v>8662</v>
      </c>
      <c r="AC1630">
        <v>170</v>
      </c>
      <c r="AD1630" t="s">
        <v>12422</v>
      </c>
      <c r="AF1630">
        <v>12</v>
      </c>
      <c r="AG1630">
        <v>2</v>
      </c>
      <c r="AH1630">
        <v>2</v>
      </c>
      <c r="AI1630">
        <v>97.09</v>
      </c>
      <c r="AL1630" t="s">
        <v>12461</v>
      </c>
      <c r="AM1630">
        <v>25000</v>
      </c>
      <c r="AS1630">
        <v>0</v>
      </c>
      <c r="AU1630" t="s">
        <v>13113</v>
      </c>
    </row>
    <row r="1631" spans="1:48">
      <c r="A1631" s="1">
        <f>HYPERLINK("https://cms.ls-nyc.org/matter/dynamic-profile/view/1871503","18-1871503")</f>
        <v>0</v>
      </c>
      <c r="B1631" t="s">
        <v>132</v>
      </c>
      <c r="C1631" t="s">
        <v>374</v>
      </c>
      <c r="D1631" t="s">
        <v>237</v>
      </c>
      <c r="E1631" t="s">
        <v>1372</v>
      </c>
      <c r="F1631" t="s">
        <v>2142</v>
      </c>
      <c r="G1631" t="s">
        <v>4207</v>
      </c>
      <c r="H1631">
        <v>41</v>
      </c>
      <c r="I1631" t="s">
        <v>6049</v>
      </c>
      <c r="J1631">
        <v>10034</v>
      </c>
      <c r="K1631" t="s">
        <v>6074</v>
      </c>
      <c r="L1631" t="s">
        <v>6074</v>
      </c>
      <c r="N1631" t="s">
        <v>7276</v>
      </c>
      <c r="O1631" t="s">
        <v>7306</v>
      </c>
      <c r="P1631" t="s">
        <v>7314</v>
      </c>
      <c r="Q1631" t="s">
        <v>7322</v>
      </c>
      <c r="R1631" t="s">
        <v>6076</v>
      </c>
      <c r="S1631" t="s">
        <v>7324</v>
      </c>
      <c r="U1631" t="s">
        <v>374</v>
      </c>
      <c r="V1631">
        <v>767.76</v>
      </c>
      <c r="W1631" t="s">
        <v>7365</v>
      </c>
      <c r="X1631" t="s">
        <v>7368</v>
      </c>
      <c r="Y1631" t="s">
        <v>7386</v>
      </c>
      <c r="Z1631" t="s">
        <v>8663</v>
      </c>
      <c r="AB1631" t="s">
        <v>11391</v>
      </c>
      <c r="AC1631">
        <v>20</v>
      </c>
      <c r="AD1631" t="s">
        <v>12422</v>
      </c>
      <c r="AE1631" t="s">
        <v>12441</v>
      </c>
      <c r="AF1631">
        <v>40</v>
      </c>
      <c r="AG1631">
        <v>2</v>
      </c>
      <c r="AH1631">
        <v>0</v>
      </c>
      <c r="AI1631">
        <v>97.17</v>
      </c>
      <c r="AL1631" t="s">
        <v>12460</v>
      </c>
      <c r="AM1631">
        <v>15994.75</v>
      </c>
      <c r="AS1631">
        <v>2</v>
      </c>
      <c r="AT1631" t="s">
        <v>388</v>
      </c>
      <c r="AU1631" t="s">
        <v>13106</v>
      </c>
    </row>
    <row r="1632" spans="1:48">
      <c r="A1632" s="1">
        <f>HYPERLINK("https://cms.ls-nyc.org/matter/dynamic-profile/view/1866488","18-1866488")</f>
        <v>0</v>
      </c>
      <c r="B1632" t="s">
        <v>82</v>
      </c>
      <c r="C1632" t="s">
        <v>508</v>
      </c>
      <c r="E1632" t="s">
        <v>1369</v>
      </c>
      <c r="F1632" t="s">
        <v>2099</v>
      </c>
      <c r="G1632" t="s">
        <v>3728</v>
      </c>
      <c r="H1632" t="s">
        <v>5565</v>
      </c>
      <c r="I1632" t="s">
        <v>6043</v>
      </c>
      <c r="J1632">
        <v>11226</v>
      </c>
      <c r="K1632" t="s">
        <v>6074</v>
      </c>
      <c r="L1632" t="s">
        <v>6074</v>
      </c>
      <c r="N1632" t="s">
        <v>7278</v>
      </c>
      <c r="O1632" t="s">
        <v>7308</v>
      </c>
      <c r="Q1632" t="s">
        <v>7322</v>
      </c>
      <c r="R1632" t="s">
        <v>6074</v>
      </c>
      <c r="S1632" t="s">
        <v>7324</v>
      </c>
      <c r="U1632" t="s">
        <v>442</v>
      </c>
      <c r="V1632">
        <v>0</v>
      </c>
      <c r="W1632" t="s">
        <v>7362</v>
      </c>
      <c r="X1632" t="s">
        <v>7376</v>
      </c>
      <c r="Z1632" t="s">
        <v>8510</v>
      </c>
      <c r="AC1632">
        <v>61</v>
      </c>
      <c r="AD1632" t="s">
        <v>12422</v>
      </c>
      <c r="AF1632">
        <v>0</v>
      </c>
      <c r="AG1632">
        <v>2</v>
      </c>
      <c r="AH1632">
        <v>0</v>
      </c>
      <c r="AI1632">
        <v>97.18000000000001</v>
      </c>
      <c r="AL1632" t="s">
        <v>12460</v>
      </c>
      <c r="AM1632">
        <v>27780</v>
      </c>
      <c r="AS1632">
        <v>1.1</v>
      </c>
      <c r="AT1632" t="s">
        <v>548</v>
      </c>
      <c r="AU1632" t="s">
        <v>13087</v>
      </c>
    </row>
    <row r="1633" spans="1:48">
      <c r="A1633" s="1">
        <f>HYPERLINK("https://cms.ls-nyc.org/matter/dynamic-profile/view/1881114","18-1881114")</f>
        <v>0</v>
      </c>
      <c r="B1633" t="s">
        <v>126</v>
      </c>
      <c r="C1633" t="s">
        <v>464</v>
      </c>
      <c r="D1633" t="s">
        <v>462</v>
      </c>
      <c r="E1633" t="s">
        <v>1252</v>
      </c>
      <c r="F1633" t="s">
        <v>2925</v>
      </c>
      <c r="G1633" t="s">
        <v>4635</v>
      </c>
      <c r="H1633" t="s">
        <v>5364</v>
      </c>
      <c r="I1633" t="s">
        <v>6049</v>
      </c>
      <c r="J1633">
        <v>10040</v>
      </c>
      <c r="K1633" t="s">
        <v>6074</v>
      </c>
      <c r="L1633" t="s">
        <v>6074</v>
      </c>
      <c r="N1633" t="s">
        <v>7290</v>
      </c>
      <c r="O1633" t="s">
        <v>7311</v>
      </c>
      <c r="P1633" t="s">
        <v>7319</v>
      </c>
      <c r="Q1633" t="s">
        <v>7322</v>
      </c>
      <c r="R1633" t="s">
        <v>6076</v>
      </c>
      <c r="S1633" t="s">
        <v>7333</v>
      </c>
      <c r="T1633" t="s">
        <v>7336</v>
      </c>
      <c r="U1633" t="s">
        <v>344</v>
      </c>
      <c r="V1633">
        <v>1165.99</v>
      </c>
      <c r="W1633" t="s">
        <v>7365</v>
      </c>
      <c r="X1633" t="s">
        <v>7367</v>
      </c>
      <c r="Y1633" t="s">
        <v>7397</v>
      </c>
      <c r="Z1633" t="s">
        <v>8664</v>
      </c>
      <c r="AB1633" t="s">
        <v>11392</v>
      </c>
      <c r="AC1633">
        <v>42</v>
      </c>
      <c r="AD1633" t="s">
        <v>12422</v>
      </c>
      <c r="AE1633" t="s">
        <v>6110</v>
      </c>
      <c r="AF1633">
        <v>29</v>
      </c>
      <c r="AG1633">
        <v>2</v>
      </c>
      <c r="AH1633">
        <v>0</v>
      </c>
      <c r="AI1633">
        <v>97.18000000000001</v>
      </c>
      <c r="AJ1633" t="s">
        <v>12445</v>
      </c>
      <c r="AK1633" t="s">
        <v>12458</v>
      </c>
      <c r="AL1633" t="s">
        <v>12460</v>
      </c>
      <c r="AM1633">
        <v>15996</v>
      </c>
      <c r="AQ1633" t="s">
        <v>12909</v>
      </c>
      <c r="AR1633" t="s">
        <v>13016</v>
      </c>
      <c r="AS1633">
        <v>0.2</v>
      </c>
      <c r="AT1633" t="s">
        <v>344</v>
      </c>
      <c r="AU1633" t="s">
        <v>13107</v>
      </c>
    </row>
    <row r="1634" spans="1:48">
      <c r="A1634" s="1">
        <f>HYPERLINK("https://cms.ls-nyc.org/matter/dynamic-profile/view/1872714","18-1872714")</f>
        <v>0</v>
      </c>
      <c r="B1634" t="s">
        <v>48</v>
      </c>
      <c r="C1634" t="s">
        <v>242</v>
      </c>
      <c r="D1634" t="s">
        <v>368</v>
      </c>
      <c r="E1634" t="s">
        <v>826</v>
      </c>
      <c r="F1634" t="s">
        <v>2926</v>
      </c>
      <c r="G1634" t="s">
        <v>4636</v>
      </c>
      <c r="H1634" t="s">
        <v>5746</v>
      </c>
      <c r="I1634" t="s">
        <v>6033</v>
      </c>
      <c r="J1634">
        <v>11416</v>
      </c>
      <c r="K1634" t="s">
        <v>6074</v>
      </c>
      <c r="L1634" t="s">
        <v>6074</v>
      </c>
      <c r="M1634" t="s">
        <v>6761</v>
      </c>
      <c r="N1634" t="s">
        <v>7274</v>
      </c>
      <c r="O1634" t="s">
        <v>7306</v>
      </c>
      <c r="P1634" t="s">
        <v>7314</v>
      </c>
      <c r="Q1634" t="s">
        <v>7323</v>
      </c>
      <c r="R1634" t="s">
        <v>6076</v>
      </c>
      <c r="S1634" t="s">
        <v>7324</v>
      </c>
      <c r="T1634" t="s">
        <v>7336</v>
      </c>
      <c r="U1634" t="s">
        <v>242</v>
      </c>
      <c r="V1634">
        <v>1400</v>
      </c>
      <c r="W1634" t="s">
        <v>7361</v>
      </c>
      <c r="X1634" t="s">
        <v>7369</v>
      </c>
      <c r="Y1634" t="s">
        <v>7386</v>
      </c>
      <c r="Z1634" t="s">
        <v>8665</v>
      </c>
      <c r="AA1634" t="s">
        <v>10182</v>
      </c>
      <c r="AB1634" t="s">
        <v>11393</v>
      </c>
      <c r="AC1634">
        <v>2</v>
      </c>
      <c r="AD1634" t="s">
        <v>12419</v>
      </c>
      <c r="AE1634" t="s">
        <v>12435</v>
      </c>
      <c r="AF1634">
        <v>9</v>
      </c>
      <c r="AG1634">
        <v>2</v>
      </c>
      <c r="AH1634">
        <v>3</v>
      </c>
      <c r="AI1634">
        <v>97.20999999999999</v>
      </c>
      <c r="AJ1634" t="s">
        <v>12443</v>
      </c>
      <c r="AK1634" t="s">
        <v>12455</v>
      </c>
      <c r="AL1634" t="s">
        <v>12461</v>
      </c>
      <c r="AM1634">
        <v>28600</v>
      </c>
      <c r="AS1634">
        <v>1.4</v>
      </c>
      <c r="AT1634" t="s">
        <v>368</v>
      </c>
      <c r="AU1634" t="s">
        <v>48</v>
      </c>
    </row>
    <row r="1635" spans="1:48">
      <c r="A1635" s="1">
        <f>HYPERLINK("https://cms.ls-nyc.org/matter/dynamic-profile/view/1884117","18-1884117")</f>
        <v>0</v>
      </c>
      <c r="B1635" t="s">
        <v>97</v>
      </c>
      <c r="C1635" t="s">
        <v>426</v>
      </c>
      <c r="D1635" t="s">
        <v>445</v>
      </c>
      <c r="E1635" t="s">
        <v>1450</v>
      </c>
      <c r="F1635" t="s">
        <v>1977</v>
      </c>
      <c r="G1635" t="s">
        <v>4161</v>
      </c>
      <c r="I1635" t="s">
        <v>6047</v>
      </c>
      <c r="J1635">
        <v>10452</v>
      </c>
      <c r="K1635" t="s">
        <v>6074</v>
      </c>
      <c r="L1635" t="s">
        <v>6074</v>
      </c>
      <c r="N1635" t="s">
        <v>7283</v>
      </c>
      <c r="O1635" t="s">
        <v>7309</v>
      </c>
      <c r="P1635" t="s">
        <v>7321</v>
      </c>
      <c r="Q1635" t="s">
        <v>7322</v>
      </c>
      <c r="R1635" t="s">
        <v>6076</v>
      </c>
      <c r="S1635" t="s">
        <v>7326</v>
      </c>
      <c r="U1635" t="s">
        <v>7343</v>
      </c>
      <c r="V1635">
        <v>700.84</v>
      </c>
      <c r="W1635" t="s">
        <v>7363</v>
      </c>
      <c r="X1635" t="s">
        <v>7368</v>
      </c>
      <c r="Y1635" t="s">
        <v>7387</v>
      </c>
      <c r="Z1635" t="s">
        <v>8666</v>
      </c>
      <c r="AB1635" t="s">
        <v>11394</v>
      </c>
      <c r="AC1635">
        <v>122</v>
      </c>
      <c r="AD1635" t="s">
        <v>12422</v>
      </c>
      <c r="AE1635" t="s">
        <v>12441</v>
      </c>
      <c r="AF1635">
        <v>26</v>
      </c>
      <c r="AG1635">
        <v>1</v>
      </c>
      <c r="AH1635">
        <v>0</v>
      </c>
      <c r="AI1635">
        <v>97.44</v>
      </c>
      <c r="AL1635" t="s">
        <v>12460</v>
      </c>
      <c r="AM1635">
        <v>11829.6</v>
      </c>
      <c r="AS1635">
        <v>10.1</v>
      </c>
      <c r="AT1635" t="s">
        <v>445</v>
      </c>
      <c r="AU1635" t="s">
        <v>97</v>
      </c>
    </row>
    <row r="1636" spans="1:48">
      <c r="A1636" s="1">
        <f>HYPERLINK("https://cms.ls-nyc.org/matter/dynamic-profile/view/1898956","19-1898956")</f>
        <v>0</v>
      </c>
      <c r="B1636" t="s">
        <v>72</v>
      </c>
      <c r="C1636" t="s">
        <v>276</v>
      </c>
      <c r="E1636" t="s">
        <v>1451</v>
      </c>
      <c r="F1636" t="s">
        <v>2927</v>
      </c>
      <c r="G1636" t="s">
        <v>3700</v>
      </c>
      <c r="H1636" t="s">
        <v>5589</v>
      </c>
      <c r="I1636" t="s">
        <v>6043</v>
      </c>
      <c r="J1636">
        <v>11233</v>
      </c>
      <c r="K1636" t="s">
        <v>6074</v>
      </c>
      <c r="L1636" t="s">
        <v>6075</v>
      </c>
      <c r="N1636" t="s">
        <v>7279</v>
      </c>
      <c r="O1636" t="s">
        <v>7311</v>
      </c>
      <c r="Q1636" t="s">
        <v>7322</v>
      </c>
      <c r="R1636" t="s">
        <v>6074</v>
      </c>
      <c r="S1636" t="s">
        <v>7324</v>
      </c>
      <c r="T1636" t="s">
        <v>7336</v>
      </c>
      <c r="U1636" t="s">
        <v>330</v>
      </c>
      <c r="V1636">
        <v>1041.4</v>
      </c>
      <c r="W1636" t="s">
        <v>7362</v>
      </c>
      <c r="X1636" t="s">
        <v>7305</v>
      </c>
      <c r="Z1636" t="s">
        <v>8667</v>
      </c>
      <c r="AC1636">
        <v>359</v>
      </c>
      <c r="AD1636" t="s">
        <v>12422</v>
      </c>
      <c r="AF1636">
        <v>18</v>
      </c>
      <c r="AG1636">
        <v>2</v>
      </c>
      <c r="AH1636">
        <v>0</v>
      </c>
      <c r="AI1636">
        <v>97.5</v>
      </c>
      <c r="AL1636" t="s">
        <v>12460</v>
      </c>
      <c r="AM1636">
        <v>16488</v>
      </c>
      <c r="AN1636" t="s">
        <v>12488</v>
      </c>
      <c r="AS1636">
        <v>0</v>
      </c>
      <c r="AU1636" t="s">
        <v>180</v>
      </c>
      <c r="AV1636" t="s">
        <v>6110</v>
      </c>
    </row>
    <row r="1637" spans="1:48">
      <c r="A1637" s="1">
        <f>HYPERLINK("https://cms.ls-nyc.org/matter/dynamic-profile/view/1898960","19-1898960")</f>
        <v>0</v>
      </c>
      <c r="B1637" t="s">
        <v>72</v>
      </c>
      <c r="C1637" t="s">
        <v>276</v>
      </c>
      <c r="E1637" t="s">
        <v>1451</v>
      </c>
      <c r="F1637" t="s">
        <v>2927</v>
      </c>
      <c r="G1637" t="s">
        <v>3700</v>
      </c>
      <c r="H1637" t="s">
        <v>5589</v>
      </c>
      <c r="I1637" t="s">
        <v>6043</v>
      </c>
      <c r="J1637">
        <v>11233</v>
      </c>
      <c r="K1637" t="s">
        <v>6074</v>
      </c>
      <c r="L1637" t="s">
        <v>6075</v>
      </c>
      <c r="N1637" t="s">
        <v>7275</v>
      </c>
      <c r="O1637" t="s">
        <v>7307</v>
      </c>
      <c r="Q1637" t="s">
        <v>7322</v>
      </c>
      <c r="R1637" t="s">
        <v>6074</v>
      </c>
      <c r="S1637" t="s">
        <v>7324</v>
      </c>
      <c r="T1637" t="s">
        <v>7336</v>
      </c>
      <c r="U1637" t="s">
        <v>287</v>
      </c>
      <c r="V1637">
        <v>1041.4</v>
      </c>
      <c r="W1637" t="s">
        <v>7362</v>
      </c>
      <c r="X1637" t="s">
        <v>7305</v>
      </c>
      <c r="Z1637" t="s">
        <v>8667</v>
      </c>
      <c r="AC1637">
        <v>359</v>
      </c>
      <c r="AD1637" t="s">
        <v>12422</v>
      </c>
      <c r="AF1637">
        <v>18</v>
      </c>
      <c r="AG1637">
        <v>2</v>
      </c>
      <c r="AH1637">
        <v>0</v>
      </c>
      <c r="AI1637">
        <v>97.5</v>
      </c>
      <c r="AL1637" t="s">
        <v>12460</v>
      </c>
      <c r="AM1637">
        <v>16488</v>
      </c>
      <c r="AN1637" t="s">
        <v>12637</v>
      </c>
      <c r="AS1637">
        <v>0</v>
      </c>
      <c r="AU1637" t="s">
        <v>180</v>
      </c>
      <c r="AV1637" t="s">
        <v>6110</v>
      </c>
    </row>
    <row r="1638" spans="1:48">
      <c r="A1638" s="1">
        <f>HYPERLINK("https://cms.ls-nyc.org/matter/dynamic-profile/view/1897193","19-1897193")</f>
        <v>0</v>
      </c>
      <c r="B1638" t="s">
        <v>65</v>
      </c>
      <c r="C1638" t="s">
        <v>279</v>
      </c>
      <c r="E1638" t="s">
        <v>906</v>
      </c>
      <c r="F1638" t="s">
        <v>2928</v>
      </c>
      <c r="G1638" t="s">
        <v>4637</v>
      </c>
      <c r="H1638" t="s">
        <v>5747</v>
      </c>
      <c r="I1638" t="s">
        <v>6040</v>
      </c>
      <c r="J1638">
        <v>11354</v>
      </c>
      <c r="K1638" t="s">
        <v>6074</v>
      </c>
      <c r="L1638" t="s">
        <v>6074</v>
      </c>
      <c r="M1638" t="s">
        <v>6762</v>
      </c>
      <c r="N1638" t="s">
        <v>7276</v>
      </c>
      <c r="O1638" t="s">
        <v>7308</v>
      </c>
      <c r="Q1638" t="s">
        <v>7322</v>
      </c>
      <c r="R1638" t="s">
        <v>6076</v>
      </c>
      <c r="S1638" t="s">
        <v>7324</v>
      </c>
      <c r="U1638" t="s">
        <v>279</v>
      </c>
      <c r="V1638">
        <v>1525</v>
      </c>
      <c r="W1638" t="s">
        <v>7361</v>
      </c>
      <c r="X1638" t="s">
        <v>7366</v>
      </c>
      <c r="Z1638" t="s">
        <v>8668</v>
      </c>
      <c r="AB1638" t="s">
        <v>11395</v>
      </c>
      <c r="AC1638">
        <v>12</v>
      </c>
      <c r="AD1638" t="s">
        <v>6322</v>
      </c>
      <c r="AE1638" t="s">
        <v>6110</v>
      </c>
      <c r="AF1638">
        <v>2</v>
      </c>
      <c r="AG1638">
        <v>2</v>
      </c>
      <c r="AH1638">
        <v>1</v>
      </c>
      <c r="AI1638">
        <v>97.52</v>
      </c>
      <c r="AL1638" t="s">
        <v>12462</v>
      </c>
      <c r="AM1638">
        <v>20800</v>
      </c>
      <c r="AS1638">
        <v>24.22</v>
      </c>
      <c r="AT1638" t="s">
        <v>501</v>
      </c>
      <c r="AU1638" t="s">
        <v>189</v>
      </c>
    </row>
    <row r="1639" spans="1:48">
      <c r="A1639" s="1">
        <f>HYPERLINK("https://cms.ls-nyc.org/matter/dynamic-profile/view/1891604","19-1891604")</f>
        <v>0</v>
      </c>
      <c r="B1639" t="s">
        <v>72</v>
      </c>
      <c r="C1639" t="s">
        <v>364</v>
      </c>
      <c r="E1639" t="s">
        <v>1450</v>
      </c>
      <c r="F1639" t="s">
        <v>2929</v>
      </c>
      <c r="G1639" t="s">
        <v>3700</v>
      </c>
      <c r="H1639" t="s">
        <v>5405</v>
      </c>
      <c r="I1639" t="s">
        <v>6043</v>
      </c>
      <c r="J1639">
        <v>11233</v>
      </c>
      <c r="K1639" t="s">
        <v>6074</v>
      </c>
      <c r="L1639" t="s">
        <v>6076</v>
      </c>
      <c r="M1639" t="s">
        <v>6110</v>
      </c>
      <c r="N1639" t="s">
        <v>7279</v>
      </c>
      <c r="O1639" t="s">
        <v>7311</v>
      </c>
      <c r="Q1639" t="s">
        <v>7322</v>
      </c>
      <c r="R1639" t="s">
        <v>6074</v>
      </c>
      <c r="S1639" t="s">
        <v>7324</v>
      </c>
      <c r="T1639" t="s">
        <v>7336</v>
      </c>
      <c r="U1639" t="s">
        <v>330</v>
      </c>
      <c r="V1639">
        <v>820</v>
      </c>
      <c r="W1639" t="s">
        <v>7362</v>
      </c>
      <c r="Z1639" t="s">
        <v>8669</v>
      </c>
      <c r="AC1639">
        <v>359</v>
      </c>
      <c r="AD1639" t="s">
        <v>12422</v>
      </c>
      <c r="AF1639">
        <v>6</v>
      </c>
      <c r="AG1639">
        <v>1</v>
      </c>
      <c r="AH1639">
        <v>2</v>
      </c>
      <c r="AI1639">
        <v>97.52</v>
      </c>
      <c r="AL1639" t="s">
        <v>12460</v>
      </c>
      <c r="AM1639">
        <v>20800</v>
      </c>
      <c r="AN1639" t="s">
        <v>12486</v>
      </c>
      <c r="AS1639">
        <v>0</v>
      </c>
      <c r="AU1639" t="s">
        <v>218</v>
      </c>
    </row>
    <row r="1640" spans="1:48">
      <c r="A1640" s="1">
        <f>HYPERLINK("https://cms.ls-nyc.org/matter/dynamic-profile/view/1891606","19-1891606")</f>
        <v>0</v>
      </c>
      <c r="B1640" t="s">
        <v>72</v>
      </c>
      <c r="C1640" t="s">
        <v>364</v>
      </c>
      <c r="E1640" t="s">
        <v>1450</v>
      </c>
      <c r="F1640" t="s">
        <v>2929</v>
      </c>
      <c r="G1640" t="s">
        <v>3700</v>
      </c>
      <c r="H1640" t="s">
        <v>5405</v>
      </c>
      <c r="I1640" t="s">
        <v>6043</v>
      </c>
      <c r="J1640">
        <v>11233</v>
      </c>
      <c r="K1640" t="s">
        <v>6074</v>
      </c>
      <c r="L1640" t="s">
        <v>6076</v>
      </c>
      <c r="M1640" t="s">
        <v>6110</v>
      </c>
      <c r="N1640" t="s">
        <v>7275</v>
      </c>
      <c r="O1640" t="s">
        <v>7307</v>
      </c>
      <c r="Q1640" t="s">
        <v>7322</v>
      </c>
      <c r="R1640" t="s">
        <v>6074</v>
      </c>
      <c r="S1640" t="s">
        <v>7324</v>
      </c>
      <c r="T1640" t="s">
        <v>7336</v>
      </c>
      <c r="U1640" t="s">
        <v>287</v>
      </c>
      <c r="V1640">
        <v>820</v>
      </c>
      <c r="W1640" t="s">
        <v>7362</v>
      </c>
      <c r="Z1640" t="s">
        <v>8669</v>
      </c>
      <c r="AC1640">
        <v>359</v>
      </c>
      <c r="AD1640" t="s">
        <v>12422</v>
      </c>
      <c r="AF1640">
        <v>6</v>
      </c>
      <c r="AG1640">
        <v>1</v>
      </c>
      <c r="AH1640">
        <v>2</v>
      </c>
      <c r="AI1640">
        <v>97.52</v>
      </c>
      <c r="AL1640" t="s">
        <v>12460</v>
      </c>
      <c r="AM1640">
        <v>20800</v>
      </c>
      <c r="AN1640" t="s">
        <v>12638</v>
      </c>
      <c r="AS1640">
        <v>0</v>
      </c>
      <c r="AU1640" t="s">
        <v>218</v>
      </c>
    </row>
    <row r="1641" spans="1:48">
      <c r="A1641" s="1">
        <f>HYPERLINK("https://cms.ls-nyc.org/matter/dynamic-profile/view/1893460","19-1893460")</f>
        <v>0</v>
      </c>
      <c r="B1641" t="s">
        <v>120</v>
      </c>
      <c r="C1641" t="s">
        <v>469</v>
      </c>
      <c r="E1641" t="s">
        <v>1421</v>
      </c>
      <c r="F1641" t="s">
        <v>2930</v>
      </c>
      <c r="G1641" t="s">
        <v>4638</v>
      </c>
      <c r="H1641" t="s">
        <v>5489</v>
      </c>
      <c r="I1641" t="s">
        <v>6048</v>
      </c>
      <c r="J1641">
        <v>10301</v>
      </c>
      <c r="K1641" t="s">
        <v>6074</v>
      </c>
      <c r="L1641" t="s">
        <v>6074</v>
      </c>
      <c r="M1641" t="s">
        <v>6763</v>
      </c>
      <c r="N1641" t="s">
        <v>7274</v>
      </c>
      <c r="O1641" t="s">
        <v>7308</v>
      </c>
      <c r="Q1641" t="s">
        <v>7322</v>
      </c>
      <c r="R1641" t="s">
        <v>6076</v>
      </c>
      <c r="S1641" t="s">
        <v>7324</v>
      </c>
      <c r="T1641" t="s">
        <v>7336</v>
      </c>
      <c r="U1641" t="s">
        <v>469</v>
      </c>
      <c r="V1641">
        <v>1575</v>
      </c>
      <c r="W1641" t="s">
        <v>7364</v>
      </c>
      <c r="Z1641" t="s">
        <v>8670</v>
      </c>
      <c r="AA1641" t="s">
        <v>10183</v>
      </c>
      <c r="AB1641" t="s">
        <v>11396</v>
      </c>
      <c r="AC1641">
        <v>2</v>
      </c>
      <c r="AF1641">
        <v>1</v>
      </c>
      <c r="AG1641">
        <v>2</v>
      </c>
      <c r="AH1641">
        <v>1</v>
      </c>
      <c r="AI1641">
        <v>97.52</v>
      </c>
      <c r="AL1641" t="s">
        <v>12460</v>
      </c>
      <c r="AM1641">
        <v>20800</v>
      </c>
      <c r="AS1641">
        <v>9.5</v>
      </c>
      <c r="AT1641" t="s">
        <v>324</v>
      </c>
      <c r="AU1641" t="s">
        <v>13102</v>
      </c>
    </row>
    <row r="1642" spans="1:48">
      <c r="A1642" s="1">
        <f>HYPERLINK("https://cms.ls-nyc.org/matter/dynamic-profile/view/1872666","18-1872666")</f>
        <v>0</v>
      </c>
      <c r="B1642" t="s">
        <v>118</v>
      </c>
      <c r="C1642" t="s">
        <v>242</v>
      </c>
      <c r="D1642" t="s">
        <v>437</v>
      </c>
      <c r="E1642" t="s">
        <v>1452</v>
      </c>
      <c r="F1642" t="s">
        <v>2663</v>
      </c>
      <c r="G1642" t="s">
        <v>4639</v>
      </c>
      <c r="H1642">
        <v>3001</v>
      </c>
      <c r="I1642" t="s">
        <v>6048</v>
      </c>
      <c r="J1642">
        <v>10304</v>
      </c>
      <c r="K1642" t="s">
        <v>6074</v>
      </c>
      <c r="L1642" t="s">
        <v>6074</v>
      </c>
      <c r="M1642" t="s">
        <v>6764</v>
      </c>
      <c r="N1642" t="s">
        <v>7274</v>
      </c>
      <c r="O1642" t="s">
        <v>7307</v>
      </c>
      <c r="P1642" t="s">
        <v>7315</v>
      </c>
      <c r="Q1642" t="s">
        <v>7322</v>
      </c>
      <c r="R1642" t="s">
        <v>6076</v>
      </c>
      <c r="S1642" t="s">
        <v>7324</v>
      </c>
      <c r="T1642" t="s">
        <v>7336</v>
      </c>
      <c r="U1642" t="s">
        <v>242</v>
      </c>
      <c r="V1642">
        <v>867</v>
      </c>
      <c r="W1642" t="s">
        <v>7364</v>
      </c>
      <c r="X1642" t="s">
        <v>7371</v>
      </c>
      <c r="Y1642" t="s">
        <v>7386</v>
      </c>
      <c r="Z1642" t="s">
        <v>8671</v>
      </c>
      <c r="AB1642" t="s">
        <v>11397</v>
      </c>
      <c r="AC1642">
        <v>104</v>
      </c>
      <c r="AD1642" t="s">
        <v>12422</v>
      </c>
      <c r="AE1642" t="s">
        <v>12434</v>
      </c>
      <c r="AF1642">
        <v>2</v>
      </c>
      <c r="AG1642">
        <v>1</v>
      </c>
      <c r="AH1642">
        <v>0</v>
      </c>
      <c r="AI1642">
        <v>97.55</v>
      </c>
      <c r="AL1642" t="s">
        <v>12460</v>
      </c>
      <c r="AM1642">
        <v>11843</v>
      </c>
      <c r="AS1642">
        <v>5.2</v>
      </c>
      <c r="AT1642" t="s">
        <v>231</v>
      </c>
      <c r="AU1642" t="s">
        <v>13122</v>
      </c>
    </row>
    <row r="1643" spans="1:48">
      <c r="A1643" s="1">
        <f>HYPERLINK("https://cms.ls-nyc.org/matter/dynamic-profile/view/1889837","19-1889837")</f>
        <v>0</v>
      </c>
      <c r="B1643" t="s">
        <v>86</v>
      </c>
      <c r="C1643" t="s">
        <v>286</v>
      </c>
      <c r="E1643" t="s">
        <v>1419</v>
      </c>
      <c r="F1643" t="s">
        <v>2896</v>
      </c>
      <c r="G1643" t="s">
        <v>4606</v>
      </c>
      <c r="H1643" t="s">
        <v>5382</v>
      </c>
      <c r="I1643" t="s">
        <v>6043</v>
      </c>
      <c r="J1643">
        <v>11208</v>
      </c>
      <c r="K1643" t="s">
        <v>6074</v>
      </c>
      <c r="L1643" t="s">
        <v>6074</v>
      </c>
      <c r="M1643" t="s">
        <v>6104</v>
      </c>
      <c r="N1643" t="s">
        <v>7291</v>
      </c>
      <c r="O1643" t="s">
        <v>7309</v>
      </c>
      <c r="Q1643" t="s">
        <v>7322</v>
      </c>
      <c r="R1643" t="s">
        <v>6076</v>
      </c>
      <c r="S1643" t="s">
        <v>7327</v>
      </c>
      <c r="U1643" t="s">
        <v>337</v>
      </c>
      <c r="V1643">
        <v>1303</v>
      </c>
      <c r="W1643" t="s">
        <v>7362</v>
      </c>
      <c r="X1643" t="s">
        <v>7368</v>
      </c>
      <c r="Z1643" t="s">
        <v>8611</v>
      </c>
      <c r="AA1643" t="s">
        <v>10177</v>
      </c>
      <c r="AB1643" t="s">
        <v>11346</v>
      </c>
      <c r="AC1643">
        <v>12</v>
      </c>
      <c r="AD1643" t="s">
        <v>6322</v>
      </c>
      <c r="AE1643" t="s">
        <v>12435</v>
      </c>
      <c r="AF1643">
        <v>2</v>
      </c>
      <c r="AG1643">
        <v>1</v>
      </c>
      <c r="AH1643">
        <v>1</v>
      </c>
      <c r="AI1643">
        <v>97.70999999999999</v>
      </c>
      <c r="AL1643" t="s">
        <v>12461</v>
      </c>
      <c r="AM1643">
        <v>16523</v>
      </c>
      <c r="AS1643">
        <v>52.75</v>
      </c>
      <c r="AT1643" t="s">
        <v>460</v>
      </c>
      <c r="AU1643" t="s">
        <v>218</v>
      </c>
    </row>
    <row r="1644" spans="1:48">
      <c r="A1644" s="1">
        <f>HYPERLINK("https://cms.ls-nyc.org/matter/dynamic-profile/view/1898667","19-1898667")</f>
        <v>0</v>
      </c>
      <c r="B1644" t="s">
        <v>83</v>
      </c>
      <c r="C1644" t="s">
        <v>309</v>
      </c>
      <c r="E1644" t="s">
        <v>645</v>
      </c>
      <c r="F1644" t="s">
        <v>2122</v>
      </c>
      <c r="G1644" t="s">
        <v>3717</v>
      </c>
      <c r="I1644" t="s">
        <v>6043</v>
      </c>
      <c r="J1644">
        <v>11231</v>
      </c>
      <c r="K1644" t="s">
        <v>6074</v>
      </c>
      <c r="L1644" t="s">
        <v>6074</v>
      </c>
      <c r="O1644" t="s">
        <v>7311</v>
      </c>
      <c r="Q1644" t="s">
        <v>7322</v>
      </c>
      <c r="S1644" t="s">
        <v>7324</v>
      </c>
      <c r="U1644" t="s">
        <v>309</v>
      </c>
      <c r="V1644">
        <v>0</v>
      </c>
      <c r="W1644" t="s">
        <v>7362</v>
      </c>
      <c r="Z1644" t="s">
        <v>7485</v>
      </c>
      <c r="AB1644" t="s">
        <v>10349</v>
      </c>
      <c r="AC1644">
        <v>0</v>
      </c>
      <c r="AF1644">
        <v>0</v>
      </c>
      <c r="AG1644">
        <v>2</v>
      </c>
      <c r="AH1644">
        <v>0</v>
      </c>
      <c r="AI1644">
        <v>97.76000000000001</v>
      </c>
      <c r="AL1644" t="s">
        <v>12460</v>
      </c>
      <c r="AM1644">
        <v>16532</v>
      </c>
      <c r="AS1644">
        <v>0</v>
      </c>
      <c r="AU1644" t="s">
        <v>88</v>
      </c>
    </row>
    <row r="1645" spans="1:48">
      <c r="A1645" s="1">
        <f>HYPERLINK("https://cms.ls-nyc.org/matter/dynamic-profile/view/1869936","18-1869936")</f>
        <v>0</v>
      </c>
      <c r="B1645" t="s">
        <v>95</v>
      </c>
      <c r="C1645" t="s">
        <v>458</v>
      </c>
      <c r="D1645" t="s">
        <v>427</v>
      </c>
      <c r="E1645" t="s">
        <v>1453</v>
      </c>
      <c r="F1645" t="s">
        <v>2931</v>
      </c>
      <c r="G1645" t="s">
        <v>4640</v>
      </c>
      <c r="H1645" t="s">
        <v>5400</v>
      </c>
      <c r="I1645" t="s">
        <v>6024</v>
      </c>
      <c r="J1645">
        <v>11692</v>
      </c>
      <c r="K1645" t="s">
        <v>6074</v>
      </c>
      <c r="L1645" t="s">
        <v>6074</v>
      </c>
      <c r="M1645" t="s">
        <v>6765</v>
      </c>
      <c r="N1645" t="s">
        <v>7276</v>
      </c>
      <c r="O1645" t="s">
        <v>7306</v>
      </c>
      <c r="P1645" t="s">
        <v>7314</v>
      </c>
      <c r="Q1645" t="s">
        <v>7322</v>
      </c>
      <c r="R1645" t="s">
        <v>6076</v>
      </c>
      <c r="S1645" t="s">
        <v>7324</v>
      </c>
      <c r="T1645" t="s">
        <v>7336</v>
      </c>
      <c r="U1645" t="s">
        <v>231</v>
      </c>
      <c r="V1645">
        <v>1200</v>
      </c>
      <c r="W1645" t="s">
        <v>7361</v>
      </c>
      <c r="X1645" t="s">
        <v>7366</v>
      </c>
      <c r="Y1645" t="s">
        <v>7386</v>
      </c>
      <c r="Z1645" t="s">
        <v>8672</v>
      </c>
      <c r="AA1645" t="s">
        <v>6101</v>
      </c>
      <c r="AB1645" t="s">
        <v>11398</v>
      </c>
      <c r="AC1645">
        <v>60</v>
      </c>
      <c r="AD1645" t="s">
        <v>6322</v>
      </c>
      <c r="AE1645" t="s">
        <v>12434</v>
      </c>
      <c r="AF1645">
        <v>3</v>
      </c>
      <c r="AG1645">
        <v>1</v>
      </c>
      <c r="AH1645">
        <v>1</v>
      </c>
      <c r="AI1645">
        <v>97.93000000000001</v>
      </c>
      <c r="AL1645" t="s">
        <v>12460</v>
      </c>
      <c r="AM1645">
        <v>16120</v>
      </c>
      <c r="AS1645">
        <v>1.2</v>
      </c>
      <c r="AT1645" t="s">
        <v>427</v>
      </c>
      <c r="AU1645" t="s">
        <v>189</v>
      </c>
    </row>
    <row r="1646" spans="1:48">
      <c r="A1646" s="1">
        <f>HYPERLINK("https://cms.ls-nyc.org/matter/dynamic-profile/view/1895933","19-1895933")</f>
        <v>0</v>
      </c>
      <c r="B1646" t="s">
        <v>54</v>
      </c>
      <c r="C1646" t="s">
        <v>270</v>
      </c>
      <c r="E1646" t="s">
        <v>961</v>
      </c>
      <c r="F1646" t="s">
        <v>1245</v>
      </c>
      <c r="G1646" t="s">
        <v>4641</v>
      </c>
      <c r="H1646" t="s">
        <v>5357</v>
      </c>
      <c r="I1646" t="s">
        <v>6041</v>
      </c>
      <c r="J1646">
        <v>11365</v>
      </c>
      <c r="K1646" t="s">
        <v>6074</v>
      </c>
      <c r="L1646" t="s">
        <v>6074</v>
      </c>
      <c r="M1646" t="s">
        <v>6766</v>
      </c>
      <c r="N1646" t="s">
        <v>7274</v>
      </c>
      <c r="O1646" t="s">
        <v>7308</v>
      </c>
      <c r="Q1646" t="s">
        <v>7322</v>
      </c>
      <c r="R1646" t="s">
        <v>6076</v>
      </c>
      <c r="S1646" t="s">
        <v>7324</v>
      </c>
      <c r="U1646" t="s">
        <v>270</v>
      </c>
      <c r="V1646">
        <v>1350</v>
      </c>
      <c r="W1646" t="s">
        <v>7361</v>
      </c>
      <c r="X1646" t="s">
        <v>7366</v>
      </c>
      <c r="Z1646" t="s">
        <v>8673</v>
      </c>
      <c r="AB1646" t="s">
        <v>11399</v>
      </c>
      <c r="AC1646">
        <v>0</v>
      </c>
      <c r="AD1646" t="s">
        <v>6322</v>
      </c>
      <c r="AE1646" t="s">
        <v>6110</v>
      </c>
      <c r="AF1646">
        <v>23</v>
      </c>
      <c r="AG1646">
        <v>3</v>
      </c>
      <c r="AH1646">
        <v>0</v>
      </c>
      <c r="AI1646">
        <v>98.45</v>
      </c>
      <c r="AL1646" t="s">
        <v>12460</v>
      </c>
      <c r="AM1646">
        <v>21000</v>
      </c>
      <c r="AS1646">
        <v>5.35</v>
      </c>
      <c r="AT1646" t="s">
        <v>423</v>
      </c>
      <c r="AU1646" t="s">
        <v>189</v>
      </c>
    </row>
    <row r="1647" spans="1:48">
      <c r="A1647" s="1">
        <f>HYPERLINK("https://cms.ls-nyc.org/matter/dynamic-profile/view/1851528","17-1851528")</f>
        <v>0</v>
      </c>
      <c r="B1647" t="s">
        <v>203</v>
      </c>
      <c r="C1647" t="s">
        <v>509</v>
      </c>
      <c r="D1647" t="s">
        <v>376</v>
      </c>
      <c r="E1647" t="s">
        <v>796</v>
      </c>
      <c r="F1647" t="s">
        <v>2732</v>
      </c>
      <c r="G1647" t="s">
        <v>4642</v>
      </c>
      <c r="H1647">
        <v>2</v>
      </c>
      <c r="I1647" t="s">
        <v>6043</v>
      </c>
      <c r="J1647">
        <v>11207</v>
      </c>
      <c r="K1647" t="s">
        <v>6074</v>
      </c>
      <c r="L1647" t="s">
        <v>6074</v>
      </c>
      <c r="N1647" t="s">
        <v>6104</v>
      </c>
      <c r="O1647" t="s">
        <v>7306</v>
      </c>
      <c r="P1647" t="s">
        <v>7314</v>
      </c>
      <c r="Q1647" t="s">
        <v>7322</v>
      </c>
      <c r="R1647" t="s">
        <v>6076</v>
      </c>
      <c r="S1647" t="s">
        <v>7324</v>
      </c>
      <c r="U1647" t="s">
        <v>434</v>
      </c>
      <c r="V1647">
        <v>1750</v>
      </c>
      <c r="W1647" t="s">
        <v>7362</v>
      </c>
      <c r="X1647" t="s">
        <v>7368</v>
      </c>
      <c r="Y1647" t="s">
        <v>7386</v>
      </c>
      <c r="Z1647" t="s">
        <v>8674</v>
      </c>
      <c r="AB1647" t="s">
        <v>11400</v>
      </c>
      <c r="AC1647">
        <v>2</v>
      </c>
      <c r="AD1647" t="s">
        <v>6322</v>
      </c>
      <c r="AE1647" t="s">
        <v>12434</v>
      </c>
      <c r="AF1647">
        <v>18</v>
      </c>
      <c r="AG1647">
        <v>1</v>
      </c>
      <c r="AH1647">
        <v>0</v>
      </c>
      <c r="AI1647">
        <v>98.51000000000001</v>
      </c>
      <c r="AL1647" t="s">
        <v>12460</v>
      </c>
      <c r="AM1647">
        <v>11880</v>
      </c>
      <c r="AN1647" t="s">
        <v>12508</v>
      </c>
      <c r="AS1647">
        <v>1</v>
      </c>
      <c r="AT1647" t="s">
        <v>13071</v>
      </c>
      <c r="AU1647" t="s">
        <v>13079</v>
      </c>
    </row>
    <row r="1648" spans="1:48">
      <c r="A1648" s="1">
        <f>HYPERLINK("https://cms.ls-nyc.org/matter/dynamic-profile/view/1877708","18-1877708")</f>
        <v>0</v>
      </c>
      <c r="B1648" t="s">
        <v>97</v>
      </c>
      <c r="C1648" t="s">
        <v>383</v>
      </c>
      <c r="D1648" t="s">
        <v>389</v>
      </c>
      <c r="E1648" t="s">
        <v>1454</v>
      </c>
      <c r="F1648" t="s">
        <v>2932</v>
      </c>
      <c r="G1648" t="s">
        <v>4643</v>
      </c>
      <c r="H1648" t="s">
        <v>5446</v>
      </c>
      <c r="I1648" t="s">
        <v>6047</v>
      </c>
      <c r="J1648">
        <v>10452</v>
      </c>
      <c r="K1648" t="s">
        <v>6074</v>
      </c>
      <c r="L1648" t="s">
        <v>6074</v>
      </c>
      <c r="N1648" t="s">
        <v>6104</v>
      </c>
      <c r="O1648" t="s">
        <v>7306</v>
      </c>
      <c r="P1648" t="s">
        <v>7314</v>
      </c>
      <c r="Q1648" t="s">
        <v>7322</v>
      </c>
      <c r="R1648" t="s">
        <v>6076</v>
      </c>
      <c r="S1648" t="s">
        <v>7324</v>
      </c>
      <c r="U1648" t="s">
        <v>383</v>
      </c>
      <c r="V1648">
        <v>1413.65</v>
      </c>
      <c r="W1648" t="s">
        <v>7363</v>
      </c>
      <c r="X1648" t="s">
        <v>7376</v>
      </c>
      <c r="Y1648" t="s">
        <v>7386</v>
      </c>
      <c r="Z1648" t="s">
        <v>8675</v>
      </c>
      <c r="AB1648" t="s">
        <v>11401</v>
      </c>
      <c r="AC1648">
        <v>129</v>
      </c>
      <c r="AD1648" t="s">
        <v>12422</v>
      </c>
      <c r="AE1648" t="s">
        <v>12438</v>
      </c>
      <c r="AF1648">
        <v>4</v>
      </c>
      <c r="AG1648">
        <v>1</v>
      </c>
      <c r="AH1648">
        <v>0</v>
      </c>
      <c r="AI1648">
        <v>98.52</v>
      </c>
      <c r="AL1648" t="s">
        <v>12461</v>
      </c>
      <c r="AM1648">
        <v>11960</v>
      </c>
      <c r="AS1648">
        <v>1.4</v>
      </c>
      <c r="AT1648" t="s">
        <v>389</v>
      </c>
      <c r="AU1648" t="s">
        <v>97</v>
      </c>
    </row>
    <row r="1649" spans="1:47">
      <c r="A1649" s="1">
        <f>HYPERLINK("https://cms.ls-nyc.org/matter/dynamic-profile/view/1864743","18-1864743")</f>
        <v>0</v>
      </c>
      <c r="B1649" t="s">
        <v>82</v>
      </c>
      <c r="C1649" t="s">
        <v>510</v>
      </c>
      <c r="E1649" t="s">
        <v>1455</v>
      </c>
      <c r="F1649" t="s">
        <v>2933</v>
      </c>
      <c r="G1649" t="s">
        <v>3731</v>
      </c>
      <c r="H1649" t="s">
        <v>5748</v>
      </c>
      <c r="I1649" t="s">
        <v>6043</v>
      </c>
      <c r="J1649">
        <v>11225</v>
      </c>
      <c r="K1649" t="s">
        <v>6074</v>
      </c>
      <c r="L1649" t="s">
        <v>6074</v>
      </c>
      <c r="M1649" t="s">
        <v>6767</v>
      </c>
      <c r="N1649" t="s">
        <v>7273</v>
      </c>
      <c r="O1649" t="s">
        <v>7308</v>
      </c>
      <c r="Q1649" t="s">
        <v>7322</v>
      </c>
      <c r="R1649" t="s">
        <v>6074</v>
      </c>
      <c r="S1649" t="s">
        <v>7324</v>
      </c>
      <c r="U1649" t="s">
        <v>502</v>
      </c>
      <c r="V1649">
        <v>1322.21</v>
      </c>
      <c r="W1649" t="s">
        <v>7362</v>
      </c>
      <c r="X1649" t="s">
        <v>7376</v>
      </c>
      <c r="Z1649" t="s">
        <v>8676</v>
      </c>
      <c r="AC1649">
        <v>47</v>
      </c>
      <c r="AD1649" t="s">
        <v>12422</v>
      </c>
      <c r="AE1649" t="s">
        <v>6110</v>
      </c>
      <c r="AF1649">
        <v>15</v>
      </c>
      <c r="AG1649">
        <v>2</v>
      </c>
      <c r="AH1649">
        <v>3</v>
      </c>
      <c r="AI1649">
        <v>98.56999999999999</v>
      </c>
      <c r="AL1649" t="s">
        <v>12460</v>
      </c>
      <c r="AM1649">
        <v>29000</v>
      </c>
      <c r="AS1649">
        <v>59.25</v>
      </c>
      <c r="AT1649" t="s">
        <v>293</v>
      </c>
      <c r="AU1649" t="s">
        <v>13087</v>
      </c>
    </row>
    <row r="1650" spans="1:47">
      <c r="A1650" s="1">
        <f>HYPERLINK("https://cms.ls-nyc.org/matter/dynamic-profile/view/1875260","18-1875260")</f>
        <v>0</v>
      </c>
      <c r="B1650" t="s">
        <v>128</v>
      </c>
      <c r="C1650" t="s">
        <v>399</v>
      </c>
      <c r="E1650" t="s">
        <v>1456</v>
      </c>
      <c r="F1650" t="s">
        <v>2284</v>
      </c>
      <c r="G1650" t="s">
        <v>4644</v>
      </c>
      <c r="H1650" t="s">
        <v>5749</v>
      </c>
      <c r="I1650" t="s">
        <v>6049</v>
      </c>
      <c r="J1650">
        <v>10034</v>
      </c>
      <c r="K1650" t="s">
        <v>6074</v>
      </c>
      <c r="L1650" t="s">
        <v>6074</v>
      </c>
      <c r="N1650" t="s">
        <v>6104</v>
      </c>
      <c r="O1650" t="s">
        <v>7307</v>
      </c>
      <c r="Q1650" t="s">
        <v>7322</v>
      </c>
      <c r="R1650" t="s">
        <v>6076</v>
      </c>
      <c r="S1650" t="s">
        <v>7324</v>
      </c>
      <c r="U1650" t="s">
        <v>399</v>
      </c>
      <c r="V1650">
        <v>1044.25</v>
      </c>
      <c r="W1650" t="s">
        <v>7365</v>
      </c>
      <c r="X1650" t="s">
        <v>7368</v>
      </c>
      <c r="Z1650" t="s">
        <v>8677</v>
      </c>
      <c r="AB1650" t="s">
        <v>11402</v>
      </c>
      <c r="AC1650">
        <v>73</v>
      </c>
      <c r="AD1650" t="s">
        <v>12422</v>
      </c>
      <c r="AE1650" t="s">
        <v>6110</v>
      </c>
      <c r="AF1650">
        <v>43</v>
      </c>
      <c r="AG1650">
        <v>2</v>
      </c>
      <c r="AH1650">
        <v>0</v>
      </c>
      <c r="AI1650">
        <v>98.56999999999999</v>
      </c>
      <c r="AL1650" t="s">
        <v>12461</v>
      </c>
      <c r="AM1650">
        <v>16224</v>
      </c>
      <c r="AS1650">
        <v>1.6</v>
      </c>
      <c r="AT1650" t="s">
        <v>262</v>
      </c>
      <c r="AU1650" t="s">
        <v>13106</v>
      </c>
    </row>
    <row r="1651" spans="1:47">
      <c r="A1651" s="1">
        <f>HYPERLINK("https://cms.ls-nyc.org/matter/dynamic-profile/view/1883248","18-1883248")</f>
        <v>0</v>
      </c>
      <c r="B1651" t="s">
        <v>52</v>
      </c>
      <c r="C1651" t="s">
        <v>403</v>
      </c>
      <c r="E1651" t="s">
        <v>937</v>
      </c>
      <c r="F1651" t="s">
        <v>2934</v>
      </c>
      <c r="G1651" t="s">
        <v>4645</v>
      </c>
      <c r="H1651" t="s">
        <v>5483</v>
      </c>
      <c r="I1651" t="s">
        <v>6040</v>
      </c>
      <c r="J1651">
        <v>11355</v>
      </c>
      <c r="K1651" t="s">
        <v>6074</v>
      </c>
      <c r="L1651" t="s">
        <v>6074</v>
      </c>
      <c r="M1651" t="s">
        <v>6768</v>
      </c>
      <c r="N1651" t="s">
        <v>7274</v>
      </c>
      <c r="O1651" t="s">
        <v>7308</v>
      </c>
      <c r="Q1651" t="s">
        <v>7322</v>
      </c>
      <c r="R1651" t="s">
        <v>6076</v>
      </c>
      <c r="S1651" t="s">
        <v>7324</v>
      </c>
      <c r="T1651" t="s">
        <v>7336</v>
      </c>
      <c r="U1651" t="s">
        <v>403</v>
      </c>
      <c r="V1651">
        <v>1227.86</v>
      </c>
      <c r="W1651" t="s">
        <v>7361</v>
      </c>
      <c r="X1651" t="s">
        <v>7366</v>
      </c>
      <c r="Z1651" t="s">
        <v>8678</v>
      </c>
      <c r="AA1651" t="s">
        <v>10184</v>
      </c>
      <c r="AB1651" t="s">
        <v>11403</v>
      </c>
      <c r="AC1651">
        <v>86</v>
      </c>
      <c r="AD1651" t="s">
        <v>12422</v>
      </c>
      <c r="AE1651" t="s">
        <v>6110</v>
      </c>
      <c r="AF1651">
        <v>21</v>
      </c>
      <c r="AG1651">
        <v>1</v>
      </c>
      <c r="AH1651">
        <v>0</v>
      </c>
      <c r="AI1651">
        <v>98.84999999999999</v>
      </c>
      <c r="AL1651" t="s">
        <v>12461</v>
      </c>
      <c r="AM1651">
        <v>12000</v>
      </c>
      <c r="AS1651">
        <v>41.7</v>
      </c>
      <c r="AT1651" t="s">
        <v>564</v>
      </c>
      <c r="AU1651" t="s">
        <v>48</v>
      </c>
    </row>
    <row r="1652" spans="1:47">
      <c r="A1652" s="1">
        <f>HYPERLINK("https://cms.ls-nyc.org/matter/dynamic-profile/view/1887315","19-1887315")</f>
        <v>0</v>
      </c>
      <c r="B1652" t="s">
        <v>90</v>
      </c>
      <c r="C1652" t="s">
        <v>267</v>
      </c>
      <c r="D1652" t="s">
        <v>267</v>
      </c>
      <c r="E1652" t="s">
        <v>1457</v>
      </c>
      <c r="F1652" t="s">
        <v>1105</v>
      </c>
      <c r="G1652" t="s">
        <v>4646</v>
      </c>
      <c r="H1652" t="s">
        <v>5426</v>
      </c>
      <c r="I1652" t="s">
        <v>6043</v>
      </c>
      <c r="J1652">
        <v>11238</v>
      </c>
      <c r="K1652" t="s">
        <v>6074</v>
      </c>
      <c r="L1652" t="s">
        <v>6074</v>
      </c>
      <c r="N1652" t="s">
        <v>7273</v>
      </c>
      <c r="O1652" t="s">
        <v>7306</v>
      </c>
      <c r="P1652" t="s">
        <v>7314</v>
      </c>
      <c r="Q1652" t="s">
        <v>7322</v>
      </c>
      <c r="R1652" t="s">
        <v>6076</v>
      </c>
      <c r="S1652" t="s">
        <v>7324</v>
      </c>
      <c r="U1652" t="s">
        <v>462</v>
      </c>
      <c r="V1652">
        <v>938</v>
      </c>
      <c r="W1652" t="s">
        <v>7362</v>
      </c>
      <c r="X1652" t="s">
        <v>7375</v>
      </c>
      <c r="Y1652" t="s">
        <v>7386</v>
      </c>
      <c r="Z1652" t="s">
        <v>8679</v>
      </c>
      <c r="AB1652" t="s">
        <v>11404</v>
      </c>
      <c r="AC1652">
        <v>0</v>
      </c>
      <c r="AE1652" t="s">
        <v>6110</v>
      </c>
      <c r="AF1652">
        <v>25</v>
      </c>
      <c r="AG1652">
        <v>1</v>
      </c>
      <c r="AH1652">
        <v>0</v>
      </c>
      <c r="AI1652">
        <v>98.84999999999999</v>
      </c>
      <c r="AL1652" t="s">
        <v>12460</v>
      </c>
      <c r="AM1652">
        <v>12000</v>
      </c>
      <c r="AS1652">
        <v>0.2</v>
      </c>
      <c r="AT1652" t="s">
        <v>267</v>
      </c>
      <c r="AU1652" t="s">
        <v>180</v>
      </c>
    </row>
    <row r="1653" spans="1:47">
      <c r="A1653" s="1">
        <f>HYPERLINK("https://cms.ls-nyc.org/matter/dynamic-profile/view/1886615","18-1886615")</f>
        <v>0</v>
      </c>
      <c r="B1653" t="s">
        <v>66</v>
      </c>
      <c r="C1653" t="s">
        <v>346</v>
      </c>
      <c r="D1653" t="s">
        <v>337</v>
      </c>
      <c r="E1653" t="s">
        <v>1458</v>
      </c>
      <c r="F1653" t="s">
        <v>2935</v>
      </c>
      <c r="G1653" t="s">
        <v>4647</v>
      </c>
      <c r="H1653" t="s">
        <v>5578</v>
      </c>
      <c r="I1653" t="s">
        <v>6045</v>
      </c>
      <c r="J1653">
        <v>11101</v>
      </c>
      <c r="K1653" t="s">
        <v>6074</v>
      </c>
      <c r="L1653" t="s">
        <v>6074</v>
      </c>
      <c r="M1653" t="s">
        <v>6769</v>
      </c>
      <c r="N1653" t="s">
        <v>7276</v>
      </c>
      <c r="O1653" t="s">
        <v>7306</v>
      </c>
      <c r="P1653" t="s">
        <v>7314</v>
      </c>
      <c r="Q1653" t="s">
        <v>7322</v>
      </c>
      <c r="R1653" t="s">
        <v>6076</v>
      </c>
      <c r="S1653" t="s">
        <v>7324</v>
      </c>
      <c r="T1653" t="s">
        <v>7337</v>
      </c>
      <c r="U1653" t="s">
        <v>346</v>
      </c>
      <c r="V1653">
        <v>1900</v>
      </c>
      <c r="W1653" t="s">
        <v>7361</v>
      </c>
      <c r="X1653" t="s">
        <v>7366</v>
      </c>
      <c r="Y1653" t="s">
        <v>7386</v>
      </c>
      <c r="Z1653" t="s">
        <v>8680</v>
      </c>
      <c r="AA1653" t="s">
        <v>6110</v>
      </c>
      <c r="AB1653" t="s">
        <v>11405</v>
      </c>
      <c r="AC1653">
        <v>6</v>
      </c>
      <c r="AD1653" t="s">
        <v>12422</v>
      </c>
      <c r="AE1653" t="s">
        <v>6110</v>
      </c>
      <c r="AF1653">
        <v>2</v>
      </c>
      <c r="AG1653">
        <v>1</v>
      </c>
      <c r="AH1653">
        <v>0</v>
      </c>
      <c r="AI1653">
        <v>98.84999999999999</v>
      </c>
      <c r="AL1653" t="s">
        <v>12460</v>
      </c>
      <c r="AM1653">
        <v>12000</v>
      </c>
      <c r="AS1653">
        <v>1.35</v>
      </c>
      <c r="AT1653" t="s">
        <v>422</v>
      </c>
      <c r="AU1653" t="s">
        <v>66</v>
      </c>
    </row>
    <row r="1654" spans="1:47">
      <c r="A1654" s="1">
        <f>HYPERLINK("https://cms.ls-nyc.org/matter/dynamic-profile/view/1880408","18-1880408")</f>
        <v>0</v>
      </c>
      <c r="B1654" t="s">
        <v>108</v>
      </c>
      <c r="C1654" t="s">
        <v>307</v>
      </c>
      <c r="D1654" t="s">
        <v>472</v>
      </c>
      <c r="E1654" t="s">
        <v>1459</v>
      </c>
      <c r="F1654" t="s">
        <v>2936</v>
      </c>
      <c r="G1654" t="s">
        <v>4139</v>
      </c>
      <c r="H1654" t="s">
        <v>5750</v>
      </c>
      <c r="I1654" t="s">
        <v>6047</v>
      </c>
      <c r="J1654">
        <v>10453</v>
      </c>
      <c r="K1654" t="s">
        <v>6074</v>
      </c>
      <c r="L1654" t="s">
        <v>6074</v>
      </c>
      <c r="M1654" t="s">
        <v>6770</v>
      </c>
      <c r="N1654" t="s">
        <v>7276</v>
      </c>
      <c r="O1654" t="s">
        <v>7306</v>
      </c>
      <c r="P1654" t="s">
        <v>7314</v>
      </c>
      <c r="Q1654" t="s">
        <v>7322</v>
      </c>
      <c r="S1654" t="s">
        <v>7324</v>
      </c>
      <c r="U1654" t="s">
        <v>359</v>
      </c>
      <c r="V1654">
        <v>1488</v>
      </c>
      <c r="W1654" t="s">
        <v>7363</v>
      </c>
      <c r="Y1654" t="s">
        <v>7386</v>
      </c>
      <c r="Z1654" t="s">
        <v>8681</v>
      </c>
      <c r="AB1654" t="s">
        <v>11406</v>
      </c>
      <c r="AC1654">
        <v>380</v>
      </c>
      <c r="AD1654" t="s">
        <v>12420</v>
      </c>
      <c r="AE1654" t="s">
        <v>12434</v>
      </c>
      <c r="AF1654">
        <v>25</v>
      </c>
      <c r="AG1654">
        <v>1</v>
      </c>
      <c r="AH1654">
        <v>0</v>
      </c>
      <c r="AI1654">
        <v>98.84999999999999</v>
      </c>
      <c r="AL1654" t="s">
        <v>12460</v>
      </c>
      <c r="AM1654">
        <v>12000</v>
      </c>
      <c r="AS1654">
        <v>2</v>
      </c>
      <c r="AT1654" t="s">
        <v>369</v>
      </c>
      <c r="AU1654" t="s">
        <v>13104</v>
      </c>
    </row>
    <row r="1655" spans="1:47">
      <c r="A1655" s="1">
        <f>HYPERLINK("https://cms.ls-nyc.org/matter/dynamic-profile/view/1872608","18-1872608")</f>
        <v>0</v>
      </c>
      <c r="B1655" t="s">
        <v>115</v>
      </c>
      <c r="C1655" t="s">
        <v>242</v>
      </c>
      <c r="D1655" t="s">
        <v>562</v>
      </c>
      <c r="E1655" t="s">
        <v>1460</v>
      </c>
      <c r="F1655" t="s">
        <v>2937</v>
      </c>
      <c r="G1655" t="s">
        <v>4648</v>
      </c>
      <c r="H1655" t="s">
        <v>5465</v>
      </c>
      <c r="I1655" t="s">
        <v>6047</v>
      </c>
      <c r="J1655">
        <v>10452</v>
      </c>
      <c r="K1655" t="s">
        <v>6074</v>
      </c>
      <c r="L1655" t="s">
        <v>6074</v>
      </c>
      <c r="M1655" t="s">
        <v>6101</v>
      </c>
      <c r="N1655" t="s">
        <v>7278</v>
      </c>
      <c r="O1655" t="s">
        <v>7306</v>
      </c>
      <c r="P1655" t="s">
        <v>7314</v>
      </c>
      <c r="Q1655" t="s">
        <v>7322</v>
      </c>
      <c r="R1655" t="s">
        <v>6076</v>
      </c>
      <c r="S1655" t="s">
        <v>7324</v>
      </c>
      <c r="T1655" t="s">
        <v>7336</v>
      </c>
      <c r="U1655" t="s">
        <v>258</v>
      </c>
      <c r="V1655">
        <v>165</v>
      </c>
      <c r="W1655" t="s">
        <v>7363</v>
      </c>
      <c r="X1655" t="s">
        <v>7376</v>
      </c>
      <c r="Y1655" t="s">
        <v>7386</v>
      </c>
      <c r="Z1655" t="s">
        <v>8682</v>
      </c>
      <c r="AB1655" t="s">
        <v>11407</v>
      </c>
      <c r="AC1655">
        <v>56</v>
      </c>
      <c r="AD1655" t="s">
        <v>12422</v>
      </c>
      <c r="AE1655" t="s">
        <v>12434</v>
      </c>
      <c r="AF1655">
        <v>40</v>
      </c>
      <c r="AG1655">
        <v>1</v>
      </c>
      <c r="AH1655">
        <v>0</v>
      </c>
      <c r="AI1655">
        <v>98.84999999999999</v>
      </c>
      <c r="AL1655" t="s">
        <v>12460</v>
      </c>
      <c r="AM1655">
        <v>12000</v>
      </c>
      <c r="AS1655">
        <v>0.5</v>
      </c>
      <c r="AT1655" t="s">
        <v>242</v>
      </c>
      <c r="AU1655" t="s">
        <v>13092</v>
      </c>
    </row>
    <row r="1656" spans="1:47">
      <c r="A1656" s="1">
        <f>HYPERLINK("https://cms.ls-nyc.org/matter/dynamic-profile/view/1872532","18-1872532")</f>
        <v>0</v>
      </c>
      <c r="B1656" t="s">
        <v>154</v>
      </c>
      <c r="C1656" t="s">
        <v>497</v>
      </c>
      <c r="D1656" t="s">
        <v>258</v>
      </c>
      <c r="E1656" t="s">
        <v>1461</v>
      </c>
      <c r="F1656" t="s">
        <v>1647</v>
      </c>
      <c r="G1656" t="s">
        <v>4649</v>
      </c>
      <c r="I1656" t="s">
        <v>6048</v>
      </c>
      <c r="J1656">
        <v>10304</v>
      </c>
      <c r="K1656" t="s">
        <v>6074</v>
      </c>
      <c r="L1656" t="s">
        <v>6074</v>
      </c>
      <c r="M1656" t="s">
        <v>6771</v>
      </c>
      <c r="N1656" t="s">
        <v>7274</v>
      </c>
      <c r="O1656" t="s">
        <v>7308</v>
      </c>
      <c r="P1656" t="s">
        <v>7316</v>
      </c>
      <c r="Q1656" t="s">
        <v>7322</v>
      </c>
      <c r="R1656" t="s">
        <v>6076</v>
      </c>
      <c r="S1656" t="s">
        <v>7324</v>
      </c>
      <c r="T1656" t="s">
        <v>7336</v>
      </c>
      <c r="U1656" t="s">
        <v>497</v>
      </c>
      <c r="V1656">
        <v>0</v>
      </c>
      <c r="W1656" t="s">
        <v>7364</v>
      </c>
      <c r="X1656" t="s">
        <v>7372</v>
      </c>
      <c r="Y1656" t="s">
        <v>7391</v>
      </c>
      <c r="Z1656" t="s">
        <v>8683</v>
      </c>
      <c r="AB1656" t="s">
        <v>11408</v>
      </c>
      <c r="AC1656">
        <v>3</v>
      </c>
      <c r="AD1656" t="s">
        <v>12419</v>
      </c>
      <c r="AF1656">
        <v>0</v>
      </c>
      <c r="AG1656">
        <v>1</v>
      </c>
      <c r="AH1656">
        <v>0</v>
      </c>
      <c r="AI1656">
        <v>98.84999999999999</v>
      </c>
      <c r="AL1656" t="s">
        <v>12460</v>
      </c>
      <c r="AM1656">
        <v>12000</v>
      </c>
      <c r="AQ1656" t="s">
        <v>12910</v>
      </c>
      <c r="AR1656" t="s">
        <v>12955</v>
      </c>
      <c r="AS1656">
        <v>4.4</v>
      </c>
      <c r="AT1656" t="s">
        <v>320</v>
      </c>
      <c r="AU1656" t="s">
        <v>13102</v>
      </c>
    </row>
    <row r="1657" spans="1:47">
      <c r="A1657" s="1">
        <f>HYPERLINK("https://cms.ls-nyc.org/matter/dynamic-profile/view/1897745","19-1897745")</f>
        <v>0</v>
      </c>
      <c r="B1657" t="s">
        <v>126</v>
      </c>
      <c r="C1657" t="s">
        <v>263</v>
      </c>
      <c r="E1657" t="s">
        <v>1462</v>
      </c>
      <c r="F1657" t="s">
        <v>2938</v>
      </c>
      <c r="G1657" t="s">
        <v>4479</v>
      </c>
      <c r="H1657" t="s">
        <v>5444</v>
      </c>
      <c r="I1657" t="s">
        <v>6049</v>
      </c>
      <c r="J1657">
        <v>10035</v>
      </c>
      <c r="K1657" t="s">
        <v>6074</v>
      </c>
      <c r="L1657" t="s">
        <v>6074</v>
      </c>
      <c r="N1657" t="s">
        <v>6104</v>
      </c>
      <c r="O1657" t="s">
        <v>7307</v>
      </c>
      <c r="Q1657" t="s">
        <v>7322</v>
      </c>
      <c r="R1657" t="s">
        <v>6074</v>
      </c>
      <c r="S1657" t="s">
        <v>7324</v>
      </c>
      <c r="T1657" t="s">
        <v>7336</v>
      </c>
      <c r="U1657" t="s">
        <v>279</v>
      </c>
      <c r="V1657">
        <v>1350</v>
      </c>
      <c r="W1657" t="s">
        <v>7365</v>
      </c>
      <c r="X1657" t="s">
        <v>7378</v>
      </c>
      <c r="Z1657" t="s">
        <v>8684</v>
      </c>
      <c r="AB1657" t="s">
        <v>11409</v>
      </c>
      <c r="AC1657">
        <v>60</v>
      </c>
      <c r="AD1657" t="s">
        <v>12422</v>
      </c>
      <c r="AE1657" t="s">
        <v>6110</v>
      </c>
      <c r="AF1657">
        <v>7</v>
      </c>
      <c r="AG1657">
        <v>2</v>
      </c>
      <c r="AH1657">
        <v>4</v>
      </c>
      <c r="AI1657">
        <v>98.87</v>
      </c>
      <c r="AL1657" t="s">
        <v>12460</v>
      </c>
      <c r="AM1657">
        <v>34200</v>
      </c>
      <c r="AS1657">
        <v>0</v>
      </c>
      <c r="AU1657" t="s">
        <v>13107</v>
      </c>
    </row>
    <row r="1658" spans="1:47">
      <c r="A1658" s="1">
        <f>HYPERLINK("https://cms.ls-nyc.org/matter/dynamic-profile/view/1878687","18-1878687")</f>
        <v>0</v>
      </c>
      <c r="B1658" t="s">
        <v>81</v>
      </c>
      <c r="C1658" t="s">
        <v>299</v>
      </c>
      <c r="E1658" t="s">
        <v>657</v>
      </c>
      <c r="F1658" t="s">
        <v>2757</v>
      </c>
      <c r="G1658" t="s">
        <v>4650</v>
      </c>
      <c r="H1658" t="s">
        <v>5489</v>
      </c>
      <c r="I1658" t="s">
        <v>6043</v>
      </c>
      <c r="J1658">
        <v>11226</v>
      </c>
      <c r="K1658" t="s">
        <v>6074</v>
      </c>
      <c r="L1658" t="s">
        <v>6074</v>
      </c>
      <c r="N1658" t="s">
        <v>7273</v>
      </c>
      <c r="O1658" t="s">
        <v>7308</v>
      </c>
      <c r="Q1658" t="s">
        <v>7322</v>
      </c>
      <c r="S1658" t="s">
        <v>7324</v>
      </c>
      <c r="U1658" t="s">
        <v>442</v>
      </c>
      <c r="V1658">
        <v>0</v>
      </c>
      <c r="W1658" t="s">
        <v>7362</v>
      </c>
      <c r="Z1658" t="s">
        <v>8685</v>
      </c>
      <c r="AC1658">
        <v>0</v>
      </c>
      <c r="AF1658">
        <v>0</v>
      </c>
      <c r="AG1658">
        <v>3</v>
      </c>
      <c r="AH1658">
        <v>0</v>
      </c>
      <c r="AI1658">
        <v>99.13</v>
      </c>
      <c r="AL1658" t="s">
        <v>12465</v>
      </c>
      <c r="AM1658">
        <v>20600</v>
      </c>
      <c r="AS1658">
        <v>26.6</v>
      </c>
      <c r="AT1658" t="s">
        <v>275</v>
      </c>
      <c r="AU1658" t="s">
        <v>69</v>
      </c>
    </row>
    <row r="1659" spans="1:47">
      <c r="A1659" s="1">
        <f>HYPERLINK("https://cms.ls-nyc.org/matter/dynamic-profile/view/1882003","18-1882003")</f>
        <v>0</v>
      </c>
      <c r="B1659" t="s">
        <v>116</v>
      </c>
      <c r="C1659" t="s">
        <v>350</v>
      </c>
      <c r="D1659" t="s">
        <v>443</v>
      </c>
      <c r="E1659" t="s">
        <v>866</v>
      </c>
      <c r="F1659" t="s">
        <v>2519</v>
      </c>
      <c r="G1659" t="s">
        <v>4651</v>
      </c>
      <c r="H1659" t="s">
        <v>5387</v>
      </c>
      <c r="I1659" t="s">
        <v>6047</v>
      </c>
      <c r="J1659">
        <v>10452</v>
      </c>
      <c r="K1659" t="s">
        <v>6074</v>
      </c>
      <c r="L1659" t="s">
        <v>6074</v>
      </c>
      <c r="N1659" t="s">
        <v>7278</v>
      </c>
      <c r="O1659" t="s">
        <v>7306</v>
      </c>
      <c r="P1659" t="s">
        <v>7314</v>
      </c>
      <c r="Q1659" t="s">
        <v>7322</v>
      </c>
      <c r="R1659" t="s">
        <v>6076</v>
      </c>
      <c r="S1659" t="s">
        <v>7324</v>
      </c>
      <c r="U1659" t="s">
        <v>296</v>
      </c>
      <c r="V1659">
        <v>2000</v>
      </c>
      <c r="W1659" t="s">
        <v>7363</v>
      </c>
      <c r="X1659" t="s">
        <v>7378</v>
      </c>
      <c r="Y1659" t="s">
        <v>7386</v>
      </c>
      <c r="Z1659" t="s">
        <v>8494</v>
      </c>
      <c r="AB1659" t="s">
        <v>11410</v>
      </c>
      <c r="AC1659">
        <v>8</v>
      </c>
      <c r="AD1659" t="s">
        <v>12422</v>
      </c>
      <c r="AE1659" t="s">
        <v>6110</v>
      </c>
      <c r="AF1659">
        <v>3</v>
      </c>
      <c r="AG1659">
        <v>1</v>
      </c>
      <c r="AH1659">
        <v>1</v>
      </c>
      <c r="AI1659">
        <v>99.15000000000001</v>
      </c>
      <c r="AL1659" t="s">
        <v>12460</v>
      </c>
      <c r="AM1659">
        <v>16320</v>
      </c>
      <c r="AN1659" t="s">
        <v>12639</v>
      </c>
      <c r="AS1659">
        <v>2.25</v>
      </c>
      <c r="AT1659" t="s">
        <v>443</v>
      </c>
      <c r="AU1659" t="s">
        <v>13080</v>
      </c>
    </row>
    <row r="1660" spans="1:47">
      <c r="A1660" s="1">
        <f>HYPERLINK("https://cms.ls-nyc.org/matter/dynamic-profile/view/1891393","19-1891393")</f>
        <v>0</v>
      </c>
      <c r="B1660" t="s">
        <v>96</v>
      </c>
      <c r="C1660" t="s">
        <v>366</v>
      </c>
      <c r="E1660" t="s">
        <v>1463</v>
      </c>
      <c r="F1660" t="s">
        <v>2059</v>
      </c>
      <c r="G1660" t="s">
        <v>3792</v>
      </c>
      <c r="H1660" t="s">
        <v>5639</v>
      </c>
      <c r="I1660" t="s">
        <v>6047</v>
      </c>
      <c r="J1660">
        <v>10453</v>
      </c>
      <c r="K1660" t="s">
        <v>6074</v>
      </c>
      <c r="L1660" t="s">
        <v>6074</v>
      </c>
      <c r="N1660" t="s">
        <v>7279</v>
      </c>
      <c r="O1660" t="s">
        <v>7311</v>
      </c>
      <c r="Q1660" t="s">
        <v>7322</v>
      </c>
      <c r="R1660" t="s">
        <v>6074</v>
      </c>
      <c r="S1660" t="s">
        <v>7324</v>
      </c>
      <c r="U1660" t="s">
        <v>457</v>
      </c>
      <c r="V1660">
        <v>900</v>
      </c>
      <c r="W1660" t="s">
        <v>7363</v>
      </c>
      <c r="X1660" t="s">
        <v>7376</v>
      </c>
      <c r="Z1660" t="s">
        <v>8686</v>
      </c>
      <c r="AB1660" t="s">
        <v>11411</v>
      </c>
      <c r="AC1660">
        <v>170</v>
      </c>
      <c r="AD1660" t="s">
        <v>12422</v>
      </c>
      <c r="AE1660" t="s">
        <v>6110</v>
      </c>
      <c r="AF1660">
        <v>12</v>
      </c>
      <c r="AG1660">
        <v>2</v>
      </c>
      <c r="AH1660">
        <v>0</v>
      </c>
      <c r="AI1660">
        <v>99.34999999999999</v>
      </c>
      <c r="AL1660" t="s">
        <v>12460</v>
      </c>
      <c r="AM1660">
        <v>16800</v>
      </c>
      <c r="AS1660">
        <v>0</v>
      </c>
      <c r="AU1660" t="s">
        <v>13095</v>
      </c>
    </row>
    <row r="1661" spans="1:47">
      <c r="A1661" s="1">
        <f>HYPERLINK("https://cms.ls-nyc.org/matter/dynamic-profile/view/1891395","19-1891395")</f>
        <v>0</v>
      </c>
      <c r="B1661" t="s">
        <v>96</v>
      </c>
      <c r="C1661" t="s">
        <v>366</v>
      </c>
      <c r="E1661" t="s">
        <v>1463</v>
      </c>
      <c r="F1661" t="s">
        <v>2059</v>
      </c>
      <c r="G1661" t="s">
        <v>3792</v>
      </c>
      <c r="H1661" t="s">
        <v>5639</v>
      </c>
      <c r="I1661" t="s">
        <v>6047</v>
      </c>
      <c r="J1661">
        <v>10453</v>
      </c>
      <c r="K1661" t="s">
        <v>6074</v>
      </c>
      <c r="L1661" t="s">
        <v>6074</v>
      </c>
      <c r="M1661" t="s">
        <v>6259</v>
      </c>
      <c r="N1661" t="s">
        <v>7273</v>
      </c>
      <c r="O1661" t="s">
        <v>7308</v>
      </c>
      <c r="Q1661" t="s">
        <v>7322</v>
      </c>
      <c r="R1661" t="s">
        <v>6074</v>
      </c>
      <c r="S1661" t="s">
        <v>7324</v>
      </c>
      <c r="U1661" t="s">
        <v>457</v>
      </c>
      <c r="V1661">
        <v>900</v>
      </c>
      <c r="W1661" t="s">
        <v>7363</v>
      </c>
      <c r="X1661" t="s">
        <v>7376</v>
      </c>
      <c r="Z1661" t="s">
        <v>8686</v>
      </c>
      <c r="AB1661" t="s">
        <v>11411</v>
      </c>
      <c r="AC1661">
        <v>170</v>
      </c>
      <c r="AD1661" t="s">
        <v>12422</v>
      </c>
      <c r="AE1661" t="s">
        <v>6110</v>
      </c>
      <c r="AF1661">
        <v>12</v>
      </c>
      <c r="AG1661">
        <v>2</v>
      </c>
      <c r="AH1661">
        <v>0</v>
      </c>
      <c r="AI1661">
        <v>99.34999999999999</v>
      </c>
      <c r="AL1661" t="s">
        <v>12460</v>
      </c>
      <c r="AM1661">
        <v>16800</v>
      </c>
      <c r="AS1661">
        <v>0</v>
      </c>
      <c r="AU1661" t="s">
        <v>13095</v>
      </c>
    </row>
    <row r="1662" spans="1:47">
      <c r="A1662" s="1">
        <f>HYPERLINK("https://cms.ls-nyc.org/matter/dynamic-profile/view/1889914","19-1889914")</f>
        <v>0</v>
      </c>
      <c r="B1662" t="s">
        <v>132</v>
      </c>
      <c r="C1662" t="s">
        <v>351</v>
      </c>
      <c r="E1662" t="s">
        <v>1464</v>
      </c>
      <c r="F1662" t="s">
        <v>2939</v>
      </c>
      <c r="G1662" t="s">
        <v>4652</v>
      </c>
      <c r="H1662" t="s">
        <v>5357</v>
      </c>
      <c r="I1662" t="s">
        <v>6049</v>
      </c>
      <c r="J1662">
        <v>10034</v>
      </c>
      <c r="K1662" t="s">
        <v>6074</v>
      </c>
      <c r="L1662" t="s">
        <v>6074</v>
      </c>
      <c r="N1662" t="s">
        <v>7278</v>
      </c>
      <c r="O1662" t="s">
        <v>7306</v>
      </c>
      <c r="Q1662" t="s">
        <v>7322</v>
      </c>
      <c r="R1662" t="s">
        <v>6076</v>
      </c>
      <c r="S1662" t="s">
        <v>7324</v>
      </c>
      <c r="U1662" t="s">
        <v>351</v>
      </c>
      <c r="V1662">
        <v>792.86</v>
      </c>
      <c r="W1662" t="s">
        <v>7365</v>
      </c>
      <c r="X1662" t="s">
        <v>7367</v>
      </c>
      <c r="Z1662" t="s">
        <v>8687</v>
      </c>
      <c r="AB1662" t="s">
        <v>11412</v>
      </c>
      <c r="AC1662">
        <v>31</v>
      </c>
      <c r="AD1662" t="s">
        <v>12422</v>
      </c>
      <c r="AE1662" t="s">
        <v>6110</v>
      </c>
      <c r="AF1662">
        <v>35</v>
      </c>
      <c r="AG1662">
        <v>3</v>
      </c>
      <c r="AH1662">
        <v>2</v>
      </c>
      <c r="AI1662">
        <v>99.44</v>
      </c>
      <c r="AL1662" t="s">
        <v>12461</v>
      </c>
      <c r="AM1662">
        <v>30000</v>
      </c>
      <c r="AS1662">
        <v>37.5</v>
      </c>
      <c r="AT1662" t="s">
        <v>241</v>
      </c>
      <c r="AU1662" t="s">
        <v>13106</v>
      </c>
    </row>
    <row r="1663" spans="1:47">
      <c r="A1663" s="1">
        <f>HYPERLINK("https://cms.ls-nyc.org/matter/dynamic-profile/view/1886581","18-1886581")</f>
        <v>0</v>
      </c>
      <c r="B1663" t="s">
        <v>52</v>
      </c>
      <c r="C1663" t="s">
        <v>346</v>
      </c>
      <c r="D1663" t="s">
        <v>310</v>
      </c>
      <c r="E1663" t="s">
        <v>1465</v>
      </c>
      <c r="F1663" t="s">
        <v>2940</v>
      </c>
      <c r="G1663" t="s">
        <v>4653</v>
      </c>
      <c r="H1663" t="s">
        <v>5733</v>
      </c>
      <c r="I1663" t="s">
        <v>6065</v>
      </c>
      <c r="J1663">
        <v>11415</v>
      </c>
      <c r="K1663" t="s">
        <v>6074</v>
      </c>
      <c r="L1663" t="s">
        <v>6074</v>
      </c>
      <c r="M1663" t="s">
        <v>6772</v>
      </c>
      <c r="N1663" t="s">
        <v>7274</v>
      </c>
      <c r="O1663" t="s">
        <v>7306</v>
      </c>
      <c r="P1663" t="s">
        <v>7314</v>
      </c>
      <c r="Q1663" t="s">
        <v>7322</v>
      </c>
      <c r="R1663" t="s">
        <v>6076</v>
      </c>
      <c r="S1663" t="s">
        <v>7324</v>
      </c>
      <c r="T1663" t="s">
        <v>7336</v>
      </c>
      <c r="U1663" t="s">
        <v>346</v>
      </c>
      <c r="V1663">
        <v>1995</v>
      </c>
      <c r="W1663" t="s">
        <v>7361</v>
      </c>
      <c r="X1663" t="s">
        <v>7366</v>
      </c>
      <c r="Y1663" t="s">
        <v>7386</v>
      </c>
      <c r="Z1663" t="s">
        <v>8688</v>
      </c>
      <c r="AB1663" t="s">
        <v>11413</v>
      </c>
      <c r="AC1663">
        <v>20</v>
      </c>
      <c r="AD1663" t="s">
        <v>12424</v>
      </c>
      <c r="AE1663" t="s">
        <v>6110</v>
      </c>
      <c r="AF1663">
        <v>6</v>
      </c>
      <c r="AG1663">
        <v>1</v>
      </c>
      <c r="AH1663">
        <v>3</v>
      </c>
      <c r="AI1663">
        <v>99.59999999999999</v>
      </c>
      <c r="AL1663" t="s">
        <v>12460</v>
      </c>
      <c r="AM1663">
        <v>25000</v>
      </c>
      <c r="AS1663">
        <v>0.9</v>
      </c>
      <c r="AT1663" t="s">
        <v>492</v>
      </c>
      <c r="AU1663" t="s">
        <v>189</v>
      </c>
    </row>
    <row r="1664" spans="1:47">
      <c r="A1664" s="1">
        <f>HYPERLINK("https://cms.ls-nyc.org/matter/dynamic-profile/view/1882906","18-1882906")</f>
        <v>0</v>
      </c>
      <c r="B1664" t="s">
        <v>80</v>
      </c>
      <c r="C1664" t="s">
        <v>435</v>
      </c>
      <c r="E1664" t="s">
        <v>716</v>
      </c>
      <c r="F1664" t="s">
        <v>2924</v>
      </c>
      <c r="G1664" t="s">
        <v>3871</v>
      </c>
      <c r="H1664" t="s">
        <v>5354</v>
      </c>
      <c r="I1664" t="s">
        <v>6043</v>
      </c>
      <c r="J1664">
        <v>11213</v>
      </c>
      <c r="K1664" t="s">
        <v>6074</v>
      </c>
      <c r="L1664" t="s">
        <v>6074</v>
      </c>
      <c r="M1664" t="s">
        <v>6397</v>
      </c>
      <c r="N1664" t="s">
        <v>7273</v>
      </c>
      <c r="O1664" t="s">
        <v>7308</v>
      </c>
      <c r="Q1664" t="s">
        <v>7322</v>
      </c>
      <c r="R1664" t="s">
        <v>6074</v>
      </c>
      <c r="S1664" t="s">
        <v>7324</v>
      </c>
      <c r="U1664" t="s">
        <v>438</v>
      </c>
      <c r="V1664">
        <v>1268</v>
      </c>
      <c r="W1664" t="s">
        <v>7362</v>
      </c>
      <c r="X1664" t="s">
        <v>7381</v>
      </c>
      <c r="Z1664" t="s">
        <v>8661</v>
      </c>
      <c r="AB1664" t="s">
        <v>11390</v>
      </c>
      <c r="AC1664">
        <v>19</v>
      </c>
      <c r="AD1664" t="s">
        <v>12422</v>
      </c>
      <c r="AE1664" t="s">
        <v>12437</v>
      </c>
      <c r="AF1664">
        <v>2</v>
      </c>
      <c r="AG1664">
        <v>2</v>
      </c>
      <c r="AH1664">
        <v>0</v>
      </c>
      <c r="AI1664">
        <v>99.62</v>
      </c>
      <c r="AL1664" t="s">
        <v>12460</v>
      </c>
      <c r="AM1664">
        <v>16398</v>
      </c>
      <c r="AS1664">
        <v>0</v>
      </c>
      <c r="AU1664" t="s">
        <v>148</v>
      </c>
    </row>
    <row r="1665" spans="1:47">
      <c r="A1665" s="1">
        <f>HYPERLINK("https://cms.ls-nyc.org/matter/dynamic-profile/view/1885061","18-1885061")</f>
        <v>0</v>
      </c>
      <c r="B1665" t="s">
        <v>80</v>
      </c>
      <c r="C1665" t="s">
        <v>435</v>
      </c>
      <c r="D1665" t="s">
        <v>396</v>
      </c>
      <c r="E1665" t="s">
        <v>716</v>
      </c>
      <c r="F1665" t="s">
        <v>2924</v>
      </c>
      <c r="G1665" t="s">
        <v>3871</v>
      </c>
      <c r="H1665" t="s">
        <v>5354</v>
      </c>
      <c r="I1665" t="s">
        <v>6043</v>
      </c>
      <c r="J1665">
        <v>11213</v>
      </c>
      <c r="K1665" t="s">
        <v>6074</v>
      </c>
      <c r="L1665" t="s">
        <v>6074</v>
      </c>
      <c r="N1665" t="s">
        <v>7275</v>
      </c>
      <c r="O1665" t="s">
        <v>7307</v>
      </c>
      <c r="P1665" t="s">
        <v>7315</v>
      </c>
      <c r="Q1665" t="s">
        <v>7322</v>
      </c>
      <c r="R1665" t="s">
        <v>6074</v>
      </c>
      <c r="S1665" t="s">
        <v>7324</v>
      </c>
      <c r="U1665" t="s">
        <v>438</v>
      </c>
      <c r="V1665">
        <v>1268</v>
      </c>
      <c r="W1665" t="s">
        <v>7362</v>
      </c>
      <c r="X1665" t="s">
        <v>7381</v>
      </c>
      <c r="Y1665" t="s">
        <v>7394</v>
      </c>
      <c r="Z1665" t="s">
        <v>8661</v>
      </c>
      <c r="AB1665" t="s">
        <v>11390</v>
      </c>
      <c r="AC1665">
        <v>19</v>
      </c>
      <c r="AD1665" t="s">
        <v>12422</v>
      </c>
      <c r="AE1665" t="s">
        <v>12437</v>
      </c>
      <c r="AF1665">
        <v>2</v>
      </c>
      <c r="AG1665">
        <v>2</v>
      </c>
      <c r="AH1665">
        <v>0</v>
      </c>
      <c r="AI1665">
        <v>99.62</v>
      </c>
      <c r="AL1665" t="s">
        <v>12460</v>
      </c>
      <c r="AM1665">
        <v>16398</v>
      </c>
      <c r="AS1665">
        <v>0.08</v>
      </c>
      <c r="AT1665" t="s">
        <v>390</v>
      </c>
      <c r="AU1665" t="s">
        <v>180</v>
      </c>
    </row>
    <row r="1666" spans="1:47">
      <c r="A1666" s="1">
        <f>HYPERLINK("https://cms.ls-nyc.org/matter/dynamic-profile/view/1880542","18-1880542")</f>
        <v>0</v>
      </c>
      <c r="B1666" t="s">
        <v>77</v>
      </c>
      <c r="C1666" t="s">
        <v>360</v>
      </c>
      <c r="D1666" t="s">
        <v>344</v>
      </c>
      <c r="E1666" t="s">
        <v>1037</v>
      </c>
      <c r="F1666" t="s">
        <v>1424</v>
      </c>
      <c r="G1666" t="s">
        <v>4654</v>
      </c>
      <c r="H1666">
        <v>3</v>
      </c>
      <c r="I1666" t="s">
        <v>6043</v>
      </c>
      <c r="J1666">
        <v>11208</v>
      </c>
      <c r="K1666" t="s">
        <v>6074</v>
      </c>
      <c r="L1666" t="s">
        <v>6074</v>
      </c>
      <c r="M1666" t="s">
        <v>6773</v>
      </c>
      <c r="N1666" t="s">
        <v>7274</v>
      </c>
      <c r="O1666" t="s">
        <v>7306</v>
      </c>
      <c r="P1666" t="s">
        <v>7314</v>
      </c>
      <c r="Q1666" t="s">
        <v>7322</v>
      </c>
      <c r="S1666" t="s">
        <v>7324</v>
      </c>
      <c r="U1666" t="s">
        <v>360</v>
      </c>
      <c r="V1666">
        <v>1450</v>
      </c>
      <c r="W1666" t="s">
        <v>7362</v>
      </c>
      <c r="X1666" t="s">
        <v>7366</v>
      </c>
      <c r="Y1666" t="s">
        <v>7386</v>
      </c>
      <c r="Z1666" t="s">
        <v>8689</v>
      </c>
      <c r="AA1666" t="s">
        <v>10185</v>
      </c>
      <c r="AB1666" t="s">
        <v>11414</v>
      </c>
      <c r="AC1666">
        <v>3</v>
      </c>
      <c r="AE1666" t="s">
        <v>6110</v>
      </c>
      <c r="AF1666">
        <v>7</v>
      </c>
      <c r="AG1666">
        <v>1</v>
      </c>
      <c r="AH1666">
        <v>1</v>
      </c>
      <c r="AI1666">
        <v>99.81999999999999</v>
      </c>
      <c r="AL1666" t="s">
        <v>12460</v>
      </c>
      <c r="AM1666">
        <v>16430.96</v>
      </c>
      <c r="AS1666">
        <v>2.15</v>
      </c>
      <c r="AT1666" t="s">
        <v>414</v>
      </c>
      <c r="AU1666" t="s">
        <v>13082</v>
      </c>
    </row>
    <row r="1667" spans="1:47">
      <c r="A1667" s="1">
        <f>HYPERLINK("https://cms.ls-nyc.org/matter/dynamic-profile/view/1890235","19-1890235")</f>
        <v>0</v>
      </c>
      <c r="B1667" t="s">
        <v>117</v>
      </c>
      <c r="C1667" t="s">
        <v>371</v>
      </c>
      <c r="E1667" t="s">
        <v>1275</v>
      </c>
      <c r="F1667" t="s">
        <v>2770</v>
      </c>
      <c r="G1667" t="s">
        <v>4655</v>
      </c>
      <c r="H1667" t="s">
        <v>5364</v>
      </c>
      <c r="I1667" t="s">
        <v>6048</v>
      </c>
      <c r="J1667">
        <v>10304</v>
      </c>
      <c r="K1667" t="s">
        <v>6074</v>
      </c>
      <c r="L1667" t="s">
        <v>6074</v>
      </c>
      <c r="M1667" t="s">
        <v>6774</v>
      </c>
      <c r="N1667" t="s">
        <v>7274</v>
      </c>
      <c r="O1667" t="s">
        <v>7308</v>
      </c>
      <c r="Q1667" t="s">
        <v>7322</v>
      </c>
      <c r="R1667" t="s">
        <v>6076</v>
      </c>
      <c r="S1667" t="s">
        <v>7324</v>
      </c>
      <c r="T1667" t="s">
        <v>7336</v>
      </c>
      <c r="U1667" t="s">
        <v>358</v>
      </c>
      <c r="V1667">
        <v>1100</v>
      </c>
      <c r="W1667" t="s">
        <v>7364</v>
      </c>
      <c r="X1667" t="s">
        <v>7381</v>
      </c>
      <c r="Z1667" t="s">
        <v>8690</v>
      </c>
      <c r="AB1667" t="s">
        <v>11415</v>
      </c>
      <c r="AC1667">
        <v>5</v>
      </c>
      <c r="AD1667" t="s">
        <v>12419</v>
      </c>
      <c r="AF1667">
        <v>5</v>
      </c>
      <c r="AG1667">
        <v>1</v>
      </c>
      <c r="AH1667">
        <v>0</v>
      </c>
      <c r="AI1667">
        <v>99.81999999999999</v>
      </c>
      <c r="AL1667" t="s">
        <v>12460</v>
      </c>
      <c r="AM1667">
        <v>12468</v>
      </c>
      <c r="AS1667">
        <v>11.8</v>
      </c>
      <c r="AT1667" t="s">
        <v>445</v>
      </c>
      <c r="AU1667" t="s">
        <v>123</v>
      </c>
    </row>
    <row r="1668" spans="1:47">
      <c r="A1668" s="1">
        <f>HYPERLINK("https://cms.ls-nyc.org/matter/dynamic-profile/view/1884240","18-1884240")</f>
        <v>0</v>
      </c>
      <c r="B1668" t="s">
        <v>103</v>
      </c>
      <c r="C1668" t="s">
        <v>297</v>
      </c>
      <c r="E1668" t="s">
        <v>1466</v>
      </c>
      <c r="F1668" t="s">
        <v>2941</v>
      </c>
      <c r="G1668" t="s">
        <v>4656</v>
      </c>
      <c r="H1668" t="s">
        <v>5522</v>
      </c>
      <c r="I1668" t="s">
        <v>6047</v>
      </c>
      <c r="J1668">
        <v>10456</v>
      </c>
      <c r="K1668" t="s">
        <v>6074</v>
      </c>
      <c r="L1668" t="s">
        <v>6074</v>
      </c>
      <c r="M1668" t="s">
        <v>6775</v>
      </c>
      <c r="N1668" t="s">
        <v>7276</v>
      </c>
      <c r="O1668" t="s">
        <v>7308</v>
      </c>
      <c r="Q1668" t="s">
        <v>7322</v>
      </c>
      <c r="S1668" t="s">
        <v>7324</v>
      </c>
      <c r="T1668" t="s">
        <v>7337</v>
      </c>
      <c r="U1668" t="s">
        <v>297</v>
      </c>
      <c r="V1668">
        <v>1358</v>
      </c>
      <c r="W1668" t="s">
        <v>7363</v>
      </c>
      <c r="X1668" t="s">
        <v>7366</v>
      </c>
      <c r="Z1668" t="s">
        <v>8691</v>
      </c>
      <c r="AB1668" t="s">
        <v>11416</v>
      </c>
      <c r="AC1668">
        <v>0</v>
      </c>
      <c r="AD1668" t="s">
        <v>12419</v>
      </c>
      <c r="AE1668" t="s">
        <v>6110</v>
      </c>
      <c r="AF1668">
        <v>8</v>
      </c>
      <c r="AG1668">
        <v>2</v>
      </c>
      <c r="AH1668">
        <v>1</v>
      </c>
      <c r="AI1668">
        <v>100.09</v>
      </c>
      <c r="AL1668" t="s">
        <v>12460</v>
      </c>
      <c r="AM1668">
        <v>20798.4</v>
      </c>
      <c r="AN1668" t="s">
        <v>12521</v>
      </c>
      <c r="AS1668">
        <v>9.1</v>
      </c>
      <c r="AT1668" t="s">
        <v>413</v>
      </c>
      <c r="AU1668" t="s">
        <v>13094</v>
      </c>
    </row>
    <row r="1669" spans="1:47">
      <c r="A1669" s="1">
        <f>HYPERLINK("https://cms.ls-nyc.org/matter/dynamic-profile/view/1882846","18-1882846")</f>
        <v>0</v>
      </c>
      <c r="B1669" t="s">
        <v>92</v>
      </c>
      <c r="C1669" t="s">
        <v>246</v>
      </c>
      <c r="D1669" t="s">
        <v>405</v>
      </c>
      <c r="E1669" t="s">
        <v>1467</v>
      </c>
      <c r="F1669" t="s">
        <v>633</v>
      </c>
      <c r="G1669" t="s">
        <v>4439</v>
      </c>
      <c r="H1669" t="s">
        <v>5355</v>
      </c>
      <c r="I1669" t="s">
        <v>6043</v>
      </c>
      <c r="J1669">
        <v>11213</v>
      </c>
      <c r="K1669" t="s">
        <v>6074</v>
      </c>
      <c r="L1669" t="s">
        <v>6074</v>
      </c>
      <c r="N1669" t="s">
        <v>6104</v>
      </c>
      <c r="O1669" t="s">
        <v>7307</v>
      </c>
      <c r="P1669" t="s">
        <v>7315</v>
      </c>
      <c r="Q1669" t="s">
        <v>7322</v>
      </c>
      <c r="R1669" t="s">
        <v>6074</v>
      </c>
      <c r="S1669" t="s">
        <v>7324</v>
      </c>
      <c r="T1669" t="s">
        <v>7336</v>
      </c>
      <c r="U1669" t="s">
        <v>258</v>
      </c>
      <c r="V1669">
        <v>789.13</v>
      </c>
      <c r="W1669" t="s">
        <v>7362</v>
      </c>
      <c r="X1669" t="s">
        <v>7375</v>
      </c>
      <c r="Y1669" t="s">
        <v>7386</v>
      </c>
      <c r="Z1669" t="s">
        <v>8692</v>
      </c>
      <c r="AC1669">
        <v>35</v>
      </c>
      <c r="AD1669" t="s">
        <v>12422</v>
      </c>
      <c r="AF1669">
        <v>30</v>
      </c>
      <c r="AG1669">
        <v>2</v>
      </c>
      <c r="AH1669">
        <v>1</v>
      </c>
      <c r="AI1669">
        <v>100.1</v>
      </c>
      <c r="AL1669" t="s">
        <v>12460</v>
      </c>
      <c r="AM1669">
        <v>20800</v>
      </c>
      <c r="AS1669">
        <v>3.1</v>
      </c>
      <c r="AT1669" t="s">
        <v>395</v>
      </c>
      <c r="AU1669" t="s">
        <v>180</v>
      </c>
    </row>
    <row r="1670" spans="1:47">
      <c r="A1670" s="1">
        <f>HYPERLINK("https://cms.ls-nyc.org/matter/dynamic-profile/view/1875542","18-1875542")</f>
        <v>0</v>
      </c>
      <c r="B1670" t="s">
        <v>184</v>
      </c>
      <c r="C1670" t="s">
        <v>233</v>
      </c>
      <c r="D1670" t="s">
        <v>233</v>
      </c>
      <c r="E1670" t="s">
        <v>1468</v>
      </c>
      <c r="F1670" t="s">
        <v>2859</v>
      </c>
      <c r="G1670" t="s">
        <v>4657</v>
      </c>
      <c r="H1670" t="s">
        <v>5537</v>
      </c>
      <c r="I1670" t="s">
        <v>6047</v>
      </c>
      <c r="J1670">
        <v>10453</v>
      </c>
      <c r="K1670" t="s">
        <v>6074</v>
      </c>
      <c r="L1670" t="s">
        <v>6074</v>
      </c>
      <c r="M1670" t="s">
        <v>6776</v>
      </c>
      <c r="N1670" t="s">
        <v>7274</v>
      </c>
      <c r="O1670" t="s">
        <v>7306</v>
      </c>
      <c r="P1670" t="s">
        <v>7314</v>
      </c>
      <c r="Q1670" t="s">
        <v>7322</v>
      </c>
      <c r="R1670" t="s">
        <v>6076</v>
      </c>
      <c r="S1670" t="s">
        <v>7324</v>
      </c>
      <c r="U1670" t="s">
        <v>233</v>
      </c>
      <c r="V1670">
        <v>995</v>
      </c>
      <c r="W1670" t="s">
        <v>7363</v>
      </c>
      <c r="X1670" t="s">
        <v>7376</v>
      </c>
      <c r="Y1670" t="s">
        <v>7386</v>
      </c>
      <c r="Z1670" t="s">
        <v>8693</v>
      </c>
      <c r="AC1670">
        <v>32</v>
      </c>
      <c r="AD1670" t="s">
        <v>12422</v>
      </c>
      <c r="AE1670" t="s">
        <v>6110</v>
      </c>
      <c r="AF1670">
        <v>23</v>
      </c>
      <c r="AG1670">
        <v>3</v>
      </c>
      <c r="AH1670">
        <v>0</v>
      </c>
      <c r="AI1670">
        <v>100.1</v>
      </c>
      <c r="AL1670" t="s">
        <v>12460</v>
      </c>
      <c r="AM1670">
        <v>20800</v>
      </c>
      <c r="AS1670">
        <v>0.2</v>
      </c>
      <c r="AT1670" t="s">
        <v>233</v>
      </c>
      <c r="AU1670" t="s">
        <v>13092</v>
      </c>
    </row>
    <row r="1671" spans="1:47">
      <c r="A1671" s="1">
        <f>HYPERLINK("https://cms.ls-nyc.org/matter/dynamic-profile/view/1895189","19-1895189")</f>
        <v>0</v>
      </c>
      <c r="B1671" t="s">
        <v>136</v>
      </c>
      <c r="C1671" t="s">
        <v>322</v>
      </c>
      <c r="E1671" t="s">
        <v>626</v>
      </c>
      <c r="F1671" t="s">
        <v>2942</v>
      </c>
      <c r="G1671" t="s">
        <v>4658</v>
      </c>
      <c r="H1671" t="s">
        <v>5467</v>
      </c>
      <c r="I1671" t="s">
        <v>6049</v>
      </c>
      <c r="J1671">
        <v>10028</v>
      </c>
      <c r="K1671" t="s">
        <v>6074</v>
      </c>
      <c r="L1671" t="s">
        <v>6074</v>
      </c>
      <c r="M1671" t="s">
        <v>6777</v>
      </c>
      <c r="N1671" t="s">
        <v>7276</v>
      </c>
      <c r="O1671" t="s">
        <v>7310</v>
      </c>
      <c r="Q1671" t="s">
        <v>7322</v>
      </c>
      <c r="R1671" t="s">
        <v>6076</v>
      </c>
      <c r="S1671" t="s">
        <v>7324</v>
      </c>
      <c r="T1671" t="s">
        <v>7336</v>
      </c>
      <c r="U1671" t="s">
        <v>322</v>
      </c>
      <c r="V1671">
        <v>1849.37</v>
      </c>
      <c r="W1671" t="s">
        <v>7365</v>
      </c>
      <c r="X1671" t="s">
        <v>7366</v>
      </c>
      <c r="Z1671" t="s">
        <v>8694</v>
      </c>
      <c r="AB1671" t="s">
        <v>11417</v>
      </c>
      <c r="AC1671">
        <v>60</v>
      </c>
      <c r="AD1671" t="s">
        <v>12425</v>
      </c>
      <c r="AE1671" t="s">
        <v>12441</v>
      </c>
      <c r="AF1671">
        <v>50</v>
      </c>
      <c r="AG1671">
        <v>2</v>
      </c>
      <c r="AH1671">
        <v>0</v>
      </c>
      <c r="AI1671">
        <v>100.13</v>
      </c>
      <c r="AL1671" t="s">
        <v>12460</v>
      </c>
      <c r="AM1671">
        <v>16932</v>
      </c>
      <c r="AS1671">
        <v>15.5</v>
      </c>
      <c r="AT1671" t="s">
        <v>382</v>
      </c>
      <c r="AU1671" t="s">
        <v>13107</v>
      </c>
    </row>
    <row r="1672" spans="1:47">
      <c r="A1672" s="1">
        <f>HYPERLINK("https://cms.ls-nyc.org/matter/dynamic-profile/view/1876753","18-1876753")</f>
        <v>0</v>
      </c>
      <c r="B1672" t="s">
        <v>76</v>
      </c>
      <c r="C1672" t="s">
        <v>238</v>
      </c>
      <c r="E1672" t="s">
        <v>1144</v>
      </c>
      <c r="F1672" t="s">
        <v>2943</v>
      </c>
      <c r="G1672" t="s">
        <v>4659</v>
      </c>
      <c r="H1672">
        <v>2</v>
      </c>
      <c r="I1672" t="s">
        <v>6043</v>
      </c>
      <c r="J1672">
        <v>11208</v>
      </c>
      <c r="K1672" t="s">
        <v>6074</v>
      </c>
      <c r="L1672" t="s">
        <v>6074</v>
      </c>
      <c r="M1672" t="s">
        <v>6778</v>
      </c>
      <c r="N1672" t="s">
        <v>7276</v>
      </c>
      <c r="O1672" t="s">
        <v>7308</v>
      </c>
      <c r="Q1672" t="s">
        <v>7322</v>
      </c>
      <c r="R1672" t="s">
        <v>6076</v>
      </c>
      <c r="S1672" t="s">
        <v>7324</v>
      </c>
      <c r="T1672" t="s">
        <v>7340</v>
      </c>
      <c r="U1672" t="s">
        <v>244</v>
      </c>
      <c r="V1672">
        <v>1975</v>
      </c>
      <c r="W1672" t="s">
        <v>7362</v>
      </c>
      <c r="X1672" t="s">
        <v>7366</v>
      </c>
      <c r="Z1672" t="s">
        <v>8695</v>
      </c>
      <c r="AA1672" t="s">
        <v>10186</v>
      </c>
      <c r="AB1672" t="s">
        <v>11418</v>
      </c>
      <c r="AC1672">
        <v>4</v>
      </c>
      <c r="AD1672" t="s">
        <v>12419</v>
      </c>
      <c r="AE1672" t="s">
        <v>12433</v>
      </c>
      <c r="AF1672">
        <v>3</v>
      </c>
      <c r="AG1672">
        <v>2</v>
      </c>
      <c r="AH1672">
        <v>4</v>
      </c>
      <c r="AI1672">
        <v>100.18</v>
      </c>
      <c r="AL1672" t="s">
        <v>12460</v>
      </c>
      <c r="AM1672">
        <v>33800</v>
      </c>
      <c r="AS1672">
        <v>31.95</v>
      </c>
      <c r="AT1672" t="s">
        <v>436</v>
      </c>
      <c r="AU1672" t="s">
        <v>218</v>
      </c>
    </row>
    <row r="1673" spans="1:47">
      <c r="A1673" s="1">
        <f>HYPERLINK("https://cms.ls-nyc.org/matter/dynamic-profile/view/1882304","18-1882304")</f>
        <v>0</v>
      </c>
      <c r="B1673" t="s">
        <v>86</v>
      </c>
      <c r="C1673" t="s">
        <v>431</v>
      </c>
      <c r="D1673" t="s">
        <v>252</v>
      </c>
      <c r="E1673" t="s">
        <v>1144</v>
      </c>
      <c r="F1673" t="s">
        <v>2943</v>
      </c>
      <c r="G1673" t="s">
        <v>4659</v>
      </c>
      <c r="H1673">
        <v>2</v>
      </c>
      <c r="I1673" t="s">
        <v>6043</v>
      </c>
      <c r="J1673">
        <v>11208</v>
      </c>
      <c r="K1673" t="s">
        <v>6074</v>
      </c>
      <c r="L1673" t="s">
        <v>6074</v>
      </c>
      <c r="M1673" t="s">
        <v>6778</v>
      </c>
      <c r="N1673" t="s">
        <v>7291</v>
      </c>
      <c r="O1673" t="s">
        <v>7311</v>
      </c>
      <c r="P1673" t="s">
        <v>7321</v>
      </c>
      <c r="Q1673" t="s">
        <v>7322</v>
      </c>
      <c r="R1673" t="s">
        <v>6076</v>
      </c>
      <c r="S1673" t="s">
        <v>7327</v>
      </c>
      <c r="T1673" t="s">
        <v>7336</v>
      </c>
      <c r="U1673" t="s">
        <v>431</v>
      </c>
      <c r="V1673">
        <v>1975</v>
      </c>
      <c r="W1673" t="s">
        <v>7362</v>
      </c>
      <c r="X1673" t="s">
        <v>7366</v>
      </c>
      <c r="Y1673" t="s">
        <v>7397</v>
      </c>
      <c r="Z1673" t="s">
        <v>8695</v>
      </c>
      <c r="AA1673" t="s">
        <v>10186</v>
      </c>
      <c r="AB1673" t="s">
        <v>11418</v>
      </c>
      <c r="AC1673">
        <v>4</v>
      </c>
      <c r="AD1673" t="s">
        <v>12419</v>
      </c>
      <c r="AE1673" t="s">
        <v>12433</v>
      </c>
      <c r="AF1673">
        <v>3</v>
      </c>
      <c r="AG1673">
        <v>2</v>
      </c>
      <c r="AH1673">
        <v>4</v>
      </c>
      <c r="AI1673">
        <v>100.18</v>
      </c>
      <c r="AL1673" t="s">
        <v>12460</v>
      </c>
      <c r="AM1673">
        <v>33800</v>
      </c>
      <c r="AS1673">
        <v>28</v>
      </c>
      <c r="AT1673" t="s">
        <v>252</v>
      </c>
      <c r="AU1673" t="s">
        <v>218</v>
      </c>
    </row>
    <row r="1674" spans="1:47">
      <c r="A1674" s="1">
        <f>HYPERLINK("https://cms.ls-nyc.org/matter/dynamic-profile/view/1895458","19-1895458")</f>
        <v>0</v>
      </c>
      <c r="B1674" t="s">
        <v>159</v>
      </c>
      <c r="C1674" t="s">
        <v>457</v>
      </c>
      <c r="D1674" t="s">
        <v>505</v>
      </c>
      <c r="E1674" t="s">
        <v>1051</v>
      </c>
      <c r="F1674" t="s">
        <v>2511</v>
      </c>
      <c r="G1674" t="s">
        <v>4165</v>
      </c>
      <c r="H1674" t="s">
        <v>5517</v>
      </c>
      <c r="I1674" t="s">
        <v>6049</v>
      </c>
      <c r="J1674">
        <v>10029</v>
      </c>
      <c r="K1674" t="s">
        <v>6074</v>
      </c>
      <c r="L1674" t="s">
        <v>6074</v>
      </c>
      <c r="N1674" t="s">
        <v>7290</v>
      </c>
      <c r="O1674" t="s">
        <v>7309</v>
      </c>
      <c r="P1674" t="s">
        <v>7319</v>
      </c>
      <c r="Q1674" t="s">
        <v>7322</v>
      </c>
      <c r="R1674" t="s">
        <v>6076</v>
      </c>
      <c r="S1674" t="s">
        <v>7333</v>
      </c>
      <c r="T1674" t="s">
        <v>7336</v>
      </c>
      <c r="U1674" t="s">
        <v>457</v>
      </c>
      <c r="V1674">
        <v>714</v>
      </c>
      <c r="W1674" t="s">
        <v>7365</v>
      </c>
      <c r="X1674" t="s">
        <v>7370</v>
      </c>
      <c r="Y1674" t="s">
        <v>7397</v>
      </c>
      <c r="Z1674" t="s">
        <v>7995</v>
      </c>
      <c r="AB1674" t="s">
        <v>10794</v>
      </c>
      <c r="AC1674">
        <v>48</v>
      </c>
      <c r="AD1674" t="s">
        <v>12420</v>
      </c>
      <c r="AE1674" t="s">
        <v>12434</v>
      </c>
      <c r="AF1674">
        <v>0</v>
      </c>
      <c r="AG1674">
        <v>3</v>
      </c>
      <c r="AH1674">
        <v>1</v>
      </c>
      <c r="AI1674">
        <v>100.19</v>
      </c>
      <c r="AL1674" t="s">
        <v>12461</v>
      </c>
      <c r="AM1674">
        <v>25800</v>
      </c>
      <c r="AS1674">
        <v>2.5</v>
      </c>
      <c r="AT1674" t="s">
        <v>505</v>
      </c>
      <c r="AU1674" t="s">
        <v>13107</v>
      </c>
    </row>
    <row r="1675" spans="1:47">
      <c r="A1675" s="1">
        <f>HYPERLINK("https://cms.ls-nyc.org/matter/dynamic-profile/view/1897794","19-1897794")</f>
        <v>0</v>
      </c>
      <c r="B1675" t="s">
        <v>82</v>
      </c>
      <c r="C1675" t="s">
        <v>263</v>
      </c>
      <c r="E1675" t="s">
        <v>1075</v>
      </c>
      <c r="F1675" t="s">
        <v>2944</v>
      </c>
      <c r="G1675" t="s">
        <v>3728</v>
      </c>
      <c r="H1675" t="s">
        <v>5751</v>
      </c>
      <c r="I1675" t="s">
        <v>6043</v>
      </c>
      <c r="J1675">
        <v>11226</v>
      </c>
      <c r="K1675" t="s">
        <v>6074</v>
      </c>
      <c r="L1675" t="s">
        <v>6074</v>
      </c>
      <c r="M1675" t="s">
        <v>6779</v>
      </c>
      <c r="O1675" t="s">
        <v>7308</v>
      </c>
      <c r="Q1675" t="s">
        <v>7322</v>
      </c>
      <c r="S1675" t="s">
        <v>7324</v>
      </c>
      <c r="U1675" t="s">
        <v>263</v>
      </c>
      <c r="V1675">
        <v>261</v>
      </c>
      <c r="W1675" t="s">
        <v>7362</v>
      </c>
      <c r="Z1675" t="s">
        <v>8240</v>
      </c>
      <c r="AB1675" t="s">
        <v>11419</v>
      </c>
      <c r="AC1675">
        <v>0</v>
      </c>
      <c r="AF1675">
        <v>15</v>
      </c>
      <c r="AG1675">
        <v>1</v>
      </c>
      <c r="AH1675">
        <v>0</v>
      </c>
      <c r="AI1675">
        <v>100.3</v>
      </c>
      <c r="AL1675" t="s">
        <v>12460</v>
      </c>
      <c r="AM1675">
        <v>12528</v>
      </c>
      <c r="AS1675">
        <v>1.75</v>
      </c>
      <c r="AT1675" t="s">
        <v>263</v>
      </c>
      <c r="AU1675" t="s">
        <v>88</v>
      </c>
    </row>
    <row r="1676" spans="1:47">
      <c r="A1676" s="1">
        <f>HYPERLINK("https://cms.ls-nyc.org/matter/dynamic-profile/view/1889700","19-1889700")</f>
        <v>0</v>
      </c>
      <c r="B1676" t="s">
        <v>101</v>
      </c>
      <c r="C1676" t="s">
        <v>365</v>
      </c>
      <c r="E1676" t="s">
        <v>765</v>
      </c>
      <c r="F1676" t="s">
        <v>2945</v>
      </c>
      <c r="G1676" t="s">
        <v>3939</v>
      </c>
      <c r="H1676" t="s">
        <v>5625</v>
      </c>
      <c r="I1676" t="s">
        <v>6047</v>
      </c>
      <c r="J1676">
        <v>10456</v>
      </c>
      <c r="K1676" t="s">
        <v>6074</v>
      </c>
      <c r="L1676" t="s">
        <v>6074</v>
      </c>
      <c r="N1676" t="s">
        <v>7279</v>
      </c>
      <c r="O1676" t="s">
        <v>7311</v>
      </c>
      <c r="Q1676" t="s">
        <v>7322</v>
      </c>
      <c r="R1676" t="s">
        <v>6074</v>
      </c>
      <c r="S1676" t="s">
        <v>7324</v>
      </c>
      <c r="U1676" t="s">
        <v>457</v>
      </c>
      <c r="V1676">
        <v>1200.58</v>
      </c>
      <c r="W1676" t="s">
        <v>7363</v>
      </c>
      <c r="X1676" t="s">
        <v>7376</v>
      </c>
      <c r="Z1676" t="s">
        <v>8696</v>
      </c>
      <c r="AB1676" t="s">
        <v>11420</v>
      </c>
      <c r="AC1676">
        <v>131</v>
      </c>
      <c r="AD1676" t="s">
        <v>12422</v>
      </c>
      <c r="AE1676" t="s">
        <v>6110</v>
      </c>
      <c r="AF1676">
        <v>7</v>
      </c>
      <c r="AG1676">
        <v>3</v>
      </c>
      <c r="AH1676">
        <v>1</v>
      </c>
      <c r="AI1676">
        <v>100.37</v>
      </c>
      <c r="AL1676" t="s">
        <v>12461</v>
      </c>
      <c r="AM1676">
        <v>25844</v>
      </c>
      <c r="AS1676">
        <v>0</v>
      </c>
      <c r="AU1676" t="s">
        <v>13095</v>
      </c>
    </row>
    <row r="1677" spans="1:47">
      <c r="A1677" s="1">
        <f>HYPERLINK("https://cms.ls-nyc.org/matter/dynamic-profile/view/1888423","19-1888423")</f>
        <v>0</v>
      </c>
      <c r="B1677" t="s">
        <v>83</v>
      </c>
      <c r="C1677" t="s">
        <v>306</v>
      </c>
      <c r="E1677" t="s">
        <v>645</v>
      </c>
      <c r="F1677" t="s">
        <v>2122</v>
      </c>
      <c r="G1677" t="s">
        <v>3717</v>
      </c>
      <c r="I1677" t="s">
        <v>6043</v>
      </c>
      <c r="J1677">
        <v>11231</v>
      </c>
      <c r="K1677" t="s">
        <v>6074</v>
      </c>
      <c r="L1677" t="s">
        <v>6074</v>
      </c>
      <c r="M1677" t="s">
        <v>6780</v>
      </c>
      <c r="N1677" t="s">
        <v>7276</v>
      </c>
      <c r="O1677" t="s">
        <v>7308</v>
      </c>
      <c r="Q1677" t="s">
        <v>7322</v>
      </c>
      <c r="R1677" t="s">
        <v>6076</v>
      </c>
      <c r="S1677" t="s">
        <v>7324</v>
      </c>
      <c r="T1677" t="s">
        <v>7336</v>
      </c>
      <c r="U1677" t="s">
        <v>466</v>
      </c>
      <c r="V1677">
        <v>787</v>
      </c>
      <c r="W1677" t="s">
        <v>7362</v>
      </c>
      <c r="Z1677" t="s">
        <v>7485</v>
      </c>
      <c r="AB1677" t="s">
        <v>10349</v>
      </c>
      <c r="AC1677">
        <v>9</v>
      </c>
      <c r="AD1677" t="s">
        <v>12422</v>
      </c>
      <c r="AF1677">
        <v>20</v>
      </c>
      <c r="AG1677">
        <v>2</v>
      </c>
      <c r="AH1677">
        <v>0</v>
      </c>
      <c r="AI1677">
        <v>100.44</v>
      </c>
      <c r="AL1677" t="s">
        <v>12460</v>
      </c>
      <c r="AM1677">
        <v>16532</v>
      </c>
      <c r="AS1677">
        <v>68.5</v>
      </c>
      <c r="AT1677" t="s">
        <v>496</v>
      </c>
      <c r="AU1677" t="s">
        <v>88</v>
      </c>
    </row>
    <row r="1678" spans="1:47">
      <c r="A1678" s="1">
        <f>HYPERLINK("https://cms.ls-nyc.org/matter/dynamic-profile/view/1883473","18-1883473")</f>
        <v>0</v>
      </c>
      <c r="B1678" t="s">
        <v>99</v>
      </c>
      <c r="C1678" t="s">
        <v>320</v>
      </c>
      <c r="D1678" t="s">
        <v>341</v>
      </c>
      <c r="E1678" t="s">
        <v>637</v>
      </c>
      <c r="F1678" t="s">
        <v>2946</v>
      </c>
      <c r="G1678" t="s">
        <v>4660</v>
      </c>
      <c r="H1678" t="s">
        <v>5752</v>
      </c>
      <c r="I1678" t="s">
        <v>6047</v>
      </c>
      <c r="J1678">
        <v>10452</v>
      </c>
      <c r="K1678" t="s">
        <v>6074</v>
      </c>
      <c r="L1678" t="s">
        <v>6074</v>
      </c>
      <c r="N1678" t="s">
        <v>7278</v>
      </c>
      <c r="O1678" t="s">
        <v>7306</v>
      </c>
      <c r="P1678" t="s">
        <v>7314</v>
      </c>
      <c r="Q1678" t="s">
        <v>7322</v>
      </c>
      <c r="R1678" t="s">
        <v>6076</v>
      </c>
      <c r="S1678" t="s">
        <v>7324</v>
      </c>
      <c r="U1678" t="s">
        <v>341</v>
      </c>
      <c r="V1678">
        <v>790</v>
      </c>
      <c r="W1678" t="s">
        <v>7363</v>
      </c>
      <c r="X1678" t="s">
        <v>7383</v>
      </c>
      <c r="Y1678" t="s">
        <v>7386</v>
      </c>
      <c r="Z1678" t="s">
        <v>8697</v>
      </c>
      <c r="AB1678" t="s">
        <v>11421</v>
      </c>
      <c r="AC1678">
        <v>100</v>
      </c>
      <c r="AD1678" t="s">
        <v>12422</v>
      </c>
      <c r="AE1678" t="s">
        <v>12441</v>
      </c>
      <c r="AF1678">
        <v>38</v>
      </c>
      <c r="AG1678">
        <v>2</v>
      </c>
      <c r="AH1678">
        <v>0</v>
      </c>
      <c r="AI1678">
        <v>100.61</v>
      </c>
      <c r="AL1678" t="s">
        <v>12461</v>
      </c>
      <c r="AM1678">
        <v>16560</v>
      </c>
      <c r="AN1678" t="s">
        <v>12640</v>
      </c>
      <c r="AS1678">
        <v>1.9</v>
      </c>
      <c r="AT1678" t="s">
        <v>341</v>
      </c>
      <c r="AU1678" t="s">
        <v>13088</v>
      </c>
    </row>
    <row r="1679" spans="1:47">
      <c r="A1679" s="1">
        <f>HYPERLINK("https://cms.ls-nyc.org/matter/dynamic-profile/view/1889261","19-1889261")</f>
        <v>0</v>
      </c>
      <c r="B1679" t="s">
        <v>98</v>
      </c>
      <c r="C1679" t="s">
        <v>259</v>
      </c>
      <c r="E1679" t="s">
        <v>1469</v>
      </c>
      <c r="F1679" t="s">
        <v>1977</v>
      </c>
      <c r="G1679" t="s">
        <v>4270</v>
      </c>
      <c r="H1679" t="s">
        <v>5753</v>
      </c>
      <c r="I1679" t="s">
        <v>6047</v>
      </c>
      <c r="J1679">
        <v>10458</v>
      </c>
      <c r="K1679" t="s">
        <v>6074</v>
      </c>
      <c r="L1679" t="s">
        <v>6074</v>
      </c>
      <c r="M1679" t="s">
        <v>6781</v>
      </c>
      <c r="N1679" t="s">
        <v>7273</v>
      </c>
      <c r="O1679" t="s">
        <v>7308</v>
      </c>
      <c r="Q1679" t="s">
        <v>7322</v>
      </c>
      <c r="R1679" t="s">
        <v>6074</v>
      </c>
      <c r="S1679" t="s">
        <v>7324</v>
      </c>
      <c r="U1679" t="s">
        <v>337</v>
      </c>
      <c r="V1679">
        <v>1122.95</v>
      </c>
      <c r="W1679" t="s">
        <v>7363</v>
      </c>
      <c r="X1679" t="s">
        <v>7376</v>
      </c>
      <c r="Z1679" t="s">
        <v>8698</v>
      </c>
      <c r="AB1679" t="s">
        <v>11422</v>
      </c>
      <c r="AC1679">
        <v>142</v>
      </c>
      <c r="AD1679" t="s">
        <v>12422</v>
      </c>
      <c r="AE1679" t="s">
        <v>6110</v>
      </c>
      <c r="AF1679">
        <v>6</v>
      </c>
      <c r="AG1679">
        <v>2</v>
      </c>
      <c r="AH1679">
        <v>2</v>
      </c>
      <c r="AI1679">
        <v>100.97</v>
      </c>
      <c r="AL1679" t="s">
        <v>12461</v>
      </c>
      <c r="AM1679">
        <v>26000</v>
      </c>
      <c r="AS1679">
        <v>2.15</v>
      </c>
      <c r="AT1679" t="s">
        <v>392</v>
      </c>
      <c r="AU1679" t="s">
        <v>99</v>
      </c>
    </row>
    <row r="1680" spans="1:47">
      <c r="A1680" s="1">
        <f>HYPERLINK("https://cms.ls-nyc.org/matter/dynamic-profile/view/1891926","19-1891926")</f>
        <v>0</v>
      </c>
      <c r="B1680" t="s">
        <v>96</v>
      </c>
      <c r="C1680" t="s">
        <v>329</v>
      </c>
      <c r="D1680" t="s">
        <v>314</v>
      </c>
      <c r="E1680" t="s">
        <v>1470</v>
      </c>
      <c r="F1680" t="s">
        <v>2360</v>
      </c>
      <c r="G1680" t="s">
        <v>4396</v>
      </c>
      <c r="H1680" t="s">
        <v>5467</v>
      </c>
      <c r="I1680" t="s">
        <v>6047</v>
      </c>
      <c r="J1680">
        <v>10453</v>
      </c>
      <c r="K1680" t="s">
        <v>6074</v>
      </c>
      <c r="L1680" t="s">
        <v>6074</v>
      </c>
      <c r="N1680" t="s">
        <v>6104</v>
      </c>
      <c r="O1680" t="s">
        <v>7306</v>
      </c>
      <c r="P1680" t="s">
        <v>7314</v>
      </c>
      <c r="Q1680" t="s">
        <v>7322</v>
      </c>
      <c r="R1680" t="s">
        <v>6074</v>
      </c>
      <c r="S1680" t="s">
        <v>7324</v>
      </c>
      <c r="U1680" t="s">
        <v>7352</v>
      </c>
      <c r="V1680">
        <v>1026.68</v>
      </c>
      <c r="W1680" t="s">
        <v>7363</v>
      </c>
      <c r="X1680" t="s">
        <v>7375</v>
      </c>
      <c r="Y1680" t="s">
        <v>7386</v>
      </c>
      <c r="Z1680" t="s">
        <v>8699</v>
      </c>
      <c r="AC1680">
        <v>170</v>
      </c>
      <c r="AD1680" t="s">
        <v>12422</v>
      </c>
      <c r="AE1680" t="s">
        <v>6110</v>
      </c>
      <c r="AF1680">
        <v>9</v>
      </c>
      <c r="AG1680">
        <v>2</v>
      </c>
      <c r="AH1680">
        <v>2</v>
      </c>
      <c r="AI1680">
        <v>100.97</v>
      </c>
      <c r="AL1680" t="s">
        <v>12461</v>
      </c>
      <c r="AM1680">
        <v>26000</v>
      </c>
      <c r="AS1680">
        <v>0.5</v>
      </c>
      <c r="AT1680" t="s">
        <v>314</v>
      </c>
      <c r="AU1680" t="s">
        <v>13093</v>
      </c>
    </row>
    <row r="1681" spans="1:47">
      <c r="A1681" s="1">
        <f>HYPERLINK("https://cms.ls-nyc.org/matter/dynamic-profile/view/1886679","18-1886679")</f>
        <v>0</v>
      </c>
      <c r="B1681" t="s">
        <v>102</v>
      </c>
      <c r="C1681" t="s">
        <v>428</v>
      </c>
      <c r="E1681" t="s">
        <v>1471</v>
      </c>
      <c r="F1681" t="s">
        <v>2541</v>
      </c>
      <c r="G1681" t="s">
        <v>3779</v>
      </c>
      <c r="H1681" t="s">
        <v>5754</v>
      </c>
      <c r="I1681" t="s">
        <v>6047</v>
      </c>
      <c r="J1681">
        <v>10460</v>
      </c>
      <c r="K1681" t="s">
        <v>6074</v>
      </c>
      <c r="L1681" t="s">
        <v>6074</v>
      </c>
      <c r="M1681" t="s">
        <v>6182</v>
      </c>
      <c r="N1681" t="s">
        <v>7273</v>
      </c>
      <c r="O1681" t="s">
        <v>7308</v>
      </c>
      <c r="Q1681" t="s">
        <v>7322</v>
      </c>
      <c r="R1681" t="s">
        <v>6074</v>
      </c>
      <c r="S1681" t="s">
        <v>7324</v>
      </c>
      <c r="U1681" t="s">
        <v>457</v>
      </c>
      <c r="V1681">
        <v>397</v>
      </c>
      <c r="W1681" t="s">
        <v>7363</v>
      </c>
      <c r="X1681" t="s">
        <v>7376</v>
      </c>
      <c r="Z1681" t="s">
        <v>8700</v>
      </c>
      <c r="AB1681" t="s">
        <v>11423</v>
      </c>
      <c r="AC1681">
        <v>168</v>
      </c>
      <c r="AD1681" t="s">
        <v>12422</v>
      </c>
      <c r="AE1681" t="s">
        <v>12434</v>
      </c>
      <c r="AF1681">
        <v>5</v>
      </c>
      <c r="AG1681">
        <v>1</v>
      </c>
      <c r="AH1681">
        <v>0</v>
      </c>
      <c r="AI1681">
        <v>101.02</v>
      </c>
      <c r="AL1681" t="s">
        <v>12461</v>
      </c>
      <c r="AM1681">
        <v>12264</v>
      </c>
      <c r="AS1681">
        <v>0</v>
      </c>
      <c r="AU1681" t="s">
        <v>13113</v>
      </c>
    </row>
    <row r="1682" spans="1:47">
      <c r="A1682" s="1">
        <f>HYPERLINK("https://cms.ls-nyc.org/matter/dynamic-profile/view/1877755","18-1877755")</f>
        <v>0</v>
      </c>
      <c r="B1682" t="s">
        <v>114</v>
      </c>
      <c r="C1682" t="s">
        <v>290</v>
      </c>
      <c r="D1682" t="s">
        <v>434</v>
      </c>
      <c r="E1682" t="s">
        <v>1472</v>
      </c>
      <c r="F1682" t="s">
        <v>2284</v>
      </c>
      <c r="G1682" t="s">
        <v>4661</v>
      </c>
      <c r="H1682" t="s">
        <v>5395</v>
      </c>
      <c r="I1682" t="s">
        <v>6047</v>
      </c>
      <c r="J1682">
        <v>10452</v>
      </c>
      <c r="K1682" t="s">
        <v>6074</v>
      </c>
      <c r="L1682" t="s">
        <v>6074</v>
      </c>
      <c r="N1682" t="s">
        <v>7276</v>
      </c>
      <c r="O1682" t="s">
        <v>7306</v>
      </c>
      <c r="P1682" t="s">
        <v>7314</v>
      </c>
      <c r="Q1682" t="s">
        <v>7322</v>
      </c>
      <c r="R1682" t="s">
        <v>6076</v>
      </c>
      <c r="S1682" t="s">
        <v>7324</v>
      </c>
      <c r="U1682" t="s">
        <v>290</v>
      </c>
      <c r="V1682">
        <v>1310.05</v>
      </c>
      <c r="W1682" t="s">
        <v>7363</v>
      </c>
      <c r="X1682" t="s">
        <v>7376</v>
      </c>
      <c r="Y1682" t="s">
        <v>7386</v>
      </c>
      <c r="Z1682" t="s">
        <v>8701</v>
      </c>
      <c r="AC1682">
        <v>73</v>
      </c>
      <c r="AF1682">
        <v>5</v>
      </c>
      <c r="AG1682">
        <v>2</v>
      </c>
      <c r="AH1682">
        <v>1</v>
      </c>
      <c r="AI1682">
        <v>101.06</v>
      </c>
      <c r="AL1682" t="s">
        <v>12461</v>
      </c>
      <c r="AM1682">
        <v>21000</v>
      </c>
      <c r="AS1682">
        <v>0.25</v>
      </c>
      <c r="AT1682" t="s">
        <v>434</v>
      </c>
      <c r="AU1682" t="s">
        <v>13095</v>
      </c>
    </row>
    <row r="1683" spans="1:47">
      <c r="A1683" s="1">
        <f>HYPERLINK("https://cms.ls-nyc.org/matter/dynamic-profile/view/1882699","18-1882699")</f>
        <v>0</v>
      </c>
      <c r="B1683" t="s">
        <v>132</v>
      </c>
      <c r="C1683" t="s">
        <v>296</v>
      </c>
      <c r="D1683" t="s">
        <v>504</v>
      </c>
      <c r="E1683" t="s">
        <v>1039</v>
      </c>
      <c r="F1683" t="s">
        <v>2947</v>
      </c>
      <c r="G1683" t="s">
        <v>4662</v>
      </c>
      <c r="H1683">
        <v>2</v>
      </c>
      <c r="I1683" t="s">
        <v>6049</v>
      </c>
      <c r="J1683">
        <v>10033</v>
      </c>
      <c r="K1683" t="s">
        <v>6074</v>
      </c>
      <c r="L1683" t="s">
        <v>6074</v>
      </c>
      <c r="O1683" t="s">
        <v>7307</v>
      </c>
      <c r="P1683" t="s">
        <v>7315</v>
      </c>
      <c r="Q1683" t="s">
        <v>7322</v>
      </c>
      <c r="R1683" t="s">
        <v>6076</v>
      </c>
      <c r="S1683" t="s">
        <v>7324</v>
      </c>
      <c r="U1683" t="s">
        <v>296</v>
      </c>
      <c r="V1683">
        <v>1150.76</v>
      </c>
      <c r="W1683" t="s">
        <v>7365</v>
      </c>
      <c r="X1683" t="s">
        <v>7368</v>
      </c>
      <c r="Y1683" t="s">
        <v>7387</v>
      </c>
      <c r="Z1683" t="s">
        <v>8702</v>
      </c>
      <c r="AB1683" t="s">
        <v>11424</v>
      </c>
      <c r="AC1683">
        <v>0</v>
      </c>
      <c r="AD1683" t="s">
        <v>12422</v>
      </c>
      <c r="AF1683">
        <v>33</v>
      </c>
      <c r="AG1683">
        <v>2</v>
      </c>
      <c r="AH1683">
        <v>0</v>
      </c>
      <c r="AI1683">
        <v>101.19</v>
      </c>
      <c r="AL1683" t="s">
        <v>12461</v>
      </c>
      <c r="AM1683">
        <v>16656</v>
      </c>
      <c r="AS1683">
        <v>0.5</v>
      </c>
      <c r="AT1683" t="s">
        <v>320</v>
      </c>
      <c r="AU1683" t="s">
        <v>13106</v>
      </c>
    </row>
    <row r="1684" spans="1:47">
      <c r="A1684" s="1">
        <f>HYPERLINK("https://cms.ls-nyc.org/matter/dynamic-profile/view/1891451","19-1891451")</f>
        <v>0</v>
      </c>
      <c r="B1684" t="s">
        <v>117</v>
      </c>
      <c r="C1684" t="s">
        <v>367</v>
      </c>
      <c r="E1684" t="s">
        <v>825</v>
      </c>
      <c r="F1684" t="s">
        <v>2948</v>
      </c>
      <c r="G1684" t="s">
        <v>4663</v>
      </c>
      <c r="H1684" t="s">
        <v>5755</v>
      </c>
      <c r="I1684" t="s">
        <v>6048</v>
      </c>
      <c r="J1684">
        <v>10305</v>
      </c>
      <c r="K1684" t="s">
        <v>6074</v>
      </c>
      <c r="L1684" t="s">
        <v>6074</v>
      </c>
      <c r="M1684" t="s">
        <v>6782</v>
      </c>
      <c r="N1684" t="s">
        <v>7276</v>
      </c>
      <c r="O1684" t="s">
        <v>7308</v>
      </c>
      <c r="Q1684" t="s">
        <v>7322</v>
      </c>
      <c r="R1684" t="s">
        <v>6076</v>
      </c>
      <c r="S1684" t="s">
        <v>7324</v>
      </c>
      <c r="T1684" t="s">
        <v>7336</v>
      </c>
      <c r="U1684" t="s">
        <v>367</v>
      </c>
      <c r="V1684">
        <v>1300</v>
      </c>
      <c r="W1684" t="s">
        <v>7364</v>
      </c>
      <c r="X1684" t="s">
        <v>7367</v>
      </c>
      <c r="Z1684" t="s">
        <v>8703</v>
      </c>
      <c r="AB1684" t="s">
        <v>11425</v>
      </c>
      <c r="AC1684">
        <v>3</v>
      </c>
      <c r="AD1684" t="s">
        <v>12419</v>
      </c>
      <c r="AE1684" t="s">
        <v>6110</v>
      </c>
      <c r="AF1684">
        <v>0</v>
      </c>
      <c r="AG1684">
        <v>2</v>
      </c>
      <c r="AH1684">
        <v>1</v>
      </c>
      <c r="AI1684">
        <v>101.27</v>
      </c>
      <c r="AL1684" t="s">
        <v>12460</v>
      </c>
      <c r="AM1684">
        <v>21600</v>
      </c>
      <c r="AS1684">
        <v>18.45</v>
      </c>
      <c r="AT1684" t="s">
        <v>460</v>
      </c>
      <c r="AU1684" t="s">
        <v>13102</v>
      </c>
    </row>
    <row r="1685" spans="1:47">
      <c r="A1685" s="1">
        <f>HYPERLINK("https://cms.ls-nyc.org/matter/dynamic-profile/view/1891537","19-1891537")</f>
        <v>0</v>
      </c>
      <c r="B1685" t="s">
        <v>109</v>
      </c>
      <c r="C1685" t="s">
        <v>278</v>
      </c>
      <c r="D1685" t="s">
        <v>235</v>
      </c>
      <c r="E1685" t="s">
        <v>707</v>
      </c>
      <c r="F1685" t="s">
        <v>2737</v>
      </c>
      <c r="G1685" t="s">
        <v>4269</v>
      </c>
      <c r="I1685" t="s">
        <v>6047</v>
      </c>
      <c r="J1685">
        <v>10452</v>
      </c>
      <c r="K1685" t="s">
        <v>6074</v>
      </c>
      <c r="L1685" t="s">
        <v>6074</v>
      </c>
      <c r="N1685" t="s">
        <v>7283</v>
      </c>
      <c r="O1685" t="s">
        <v>7306</v>
      </c>
      <c r="P1685" t="s">
        <v>7314</v>
      </c>
      <c r="Q1685" t="s">
        <v>7322</v>
      </c>
      <c r="R1685" t="s">
        <v>6076</v>
      </c>
      <c r="S1685" t="s">
        <v>7324</v>
      </c>
      <c r="U1685" t="s">
        <v>278</v>
      </c>
      <c r="V1685">
        <v>1300</v>
      </c>
      <c r="W1685" t="s">
        <v>7363</v>
      </c>
      <c r="X1685" t="s">
        <v>7376</v>
      </c>
      <c r="Y1685" t="s">
        <v>7386</v>
      </c>
      <c r="Z1685" t="s">
        <v>8704</v>
      </c>
      <c r="AB1685" t="s">
        <v>11104</v>
      </c>
      <c r="AC1685">
        <v>109</v>
      </c>
      <c r="AD1685" t="s">
        <v>6322</v>
      </c>
      <c r="AE1685" t="s">
        <v>6110</v>
      </c>
      <c r="AF1685">
        <v>6</v>
      </c>
      <c r="AG1685">
        <v>2</v>
      </c>
      <c r="AH1685">
        <v>0</v>
      </c>
      <c r="AI1685">
        <v>101.41</v>
      </c>
      <c r="AL1685" t="s">
        <v>12461</v>
      </c>
      <c r="AM1685">
        <v>17148</v>
      </c>
      <c r="AS1685">
        <v>1</v>
      </c>
      <c r="AT1685" t="s">
        <v>371</v>
      </c>
      <c r="AU1685" t="s">
        <v>13092</v>
      </c>
    </row>
    <row r="1686" spans="1:47">
      <c r="A1686" s="1">
        <f>HYPERLINK("https://cms.ls-nyc.org/matter/dynamic-profile/view/1877995","18-1877995")</f>
        <v>0</v>
      </c>
      <c r="B1686" t="s">
        <v>83</v>
      </c>
      <c r="C1686" t="s">
        <v>244</v>
      </c>
      <c r="E1686" t="s">
        <v>1473</v>
      </c>
      <c r="F1686" t="s">
        <v>2949</v>
      </c>
      <c r="G1686" t="s">
        <v>4650</v>
      </c>
      <c r="H1686" t="s">
        <v>5363</v>
      </c>
      <c r="I1686" t="s">
        <v>6043</v>
      </c>
      <c r="J1686">
        <v>11226</v>
      </c>
      <c r="K1686" t="s">
        <v>6074</v>
      </c>
      <c r="L1686" t="s">
        <v>6074</v>
      </c>
      <c r="N1686" t="s">
        <v>7278</v>
      </c>
      <c r="O1686" t="s">
        <v>7309</v>
      </c>
      <c r="Q1686" t="s">
        <v>7322</v>
      </c>
      <c r="R1686" t="s">
        <v>6074</v>
      </c>
      <c r="S1686" t="s">
        <v>7324</v>
      </c>
      <c r="T1686" t="s">
        <v>7336</v>
      </c>
      <c r="U1686" t="s">
        <v>483</v>
      </c>
      <c r="V1686">
        <v>923</v>
      </c>
      <c r="W1686" t="s">
        <v>7362</v>
      </c>
      <c r="X1686" t="s">
        <v>7376</v>
      </c>
      <c r="Z1686" t="s">
        <v>8705</v>
      </c>
      <c r="AA1686" t="s">
        <v>10187</v>
      </c>
      <c r="AB1686" t="s">
        <v>11426</v>
      </c>
      <c r="AC1686">
        <v>48</v>
      </c>
      <c r="AD1686" t="s">
        <v>12422</v>
      </c>
      <c r="AE1686" t="s">
        <v>6110</v>
      </c>
      <c r="AF1686">
        <v>19</v>
      </c>
      <c r="AG1686">
        <v>2</v>
      </c>
      <c r="AH1686">
        <v>2</v>
      </c>
      <c r="AI1686">
        <v>101.71</v>
      </c>
      <c r="AL1686" t="s">
        <v>12460</v>
      </c>
      <c r="AM1686">
        <v>25528</v>
      </c>
      <c r="AS1686">
        <v>10.9</v>
      </c>
      <c r="AT1686" t="s">
        <v>257</v>
      </c>
      <c r="AU1686" t="s">
        <v>69</v>
      </c>
    </row>
    <row r="1687" spans="1:47">
      <c r="A1687" s="1">
        <f>HYPERLINK("https://cms.ls-nyc.org/matter/dynamic-profile/view/1890017","19-1890017")</f>
        <v>0</v>
      </c>
      <c r="B1687" t="s">
        <v>110</v>
      </c>
      <c r="C1687" t="s">
        <v>351</v>
      </c>
      <c r="E1687" t="s">
        <v>1474</v>
      </c>
      <c r="F1687" t="s">
        <v>2950</v>
      </c>
      <c r="G1687" t="s">
        <v>4664</v>
      </c>
      <c r="H1687">
        <v>3</v>
      </c>
      <c r="I1687" t="s">
        <v>6047</v>
      </c>
      <c r="J1687">
        <v>10462</v>
      </c>
      <c r="K1687" t="s">
        <v>6074</v>
      </c>
      <c r="L1687" t="s">
        <v>6074</v>
      </c>
      <c r="M1687" t="s">
        <v>6783</v>
      </c>
      <c r="N1687" t="s">
        <v>7282</v>
      </c>
      <c r="O1687" t="s">
        <v>7307</v>
      </c>
      <c r="Q1687" t="s">
        <v>7322</v>
      </c>
      <c r="S1687" t="s">
        <v>7324</v>
      </c>
      <c r="U1687" t="s">
        <v>351</v>
      </c>
      <c r="V1687">
        <v>800</v>
      </c>
      <c r="W1687" t="s">
        <v>7363</v>
      </c>
      <c r="Z1687" t="s">
        <v>8706</v>
      </c>
      <c r="AB1687" t="s">
        <v>11427</v>
      </c>
      <c r="AC1687">
        <v>0</v>
      </c>
      <c r="AE1687" t="s">
        <v>12433</v>
      </c>
      <c r="AF1687">
        <v>1</v>
      </c>
      <c r="AG1687">
        <v>1</v>
      </c>
      <c r="AH1687">
        <v>0</v>
      </c>
      <c r="AI1687">
        <v>101.75</v>
      </c>
      <c r="AL1687" t="s">
        <v>12460</v>
      </c>
      <c r="AM1687">
        <v>12708</v>
      </c>
      <c r="AN1687" t="s">
        <v>12641</v>
      </c>
      <c r="AS1687">
        <v>1</v>
      </c>
      <c r="AT1687" t="s">
        <v>446</v>
      </c>
      <c r="AU1687" t="s">
        <v>13098</v>
      </c>
    </row>
    <row r="1688" spans="1:47">
      <c r="A1688" s="1">
        <f>HYPERLINK("https://cms.ls-nyc.org/matter/dynamic-profile/view/1872385","18-1872385")</f>
        <v>0</v>
      </c>
      <c r="B1688" t="s">
        <v>130</v>
      </c>
      <c r="C1688" t="s">
        <v>394</v>
      </c>
      <c r="D1688" t="s">
        <v>432</v>
      </c>
      <c r="E1688" t="s">
        <v>1475</v>
      </c>
      <c r="F1688" t="s">
        <v>2951</v>
      </c>
      <c r="G1688" t="s">
        <v>4665</v>
      </c>
      <c r="H1688" t="s">
        <v>5461</v>
      </c>
      <c r="I1688" t="s">
        <v>6049</v>
      </c>
      <c r="J1688">
        <v>10040</v>
      </c>
      <c r="K1688" t="s">
        <v>6074</v>
      </c>
      <c r="L1688" t="s">
        <v>6074</v>
      </c>
      <c r="N1688" t="s">
        <v>7276</v>
      </c>
      <c r="O1688" t="s">
        <v>7306</v>
      </c>
      <c r="P1688" t="s">
        <v>7314</v>
      </c>
      <c r="Q1688" t="s">
        <v>7322</v>
      </c>
      <c r="R1688" t="s">
        <v>6076</v>
      </c>
      <c r="S1688" t="s">
        <v>7324</v>
      </c>
      <c r="U1688" t="s">
        <v>394</v>
      </c>
      <c r="V1688">
        <v>847.33</v>
      </c>
      <c r="W1688" t="s">
        <v>7365</v>
      </c>
      <c r="X1688" t="s">
        <v>7367</v>
      </c>
      <c r="Y1688" t="s">
        <v>7386</v>
      </c>
      <c r="Z1688" t="s">
        <v>8707</v>
      </c>
      <c r="AB1688" t="s">
        <v>11428</v>
      </c>
      <c r="AC1688">
        <v>72</v>
      </c>
      <c r="AD1688" t="s">
        <v>12422</v>
      </c>
      <c r="AE1688" t="s">
        <v>12441</v>
      </c>
      <c r="AF1688">
        <v>30</v>
      </c>
      <c r="AG1688">
        <v>1</v>
      </c>
      <c r="AH1688">
        <v>0</v>
      </c>
      <c r="AI1688">
        <v>101.91</v>
      </c>
      <c r="AL1688" t="s">
        <v>12460</v>
      </c>
      <c r="AM1688">
        <v>12372</v>
      </c>
      <c r="AS1688">
        <v>5.35</v>
      </c>
      <c r="AT1688" t="s">
        <v>291</v>
      </c>
      <c r="AU1688" t="s">
        <v>13106</v>
      </c>
    </row>
    <row r="1689" spans="1:47">
      <c r="A1689" s="1">
        <f>HYPERLINK("https://cms.ls-nyc.org/matter/dynamic-profile/view/1890024","19-1890024")</f>
        <v>0</v>
      </c>
      <c r="B1689" t="s">
        <v>96</v>
      </c>
      <c r="C1689" t="s">
        <v>351</v>
      </c>
      <c r="E1689" t="s">
        <v>684</v>
      </c>
      <c r="F1689" t="s">
        <v>2295</v>
      </c>
      <c r="G1689" t="s">
        <v>3792</v>
      </c>
      <c r="H1689" t="s">
        <v>5354</v>
      </c>
      <c r="I1689" t="s">
        <v>6047</v>
      </c>
      <c r="J1689">
        <v>10453</v>
      </c>
      <c r="K1689" t="s">
        <v>6074</v>
      </c>
      <c r="L1689" t="s">
        <v>6074</v>
      </c>
      <c r="M1689" t="s">
        <v>6259</v>
      </c>
      <c r="N1689" t="s">
        <v>7273</v>
      </c>
      <c r="O1689" t="s">
        <v>7308</v>
      </c>
      <c r="Q1689" t="s">
        <v>7322</v>
      </c>
      <c r="R1689" t="s">
        <v>6074</v>
      </c>
      <c r="S1689" t="s">
        <v>7324</v>
      </c>
      <c r="U1689" t="s">
        <v>457</v>
      </c>
      <c r="V1689">
        <v>880.27</v>
      </c>
      <c r="W1689" t="s">
        <v>7363</v>
      </c>
      <c r="X1689" t="s">
        <v>7375</v>
      </c>
      <c r="Z1689" t="s">
        <v>8348</v>
      </c>
      <c r="AB1689" t="s">
        <v>11429</v>
      </c>
      <c r="AC1689">
        <v>170</v>
      </c>
      <c r="AD1689" t="s">
        <v>12422</v>
      </c>
      <c r="AE1689" t="s">
        <v>6110</v>
      </c>
      <c r="AF1689">
        <v>20</v>
      </c>
      <c r="AG1689">
        <v>2</v>
      </c>
      <c r="AH1689">
        <v>4</v>
      </c>
      <c r="AI1689">
        <v>101.93</v>
      </c>
      <c r="AL1689" t="s">
        <v>12460</v>
      </c>
      <c r="AM1689">
        <v>34392</v>
      </c>
      <c r="AS1689">
        <v>0</v>
      </c>
      <c r="AU1689" t="s">
        <v>13093</v>
      </c>
    </row>
    <row r="1690" spans="1:47">
      <c r="A1690" s="1">
        <f>HYPERLINK("https://cms.ls-nyc.org/matter/dynamic-profile/view/1887018","19-1887018")</f>
        <v>0</v>
      </c>
      <c r="B1690" t="s">
        <v>113</v>
      </c>
      <c r="C1690" t="s">
        <v>410</v>
      </c>
      <c r="E1690" t="s">
        <v>916</v>
      </c>
      <c r="F1690" t="s">
        <v>2952</v>
      </c>
      <c r="G1690" t="s">
        <v>3932</v>
      </c>
      <c r="H1690" t="s">
        <v>5444</v>
      </c>
      <c r="I1690" t="s">
        <v>6047</v>
      </c>
      <c r="J1690">
        <v>10459</v>
      </c>
      <c r="K1690" t="s">
        <v>6074</v>
      </c>
      <c r="L1690" t="s">
        <v>6074</v>
      </c>
      <c r="N1690" t="s">
        <v>7273</v>
      </c>
      <c r="O1690" t="s">
        <v>7308</v>
      </c>
      <c r="Q1690" t="s">
        <v>7322</v>
      </c>
      <c r="R1690" t="s">
        <v>6074</v>
      </c>
      <c r="S1690" t="s">
        <v>7324</v>
      </c>
      <c r="U1690" t="s">
        <v>267</v>
      </c>
      <c r="V1690">
        <v>900</v>
      </c>
      <c r="W1690" t="s">
        <v>7363</v>
      </c>
      <c r="X1690" t="s">
        <v>7375</v>
      </c>
      <c r="Z1690" t="s">
        <v>8708</v>
      </c>
      <c r="AB1690" t="s">
        <v>11430</v>
      </c>
      <c r="AC1690">
        <v>48</v>
      </c>
      <c r="AD1690" t="s">
        <v>12420</v>
      </c>
      <c r="AF1690">
        <v>18</v>
      </c>
      <c r="AG1690">
        <v>2</v>
      </c>
      <c r="AH1690">
        <v>0</v>
      </c>
      <c r="AI1690">
        <v>102.07</v>
      </c>
      <c r="AL1690" t="s">
        <v>12460</v>
      </c>
      <c r="AM1690">
        <v>16800</v>
      </c>
      <c r="AS1690">
        <v>3.4</v>
      </c>
      <c r="AT1690" t="s">
        <v>275</v>
      </c>
      <c r="AU1690" t="s">
        <v>13095</v>
      </c>
    </row>
    <row r="1691" spans="1:47">
      <c r="A1691" s="1">
        <f>HYPERLINK("https://cms.ls-nyc.org/matter/dynamic-profile/view/1885003","18-1885003")</f>
        <v>0</v>
      </c>
      <c r="B1691" t="s">
        <v>104</v>
      </c>
      <c r="C1691" t="s">
        <v>269</v>
      </c>
      <c r="E1691" t="s">
        <v>1476</v>
      </c>
      <c r="F1691" t="s">
        <v>2953</v>
      </c>
      <c r="G1691" t="s">
        <v>4666</v>
      </c>
      <c r="H1691" t="s">
        <v>5385</v>
      </c>
      <c r="I1691" t="s">
        <v>6047</v>
      </c>
      <c r="J1691">
        <v>10456</v>
      </c>
      <c r="K1691" t="s">
        <v>6074</v>
      </c>
      <c r="L1691" t="s">
        <v>6074</v>
      </c>
      <c r="M1691" t="s">
        <v>6784</v>
      </c>
      <c r="N1691" t="s">
        <v>7279</v>
      </c>
      <c r="O1691" t="s">
        <v>7307</v>
      </c>
      <c r="Q1691" t="s">
        <v>7322</v>
      </c>
      <c r="R1691" t="s">
        <v>6076</v>
      </c>
      <c r="S1691" t="s">
        <v>7324</v>
      </c>
      <c r="T1691" t="s">
        <v>7336</v>
      </c>
      <c r="U1691" t="s">
        <v>326</v>
      </c>
      <c r="V1691">
        <v>515.24</v>
      </c>
      <c r="W1691" t="s">
        <v>7363</v>
      </c>
      <c r="Z1691" t="s">
        <v>8709</v>
      </c>
      <c r="AB1691" t="s">
        <v>11431</v>
      </c>
      <c r="AC1691">
        <v>0</v>
      </c>
      <c r="AD1691" t="s">
        <v>12425</v>
      </c>
      <c r="AE1691" t="s">
        <v>6110</v>
      </c>
      <c r="AF1691">
        <v>40</v>
      </c>
      <c r="AG1691">
        <v>1</v>
      </c>
      <c r="AH1691">
        <v>1</v>
      </c>
      <c r="AI1691">
        <v>102.11</v>
      </c>
      <c r="AL1691" t="s">
        <v>12460</v>
      </c>
      <c r="AM1691">
        <v>16807.92</v>
      </c>
      <c r="AS1691">
        <v>0.5</v>
      </c>
      <c r="AT1691" t="s">
        <v>269</v>
      </c>
      <c r="AU1691" t="s">
        <v>104</v>
      </c>
    </row>
    <row r="1692" spans="1:47">
      <c r="A1692" s="1">
        <f>HYPERLINK("https://cms.ls-nyc.org/matter/dynamic-profile/view/1878072","18-1878072")</f>
        <v>0</v>
      </c>
      <c r="B1692" t="s">
        <v>104</v>
      </c>
      <c r="C1692" t="s">
        <v>255</v>
      </c>
      <c r="E1692" t="s">
        <v>1477</v>
      </c>
      <c r="F1692" t="s">
        <v>2899</v>
      </c>
      <c r="G1692" t="s">
        <v>4667</v>
      </c>
      <c r="H1692" t="s">
        <v>5513</v>
      </c>
      <c r="I1692" t="s">
        <v>6047</v>
      </c>
      <c r="J1692">
        <v>10453</v>
      </c>
      <c r="K1692" t="s">
        <v>6074</v>
      </c>
      <c r="L1692" t="s">
        <v>6074</v>
      </c>
      <c r="M1692" t="s">
        <v>6785</v>
      </c>
      <c r="N1692" t="s">
        <v>7273</v>
      </c>
      <c r="O1692" t="s">
        <v>7308</v>
      </c>
      <c r="Q1692" t="s">
        <v>7322</v>
      </c>
      <c r="R1692" t="s">
        <v>6076</v>
      </c>
      <c r="S1692" t="s">
        <v>7324</v>
      </c>
      <c r="U1692" t="s">
        <v>558</v>
      </c>
      <c r="V1692">
        <v>1437</v>
      </c>
      <c r="W1692" t="s">
        <v>7363</v>
      </c>
      <c r="X1692" t="s">
        <v>7368</v>
      </c>
      <c r="Z1692" t="s">
        <v>8710</v>
      </c>
      <c r="AB1692" t="s">
        <v>11432</v>
      </c>
      <c r="AC1692">
        <v>53</v>
      </c>
      <c r="AD1692" t="s">
        <v>12422</v>
      </c>
      <c r="AE1692" t="s">
        <v>12434</v>
      </c>
      <c r="AF1692">
        <v>25</v>
      </c>
      <c r="AG1692">
        <v>1</v>
      </c>
      <c r="AH1692">
        <v>0</v>
      </c>
      <c r="AI1692">
        <v>102.5</v>
      </c>
      <c r="AL1692" t="s">
        <v>12461</v>
      </c>
      <c r="AM1692">
        <v>12444</v>
      </c>
      <c r="AS1692">
        <v>15.25</v>
      </c>
      <c r="AT1692" t="s">
        <v>408</v>
      </c>
      <c r="AU1692" t="s">
        <v>13095</v>
      </c>
    </row>
    <row r="1693" spans="1:47">
      <c r="A1693" s="1">
        <f>HYPERLINK("https://cms.ls-nyc.org/matter/dynamic-profile/view/1873476","18-1873476")</f>
        <v>0</v>
      </c>
      <c r="B1693" t="s">
        <v>111</v>
      </c>
      <c r="C1693" t="s">
        <v>447</v>
      </c>
      <c r="D1693" t="s">
        <v>550</v>
      </c>
      <c r="E1693" t="s">
        <v>1478</v>
      </c>
      <c r="F1693" t="s">
        <v>2480</v>
      </c>
      <c r="G1693" t="s">
        <v>4668</v>
      </c>
      <c r="H1693" t="s">
        <v>5756</v>
      </c>
      <c r="I1693" t="s">
        <v>6047</v>
      </c>
      <c r="J1693">
        <v>10460</v>
      </c>
      <c r="K1693" t="s">
        <v>6074</v>
      </c>
      <c r="L1693" t="s">
        <v>6074</v>
      </c>
      <c r="N1693" t="s">
        <v>7278</v>
      </c>
      <c r="O1693" t="s">
        <v>7306</v>
      </c>
      <c r="P1693" t="s">
        <v>7314</v>
      </c>
      <c r="Q1693" t="s">
        <v>7322</v>
      </c>
      <c r="R1693" t="s">
        <v>6076</v>
      </c>
      <c r="S1693" t="s">
        <v>7324</v>
      </c>
      <c r="U1693" t="s">
        <v>502</v>
      </c>
      <c r="V1693">
        <v>987.5</v>
      </c>
      <c r="W1693" t="s">
        <v>7363</v>
      </c>
      <c r="X1693" t="s">
        <v>7372</v>
      </c>
      <c r="Y1693" t="s">
        <v>7386</v>
      </c>
      <c r="Z1693" t="s">
        <v>7788</v>
      </c>
      <c r="AB1693" t="s">
        <v>11433</v>
      </c>
      <c r="AC1693">
        <v>51</v>
      </c>
      <c r="AD1693" t="s">
        <v>6322</v>
      </c>
      <c r="AE1693" t="s">
        <v>12434</v>
      </c>
      <c r="AF1693">
        <v>45</v>
      </c>
      <c r="AG1693">
        <v>2</v>
      </c>
      <c r="AH1693">
        <v>0</v>
      </c>
      <c r="AI1693">
        <v>102.79</v>
      </c>
      <c r="AL1693" t="s">
        <v>12460</v>
      </c>
      <c r="AM1693">
        <v>16920</v>
      </c>
      <c r="AS1693">
        <v>2.6</v>
      </c>
      <c r="AT1693" t="s">
        <v>550</v>
      </c>
      <c r="AU1693" t="s">
        <v>13077</v>
      </c>
    </row>
    <row r="1694" spans="1:47">
      <c r="A1694" s="1">
        <f>HYPERLINK("https://cms.ls-nyc.org/matter/dynamic-profile/view/1873123","18-1873123")</f>
        <v>0</v>
      </c>
      <c r="B1694" t="s">
        <v>96</v>
      </c>
      <c r="C1694" t="s">
        <v>419</v>
      </c>
      <c r="D1694" t="s">
        <v>504</v>
      </c>
      <c r="E1694" t="s">
        <v>860</v>
      </c>
      <c r="F1694" t="s">
        <v>2297</v>
      </c>
      <c r="G1694" t="s">
        <v>3936</v>
      </c>
      <c r="H1694" t="s">
        <v>5517</v>
      </c>
      <c r="I1694" t="s">
        <v>6047</v>
      </c>
      <c r="J1694">
        <v>10452</v>
      </c>
      <c r="K1694" t="s">
        <v>6074</v>
      </c>
      <c r="L1694" t="s">
        <v>6074</v>
      </c>
      <c r="N1694" t="s">
        <v>7278</v>
      </c>
      <c r="O1694" t="s">
        <v>7306</v>
      </c>
      <c r="P1694" t="s">
        <v>7314</v>
      </c>
      <c r="Q1694" t="s">
        <v>7322</v>
      </c>
      <c r="R1694" t="s">
        <v>6074</v>
      </c>
      <c r="S1694" t="s">
        <v>7324</v>
      </c>
      <c r="U1694" t="s">
        <v>472</v>
      </c>
      <c r="V1694">
        <v>844.7</v>
      </c>
      <c r="W1694" t="s">
        <v>7363</v>
      </c>
      <c r="X1694" t="s">
        <v>7376</v>
      </c>
      <c r="Y1694" t="s">
        <v>7386</v>
      </c>
      <c r="Z1694" t="s">
        <v>8711</v>
      </c>
      <c r="AB1694" t="s">
        <v>11434</v>
      </c>
      <c r="AC1694">
        <v>53</v>
      </c>
      <c r="AD1694" t="s">
        <v>6322</v>
      </c>
      <c r="AE1694" t="s">
        <v>6110</v>
      </c>
      <c r="AF1694">
        <v>3</v>
      </c>
      <c r="AG1694">
        <v>2</v>
      </c>
      <c r="AH1694">
        <v>0</v>
      </c>
      <c r="AI1694">
        <v>102.87</v>
      </c>
      <c r="AL1694" t="s">
        <v>12460</v>
      </c>
      <c r="AM1694">
        <v>16932</v>
      </c>
      <c r="AN1694" t="s">
        <v>12513</v>
      </c>
      <c r="AS1694">
        <v>1.5</v>
      </c>
      <c r="AT1694" t="s">
        <v>310</v>
      </c>
      <c r="AU1694" t="s">
        <v>13092</v>
      </c>
    </row>
    <row r="1695" spans="1:47">
      <c r="A1695" s="1">
        <f>HYPERLINK("https://cms.ls-nyc.org/matter/dynamic-profile/view/1886871","19-1886871")</f>
        <v>0</v>
      </c>
      <c r="B1695" t="s">
        <v>101</v>
      </c>
      <c r="C1695" t="s">
        <v>422</v>
      </c>
      <c r="E1695" t="s">
        <v>765</v>
      </c>
      <c r="F1695" t="s">
        <v>2945</v>
      </c>
      <c r="G1695" t="s">
        <v>3939</v>
      </c>
      <c r="H1695" t="s">
        <v>5625</v>
      </c>
      <c r="I1695" t="s">
        <v>6047</v>
      </c>
      <c r="J1695">
        <v>10456</v>
      </c>
      <c r="K1695" t="s">
        <v>6074</v>
      </c>
      <c r="L1695" t="s">
        <v>6074</v>
      </c>
      <c r="M1695" t="s">
        <v>6786</v>
      </c>
      <c r="N1695" t="s">
        <v>7279</v>
      </c>
      <c r="O1695" t="s">
        <v>7311</v>
      </c>
      <c r="Q1695" t="s">
        <v>7322</v>
      </c>
      <c r="R1695" t="s">
        <v>6074</v>
      </c>
      <c r="S1695" t="s">
        <v>7324</v>
      </c>
      <c r="U1695" t="s">
        <v>457</v>
      </c>
      <c r="V1695">
        <v>1200.58</v>
      </c>
      <c r="W1695" t="s">
        <v>7363</v>
      </c>
      <c r="X1695" t="s">
        <v>7376</v>
      </c>
      <c r="Z1695" t="s">
        <v>8696</v>
      </c>
      <c r="AB1695" t="s">
        <v>11420</v>
      </c>
      <c r="AC1695">
        <v>131</v>
      </c>
      <c r="AD1695" t="s">
        <v>12422</v>
      </c>
      <c r="AE1695" t="s">
        <v>6110</v>
      </c>
      <c r="AF1695">
        <v>7</v>
      </c>
      <c r="AG1695">
        <v>3</v>
      </c>
      <c r="AH1695">
        <v>1</v>
      </c>
      <c r="AI1695">
        <v>102.96</v>
      </c>
      <c r="AL1695" t="s">
        <v>12461</v>
      </c>
      <c r="AM1695">
        <v>25844</v>
      </c>
      <c r="AS1695">
        <v>0</v>
      </c>
      <c r="AU1695" t="s">
        <v>13095</v>
      </c>
    </row>
    <row r="1696" spans="1:47">
      <c r="A1696" s="1">
        <f>HYPERLINK("https://cms.ls-nyc.org/matter/dynamic-profile/view/1864271","18-1864271")</f>
        <v>0</v>
      </c>
      <c r="B1696" t="s">
        <v>82</v>
      </c>
      <c r="C1696" t="s">
        <v>511</v>
      </c>
      <c r="E1696" t="s">
        <v>1142</v>
      </c>
      <c r="F1696" t="s">
        <v>1017</v>
      </c>
      <c r="G1696" t="s">
        <v>4397</v>
      </c>
      <c r="H1696" t="s">
        <v>5669</v>
      </c>
      <c r="I1696" t="s">
        <v>6043</v>
      </c>
      <c r="J1696">
        <v>11226</v>
      </c>
      <c r="K1696" t="s">
        <v>6074</v>
      </c>
      <c r="L1696" t="s">
        <v>6074</v>
      </c>
      <c r="N1696" t="s">
        <v>7273</v>
      </c>
      <c r="O1696" t="s">
        <v>7308</v>
      </c>
      <c r="Q1696" t="s">
        <v>7322</v>
      </c>
      <c r="R1696" t="s">
        <v>6074</v>
      </c>
      <c r="S1696" t="s">
        <v>7324</v>
      </c>
      <c r="U1696" t="s">
        <v>502</v>
      </c>
      <c r="V1696">
        <v>915</v>
      </c>
      <c r="W1696" t="s">
        <v>7362</v>
      </c>
      <c r="X1696" t="s">
        <v>7376</v>
      </c>
      <c r="Z1696" t="s">
        <v>8331</v>
      </c>
      <c r="AB1696" t="s">
        <v>11099</v>
      </c>
      <c r="AC1696">
        <v>6</v>
      </c>
      <c r="AD1696" t="s">
        <v>12422</v>
      </c>
      <c r="AE1696" t="s">
        <v>6110</v>
      </c>
      <c r="AF1696">
        <v>9</v>
      </c>
      <c r="AG1696">
        <v>1</v>
      </c>
      <c r="AH1696">
        <v>0</v>
      </c>
      <c r="AI1696">
        <v>102.97</v>
      </c>
      <c r="AL1696" t="s">
        <v>12460</v>
      </c>
      <c r="AM1696">
        <v>12500</v>
      </c>
      <c r="AS1696">
        <v>1</v>
      </c>
      <c r="AT1696" t="s">
        <v>528</v>
      </c>
      <c r="AU1696" t="s">
        <v>13087</v>
      </c>
    </row>
    <row r="1697" spans="1:48">
      <c r="A1697" s="1">
        <f>HYPERLINK("https://cms.ls-nyc.org/matter/dynamic-profile/view/1888044","19-1888044")</f>
        <v>0</v>
      </c>
      <c r="B1697" t="s">
        <v>125</v>
      </c>
      <c r="C1697" t="s">
        <v>466</v>
      </c>
      <c r="E1697" t="s">
        <v>604</v>
      </c>
      <c r="F1697" t="s">
        <v>2954</v>
      </c>
      <c r="G1697" t="s">
        <v>4174</v>
      </c>
      <c r="H1697" t="s">
        <v>5517</v>
      </c>
      <c r="I1697" t="s">
        <v>6049</v>
      </c>
      <c r="J1697">
        <v>10032</v>
      </c>
      <c r="K1697" t="s">
        <v>6074</v>
      </c>
      <c r="L1697" t="s">
        <v>6074</v>
      </c>
      <c r="O1697" t="s">
        <v>7308</v>
      </c>
      <c r="Q1697" t="s">
        <v>7322</v>
      </c>
      <c r="R1697" t="s">
        <v>6074</v>
      </c>
      <c r="S1697" t="s">
        <v>7324</v>
      </c>
      <c r="U1697" t="s">
        <v>466</v>
      </c>
      <c r="V1697">
        <v>858.16</v>
      </c>
      <c r="W1697" t="s">
        <v>7365</v>
      </c>
      <c r="X1697" t="s">
        <v>7367</v>
      </c>
      <c r="Z1697" t="s">
        <v>8712</v>
      </c>
      <c r="AC1697">
        <v>42</v>
      </c>
      <c r="AD1697" t="s">
        <v>12422</v>
      </c>
      <c r="AE1697" t="s">
        <v>6110</v>
      </c>
      <c r="AF1697">
        <v>35</v>
      </c>
      <c r="AG1697">
        <v>1</v>
      </c>
      <c r="AH1697">
        <v>1</v>
      </c>
      <c r="AI1697">
        <v>102.99</v>
      </c>
      <c r="AL1697" t="s">
        <v>12461</v>
      </c>
      <c r="AM1697">
        <v>16952</v>
      </c>
      <c r="AS1697">
        <v>0.4</v>
      </c>
      <c r="AT1697" t="s">
        <v>382</v>
      </c>
      <c r="AU1697" t="s">
        <v>13106</v>
      </c>
    </row>
    <row r="1698" spans="1:48">
      <c r="A1698" s="1">
        <f>HYPERLINK("https://cms.ls-nyc.org/matter/dynamic-profile/view/1889007","19-1889007")</f>
        <v>0</v>
      </c>
      <c r="B1698" t="s">
        <v>76</v>
      </c>
      <c r="C1698" t="s">
        <v>379</v>
      </c>
      <c r="E1698" t="s">
        <v>1479</v>
      </c>
      <c r="F1698" t="s">
        <v>2955</v>
      </c>
      <c r="G1698" t="s">
        <v>4669</v>
      </c>
      <c r="H1698">
        <v>4</v>
      </c>
      <c r="I1698" t="s">
        <v>6043</v>
      </c>
      <c r="J1698">
        <v>11233</v>
      </c>
      <c r="K1698" t="s">
        <v>6074</v>
      </c>
      <c r="L1698" t="s">
        <v>6074</v>
      </c>
      <c r="M1698" t="s">
        <v>6787</v>
      </c>
      <c r="N1698" t="s">
        <v>7274</v>
      </c>
      <c r="O1698" t="s">
        <v>7310</v>
      </c>
      <c r="Q1698" t="s">
        <v>7322</v>
      </c>
      <c r="R1698" t="s">
        <v>6076</v>
      </c>
      <c r="S1698" t="s">
        <v>7324</v>
      </c>
      <c r="U1698" t="s">
        <v>456</v>
      </c>
      <c r="V1698">
        <v>1823</v>
      </c>
      <c r="W1698" t="s">
        <v>7362</v>
      </c>
      <c r="X1698" t="s">
        <v>7373</v>
      </c>
      <c r="Z1698" t="s">
        <v>8713</v>
      </c>
      <c r="AB1698" t="s">
        <v>11435</v>
      </c>
      <c r="AC1698">
        <v>8</v>
      </c>
      <c r="AD1698" t="s">
        <v>12422</v>
      </c>
      <c r="AE1698" t="s">
        <v>12434</v>
      </c>
      <c r="AF1698">
        <v>10</v>
      </c>
      <c r="AG1698">
        <v>1</v>
      </c>
      <c r="AH1698">
        <v>2</v>
      </c>
      <c r="AI1698">
        <v>103.14</v>
      </c>
      <c r="AL1698" t="s">
        <v>12460</v>
      </c>
      <c r="AM1698">
        <v>22000</v>
      </c>
      <c r="AS1698">
        <v>0</v>
      </c>
      <c r="AU1698" t="s">
        <v>180</v>
      </c>
    </row>
    <row r="1699" spans="1:48">
      <c r="A1699" s="1">
        <f>HYPERLINK("https://cms.ls-nyc.org/matter/dynamic-profile/view/1866458","18-1866458")</f>
        <v>0</v>
      </c>
      <c r="B1699" t="s">
        <v>82</v>
      </c>
      <c r="C1699" t="s">
        <v>508</v>
      </c>
      <c r="E1699" t="s">
        <v>1075</v>
      </c>
      <c r="F1699" t="s">
        <v>2944</v>
      </c>
      <c r="G1699" t="s">
        <v>3728</v>
      </c>
      <c r="H1699" t="s">
        <v>5751</v>
      </c>
      <c r="I1699" t="s">
        <v>6043</v>
      </c>
      <c r="J1699">
        <v>11226</v>
      </c>
      <c r="K1699" t="s">
        <v>6074</v>
      </c>
      <c r="L1699" t="s">
        <v>6074</v>
      </c>
      <c r="N1699" t="s">
        <v>7278</v>
      </c>
      <c r="O1699" t="s">
        <v>7308</v>
      </c>
      <c r="Q1699" t="s">
        <v>7322</v>
      </c>
      <c r="R1699" t="s">
        <v>6074</v>
      </c>
      <c r="S1699" t="s">
        <v>7324</v>
      </c>
      <c r="U1699" t="s">
        <v>442</v>
      </c>
      <c r="V1699">
        <v>1091.17</v>
      </c>
      <c r="W1699" t="s">
        <v>7362</v>
      </c>
      <c r="X1699" t="s">
        <v>7376</v>
      </c>
      <c r="Z1699" t="s">
        <v>8240</v>
      </c>
      <c r="AB1699" t="s">
        <v>11419</v>
      </c>
      <c r="AC1699">
        <v>61</v>
      </c>
      <c r="AD1699" t="s">
        <v>12422</v>
      </c>
      <c r="AE1699" t="s">
        <v>12434</v>
      </c>
      <c r="AF1699">
        <v>15</v>
      </c>
      <c r="AG1699">
        <v>1</v>
      </c>
      <c r="AH1699">
        <v>0</v>
      </c>
      <c r="AI1699">
        <v>103.2</v>
      </c>
      <c r="AL1699" t="s">
        <v>12460</v>
      </c>
      <c r="AM1699">
        <v>12528</v>
      </c>
      <c r="AS1699">
        <v>20.95</v>
      </c>
      <c r="AT1699" t="s">
        <v>423</v>
      </c>
      <c r="AU1699" t="s">
        <v>13087</v>
      </c>
    </row>
    <row r="1700" spans="1:48">
      <c r="A1700" s="1">
        <f>HYPERLINK("https://cms.ls-nyc.org/matter/dynamic-profile/view/1882340","18-1882340")</f>
        <v>0</v>
      </c>
      <c r="B1700" t="s">
        <v>70</v>
      </c>
      <c r="C1700" t="s">
        <v>468</v>
      </c>
      <c r="D1700" t="s">
        <v>284</v>
      </c>
      <c r="E1700" t="s">
        <v>1480</v>
      </c>
      <c r="F1700" t="s">
        <v>2162</v>
      </c>
      <c r="G1700" t="s">
        <v>3760</v>
      </c>
      <c r="H1700" t="s">
        <v>5425</v>
      </c>
      <c r="I1700" t="s">
        <v>6043</v>
      </c>
      <c r="J1700">
        <v>11203</v>
      </c>
      <c r="K1700" t="s">
        <v>6074</v>
      </c>
      <c r="L1700" t="s">
        <v>6074</v>
      </c>
      <c r="N1700" t="s">
        <v>7275</v>
      </c>
      <c r="O1700" t="s">
        <v>7307</v>
      </c>
      <c r="P1700" t="s">
        <v>7315</v>
      </c>
      <c r="Q1700" t="s">
        <v>7322</v>
      </c>
      <c r="S1700" t="s">
        <v>7324</v>
      </c>
      <c r="U1700" t="s">
        <v>468</v>
      </c>
      <c r="V1700">
        <v>166</v>
      </c>
      <c r="W1700" t="s">
        <v>7362</v>
      </c>
      <c r="X1700" t="s">
        <v>7368</v>
      </c>
      <c r="Y1700" t="s">
        <v>7387</v>
      </c>
      <c r="Z1700" t="s">
        <v>7532</v>
      </c>
      <c r="AB1700" t="s">
        <v>10382</v>
      </c>
      <c r="AC1700">
        <v>6</v>
      </c>
      <c r="AD1700" t="s">
        <v>12422</v>
      </c>
      <c r="AF1700">
        <v>4</v>
      </c>
      <c r="AG1700">
        <v>1</v>
      </c>
      <c r="AH1700">
        <v>0</v>
      </c>
      <c r="AI1700">
        <v>103.2</v>
      </c>
      <c r="AL1700" t="s">
        <v>12460</v>
      </c>
      <c r="AM1700">
        <v>12528</v>
      </c>
      <c r="AS1700">
        <v>11.1</v>
      </c>
      <c r="AT1700" t="s">
        <v>284</v>
      </c>
      <c r="AU1700" t="s">
        <v>13084</v>
      </c>
    </row>
    <row r="1701" spans="1:48">
      <c r="A1701" s="1">
        <f>HYPERLINK("https://cms.ls-nyc.org/matter/dynamic-profile/view/1885977","18-1885977")</f>
        <v>0</v>
      </c>
      <c r="B1701" t="s">
        <v>70</v>
      </c>
      <c r="C1701" t="s">
        <v>462</v>
      </c>
      <c r="E1701" t="s">
        <v>694</v>
      </c>
      <c r="F1701" t="s">
        <v>2162</v>
      </c>
      <c r="G1701" t="s">
        <v>3760</v>
      </c>
      <c r="H1701" t="s">
        <v>5425</v>
      </c>
      <c r="I1701" t="s">
        <v>6043</v>
      </c>
      <c r="J1701">
        <v>11203</v>
      </c>
      <c r="K1701" t="s">
        <v>6074</v>
      </c>
      <c r="L1701" t="s">
        <v>6074</v>
      </c>
      <c r="M1701" t="s">
        <v>6788</v>
      </c>
      <c r="N1701" t="s">
        <v>7276</v>
      </c>
      <c r="O1701" t="s">
        <v>7308</v>
      </c>
      <c r="Q1701" t="s">
        <v>7322</v>
      </c>
      <c r="R1701" t="s">
        <v>6076</v>
      </c>
      <c r="S1701" t="s">
        <v>7324</v>
      </c>
      <c r="T1701" t="s">
        <v>7336</v>
      </c>
      <c r="U1701" t="s">
        <v>462</v>
      </c>
      <c r="V1701">
        <v>166</v>
      </c>
      <c r="W1701" t="s">
        <v>7362</v>
      </c>
      <c r="X1701" t="s">
        <v>7368</v>
      </c>
      <c r="Z1701" t="s">
        <v>7532</v>
      </c>
      <c r="AB1701" t="s">
        <v>10382</v>
      </c>
      <c r="AC1701">
        <v>114</v>
      </c>
      <c r="AD1701" t="s">
        <v>12428</v>
      </c>
      <c r="AF1701">
        <v>4</v>
      </c>
      <c r="AG1701">
        <v>1</v>
      </c>
      <c r="AH1701">
        <v>0</v>
      </c>
      <c r="AI1701">
        <v>103.2</v>
      </c>
      <c r="AL1701" t="s">
        <v>12460</v>
      </c>
      <c r="AM1701">
        <v>12528</v>
      </c>
      <c r="AO1701" t="s">
        <v>12846</v>
      </c>
      <c r="AS1701">
        <v>24.4</v>
      </c>
      <c r="AT1701" t="s">
        <v>260</v>
      </c>
      <c r="AU1701" t="s">
        <v>88</v>
      </c>
      <c r="AV1701" t="s">
        <v>13145</v>
      </c>
    </row>
    <row r="1702" spans="1:48">
      <c r="A1702" s="1">
        <f>HYPERLINK("https://cms.ls-nyc.org/matter/dynamic-profile/view/1879651","18-1879651")</f>
        <v>0</v>
      </c>
      <c r="B1702" t="s">
        <v>82</v>
      </c>
      <c r="C1702" t="s">
        <v>271</v>
      </c>
      <c r="E1702" t="s">
        <v>1481</v>
      </c>
      <c r="F1702" t="s">
        <v>2956</v>
      </c>
      <c r="G1702" t="s">
        <v>3937</v>
      </c>
      <c r="H1702" t="s">
        <v>5671</v>
      </c>
      <c r="I1702" t="s">
        <v>6043</v>
      </c>
      <c r="J1702">
        <v>11226</v>
      </c>
      <c r="K1702" t="s">
        <v>6074</v>
      </c>
      <c r="L1702" t="s">
        <v>6074</v>
      </c>
      <c r="M1702" t="s">
        <v>6789</v>
      </c>
      <c r="N1702" t="s">
        <v>7273</v>
      </c>
      <c r="O1702" t="s">
        <v>7310</v>
      </c>
      <c r="Q1702" t="s">
        <v>7322</v>
      </c>
      <c r="R1702" t="s">
        <v>6074</v>
      </c>
      <c r="S1702" t="s">
        <v>7324</v>
      </c>
      <c r="U1702" t="s">
        <v>464</v>
      </c>
      <c r="V1702">
        <v>1529.97</v>
      </c>
      <c r="W1702" t="s">
        <v>7362</v>
      </c>
      <c r="X1702" t="s">
        <v>7368</v>
      </c>
      <c r="Z1702" t="s">
        <v>8714</v>
      </c>
      <c r="AC1702">
        <v>6</v>
      </c>
      <c r="AD1702" t="s">
        <v>12422</v>
      </c>
      <c r="AE1702" t="s">
        <v>6110</v>
      </c>
      <c r="AF1702">
        <v>6</v>
      </c>
      <c r="AG1702">
        <v>2</v>
      </c>
      <c r="AH1702">
        <v>0</v>
      </c>
      <c r="AI1702">
        <v>103.28</v>
      </c>
      <c r="AL1702" t="s">
        <v>12460</v>
      </c>
      <c r="AM1702">
        <v>17000</v>
      </c>
      <c r="AS1702">
        <v>35.15</v>
      </c>
      <c r="AT1702" t="s">
        <v>382</v>
      </c>
      <c r="AU1702" t="s">
        <v>13082</v>
      </c>
    </row>
    <row r="1703" spans="1:48">
      <c r="A1703" s="1">
        <f>HYPERLINK("https://cms.ls-nyc.org/matter/dynamic-profile/view/1885751","18-1885751")</f>
        <v>0</v>
      </c>
      <c r="B1703" t="s">
        <v>102</v>
      </c>
      <c r="C1703" t="s">
        <v>344</v>
      </c>
      <c r="E1703" t="s">
        <v>1234</v>
      </c>
      <c r="F1703" t="s">
        <v>2957</v>
      </c>
      <c r="G1703" t="s">
        <v>3779</v>
      </c>
      <c r="H1703" t="s">
        <v>5523</v>
      </c>
      <c r="I1703" t="s">
        <v>6047</v>
      </c>
      <c r="J1703">
        <v>10460</v>
      </c>
      <c r="K1703" t="s">
        <v>6074</v>
      </c>
      <c r="L1703" t="s">
        <v>6074</v>
      </c>
      <c r="M1703" t="s">
        <v>6182</v>
      </c>
      <c r="N1703" t="s">
        <v>7273</v>
      </c>
      <c r="O1703" t="s">
        <v>7308</v>
      </c>
      <c r="Q1703" t="s">
        <v>7322</v>
      </c>
      <c r="R1703" t="s">
        <v>6074</v>
      </c>
      <c r="S1703" t="s">
        <v>7324</v>
      </c>
      <c r="U1703" t="s">
        <v>457</v>
      </c>
      <c r="V1703">
        <v>517</v>
      </c>
      <c r="W1703" t="s">
        <v>7363</v>
      </c>
      <c r="X1703" t="s">
        <v>7376</v>
      </c>
      <c r="Z1703" t="s">
        <v>8715</v>
      </c>
      <c r="AC1703">
        <v>168</v>
      </c>
      <c r="AD1703" t="s">
        <v>6322</v>
      </c>
      <c r="AE1703" t="s">
        <v>12434</v>
      </c>
      <c r="AF1703">
        <v>24</v>
      </c>
      <c r="AG1703">
        <v>2</v>
      </c>
      <c r="AH1703">
        <v>0</v>
      </c>
      <c r="AI1703">
        <v>103.28</v>
      </c>
      <c r="AL1703" t="s">
        <v>12460</v>
      </c>
      <c r="AM1703">
        <v>17000</v>
      </c>
      <c r="AS1703">
        <v>0</v>
      </c>
      <c r="AU1703" t="s">
        <v>13092</v>
      </c>
    </row>
    <row r="1704" spans="1:48">
      <c r="A1704" s="1">
        <f>HYPERLINK("https://cms.ls-nyc.org/matter/dynamic-profile/view/1884607","18-1884607")</f>
        <v>0</v>
      </c>
      <c r="B1704" t="s">
        <v>103</v>
      </c>
      <c r="C1704" t="s">
        <v>380</v>
      </c>
      <c r="E1704" t="s">
        <v>1482</v>
      </c>
      <c r="F1704" t="s">
        <v>2337</v>
      </c>
      <c r="G1704" t="s">
        <v>3810</v>
      </c>
      <c r="H1704" t="s">
        <v>5757</v>
      </c>
      <c r="I1704" t="s">
        <v>6047</v>
      </c>
      <c r="J1704">
        <v>10451</v>
      </c>
      <c r="K1704" t="s">
        <v>6074</v>
      </c>
      <c r="L1704" t="s">
        <v>6074</v>
      </c>
      <c r="M1704" t="s">
        <v>6201</v>
      </c>
      <c r="N1704" t="s">
        <v>7273</v>
      </c>
      <c r="O1704" t="s">
        <v>7308</v>
      </c>
      <c r="Q1704" t="s">
        <v>7322</v>
      </c>
      <c r="R1704" t="s">
        <v>6074</v>
      </c>
      <c r="S1704" t="s">
        <v>7324</v>
      </c>
      <c r="U1704" t="s">
        <v>472</v>
      </c>
      <c r="V1704">
        <v>1012</v>
      </c>
      <c r="W1704" t="s">
        <v>7363</v>
      </c>
      <c r="X1704" t="s">
        <v>7376</v>
      </c>
      <c r="Z1704" t="s">
        <v>8716</v>
      </c>
      <c r="AB1704" t="s">
        <v>11436</v>
      </c>
      <c r="AC1704">
        <v>100</v>
      </c>
      <c r="AD1704" t="s">
        <v>12422</v>
      </c>
      <c r="AE1704" t="s">
        <v>6110</v>
      </c>
      <c r="AF1704">
        <v>21</v>
      </c>
      <c r="AG1704">
        <v>2</v>
      </c>
      <c r="AH1704">
        <v>0</v>
      </c>
      <c r="AI1704">
        <v>103.28</v>
      </c>
      <c r="AL1704" t="s">
        <v>12461</v>
      </c>
      <c r="AM1704">
        <v>17000</v>
      </c>
      <c r="AS1704">
        <v>0</v>
      </c>
      <c r="AU1704" t="s">
        <v>13095</v>
      </c>
    </row>
    <row r="1705" spans="1:48">
      <c r="A1705" s="1">
        <f>HYPERLINK("https://cms.ls-nyc.org/matter/dynamic-profile/view/1872536","18-1872536")</f>
        <v>0</v>
      </c>
      <c r="B1705" t="s">
        <v>115</v>
      </c>
      <c r="C1705" t="s">
        <v>376</v>
      </c>
      <c r="D1705" t="s">
        <v>562</v>
      </c>
      <c r="E1705" t="s">
        <v>871</v>
      </c>
      <c r="F1705" t="s">
        <v>2748</v>
      </c>
      <c r="G1705" t="s">
        <v>4432</v>
      </c>
      <c r="H1705" t="s">
        <v>5469</v>
      </c>
      <c r="I1705" t="s">
        <v>6047</v>
      </c>
      <c r="J1705">
        <v>10453</v>
      </c>
      <c r="K1705" t="s">
        <v>6074</v>
      </c>
      <c r="L1705" t="s">
        <v>6074</v>
      </c>
      <c r="N1705" t="s">
        <v>7275</v>
      </c>
      <c r="O1705" t="s">
        <v>7307</v>
      </c>
      <c r="P1705" t="s">
        <v>7315</v>
      </c>
      <c r="Q1705" t="s">
        <v>7322</v>
      </c>
      <c r="R1705" t="s">
        <v>6076</v>
      </c>
      <c r="S1705" t="s">
        <v>7324</v>
      </c>
      <c r="U1705" t="s">
        <v>467</v>
      </c>
      <c r="V1705">
        <v>700</v>
      </c>
      <c r="W1705" t="s">
        <v>7363</v>
      </c>
      <c r="Y1705" t="s">
        <v>7394</v>
      </c>
      <c r="Z1705" t="s">
        <v>8356</v>
      </c>
      <c r="AB1705" t="s">
        <v>11123</v>
      </c>
      <c r="AC1705">
        <v>58</v>
      </c>
      <c r="AD1705" t="s">
        <v>12422</v>
      </c>
      <c r="AE1705" t="s">
        <v>6110</v>
      </c>
      <c r="AF1705">
        <v>33</v>
      </c>
      <c r="AG1705">
        <v>1</v>
      </c>
      <c r="AH1705">
        <v>0</v>
      </c>
      <c r="AI1705">
        <v>103.29</v>
      </c>
      <c r="AL1705" t="s">
        <v>12461</v>
      </c>
      <c r="AM1705">
        <v>12540</v>
      </c>
      <c r="AS1705">
        <v>1.5</v>
      </c>
      <c r="AT1705" t="s">
        <v>402</v>
      </c>
      <c r="AU1705" t="s">
        <v>13092</v>
      </c>
    </row>
    <row r="1706" spans="1:48">
      <c r="A1706" s="1">
        <f>HYPERLINK("https://cms.ls-nyc.org/matter/dynamic-profile/view/1897566","19-1897566")</f>
        <v>0</v>
      </c>
      <c r="B1706" t="s">
        <v>120</v>
      </c>
      <c r="C1706" t="s">
        <v>343</v>
      </c>
      <c r="E1706" t="s">
        <v>585</v>
      </c>
      <c r="F1706" t="s">
        <v>2958</v>
      </c>
      <c r="G1706" t="s">
        <v>4151</v>
      </c>
      <c r="H1706" t="s">
        <v>5373</v>
      </c>
      <c r="I1706" t="s">
        <v>6048</v>
      </c>
      <c r="J1706">
        <v>10304</v>
      </c>
      <c r="K1706" t="s">
        <v>6074</v>
      </c>
      <c r="L1706" t="s">
        <v>6075</v>
      </c>
      <c r="M1706" t="s">
        <v>6790</v>
      </c>
      <c r="N1706" t="s">
        <v>7276</v>
      </c>
      <c r="O1706" t="s">
        <v>7308</v>
      </c>
      <c r="Q1706" t="s">
        <v>7322</v>
      </c>
      <c r="R1706" t="s">
        <v>6076</v>
      </c>
      <c r="S1706" t="s">
        <v>7324</v>
      </c>
      <c r="T1706" t="s">
        <v>7336</v>
      </c>
      <c r="U1706" t="s">
        <v>343</v>
      </c>
      <c r="V1706">
        <v>610</v>
      </c>
      <c r="W1706" t="s">
        <v>7364</v>
      </c>
      <c r="Z1706" t="s">
        <v>8717</v>
      </c>
      <c r="AB1706" t="s">
        <v>11437</v>
      </c>
      <c r="AC1706">
        <v>0</v>
      </c>
      <c r="AD1706" t="s">
        <v>12420</v>
      </c>
      <c r="AF1706">
        <v>11</v>
      </c>
      <c r="AG1706">
        <v>1</v>
      </c>
      <c r="AH1706">
        <v>4</v>
      </c>
      <c r="AI1706">
        <v>103.41</v>
      </c>
      <c r="AL1706" t="s">
        <v>12460</v>
      </c>
      <c r="AM1706">
        <v>31200</v>
      </c>
      <c r="AS1706">
        <v>3.5</v>
      </c>
      <c r="AT1706" t="s">
        <v>241</v>
      </c>
      <c r="AU1706" t="s">
        <v>13101</v>
      </c>
    </row>
    <row r="1707" spans="1:48">
      <c r="A1707" s="1">
        <f>HYPERLINK("https://cms.ls-nyc.org/matter/dynamic-profile/view/1874650","18-1874650")</f>
        <v>0</v>
      </c>
      <c r="B1707" t="s">
        <v>52</v>
      </c>
      <c r="C1707" t="s">
        <v>237</v>
      </c>
      <c r="D1707" t="s">
        <v>265</v>
      </c>
      <c r="E1707" t="s">
        <v>655</v>
      </c>
      <c r="F1707" t="s">
        <v>2656</v>
      </c>
      <c r="G1707" t="s">
        <v>4670</v>
      </c>
      <c r="H1707" t="s">
        <v>5758</v>
      </c>
      <c r="I1707" t="s">
        <v>6025</v>
      </c>
      <c r="J1707">
        <v>11691</v>
      </c>
      <c r="K1707" t="s">
        <v>6074</v>
      </c>
      <c r="L1707" t="s">
        <v>6074</v>
      </c>
      <c r="M1707" t="s">
        <v>6791</v>
      </c>
      <c r="N1707" t="s">
        <v>7276</v>
      </c>
      <c r="O1707" t="s">
        <v>7308</v>
      </c>
      <c r="P1707" t="s">
        <v>7319</v>
      </c>
      <c r="Q1707" t="s">
        <v>7322</v>
      </c>
      <c r="R1707" t="s">
        <v>6076</v>
      </c>
      <c r="S1707" t="s">
        <v>7324</v>
      </c>
      <c r="T1707" t="s">
        <v>7336</v>
      </c>
      <c r="U1707" t="s">
        <v>237</v>
      </c>
      <c r="V1707">
        <v>770</v>
      </c>
      <c r="W1707" t="s">
        <v>7361</v>
      </c>
      <c r="X1707" t="s">
        <v>7366</v>
      </c>
      <c r="Y1707" t="s">
        <v>7388</v>
      </c>
      <c r="Z1707" t="s">
        <v>8718</v>
      </c>
      <c r="AA1707" t="s">
        <v>10188</v>
      </c>
      <c r="AB1707" t="s">
        <v>11438</v>
      </c>
      <c r="AC1707">
        <v>256</v>
      </c>
      <c r="AD1707" t="s">
        <v>12423</v>
      </c>
      <c r="AE1707" t="s">
        <v>6110</v>
      </c>
      <c r="AF1707">
        <v>1</v>
      </c>
      <c r="AG1707">
        <v>2</v>
      </c>
      <c r="AH1707">
        <v>0</v>
      </c>
      <c r="AI1707">
        <v>103.6</v>
      </c>
      <c r="AL1707" t="s">
        <v>12460</v>
      </c>
      <c r="AM1707">
        <v>17052</v>
      </c>
      <c r="AP1707" t="s">
        <v>7305</v>
      </c>
      <c r="AQ1707" t="s">
        <v>12909</v>
      </c>
      <c r="AR1707" t="s">
        <v>12949</v>
      </c>
      <c r="AS1707">
        <v>20.15</v>
      </c>
      <c r="AT1707" t="s">
        <v>367</v>
      </c>
      <c r="AU1707" t="s">
        <v>48</v>
      </c>
    </row>
    <row r="1708" spans="1:48">
      <c r="A1708" s="1">
        <f>HYPERLINK("https://cms.ls-nyc.org/matter/dynamic-profile/view/1881294","18-1881294")</f>
        <v>0</v>
      </c>
      <c r="B1708" t="s">
        <v>126</v>
      </c>
      <c r="C1708" t="s">
        <v>240</v>
      </c>
      <c r="E1708" t="s">
        <v>828</v>
      </c>
      <c r="F1708" t="s">
        <v>2416</v>
      </c>
      <c r="G1708" t="s">
        <v>4323</v>
      </c>
      <c r="H1708">
        <v>52</v>
      </c>
      <c r="I1708" t="s">
        <v>6049</v>
      </c>
      <c r="J1708">
        <v>10039</v>
      </c>
      <c r="K1708" t="s">
        <v>6074</v>
      </c>
      <c r="L1708" t="s">
        <v>6074</v>
      </c>
      <c r="M1708" t="s">
        <v>6569</v>
      </c>
      <c r="N1708" t="s">
        <v>7273</v>
      </c>
      <c r="O1708" t="s">
        <v>7308</v>
      </c>
      <c r="Q1708" t="s">
        <v>7322</v>
      </c>
      <c r="R1708" t="s">
        <v>6074</v>
      </c>
      <c r="S1708" t="s">
        <v>7324</v>
      </c>
      <c r="T1708" t="s">
        <v>7336</v>
      </c>
      <c r="U1708" t="s">
        <v>464</v>
      </c>
      <c r="V1708">
        <v>196.5</v>
      </c>
      <c r="W1708" t="s">
        <v>7365</v>
      </c>
      <c r="X1708" t="s">
        <v>7367</v>
      </c>
      <c r="Z1708" t="s">
        <v>8719</v>
      </c>
      <c r="AB1708" t="s">
        <v>11024</v>
      </c>
      <c r="AC1708">
        <v>24</v>
      </c>
      <c r="AD1708" t="s">
        <v>12425</v>
      </c>
      <c r="AE1708" t="s">
        <v>6110</v>
      </c>
      <c r="AF1708">
        <v>50</v>
      </c>
      <c r="AG1708">
        <v>2</v>
      </c>
      <c r="AH1708">
        <v>0</v>
      </c>
      <c r="AI1708">
        <v>103.74</v>
      </c>
      <c r="AL1708" t="s">
        <v>12460</v>
      </c>
      <c r="AM1708">
        <v>17076</v>
      </c>
      <c r="AS1708">
        <v>0</v>
      </c>
      <c r="AU1708" t="s">
        <v>13107</v>
      </c>
    </row>
    <row r="1709" spans="1:48">
      <c r="A1709" s="1">
        <f>HYPERLINK("https://cms.ls-nyc.org/matter/dynamic-profile/view/1886508","18-1886508")</f>
        <v>0</v>
      </c>
      <c r="B1709" t="s">
        <v>102</v>
      </c>
      <c r="C1709" t="s">
        <v>300</v>
      </c>
      <c r="E1709" t="s">
        <v>686</v>
      </c>
      <c r="F1709" t="s">
        <v>2959</v>
      </c>
      <c r="G1709" t="s">
        <v>3779</v>
      </c>
      <c r="H1709" t="s">
        <v>5476</v>
      </c>
      <c r="I1709" t="s">
        <v>6047</v>
      </c>
      <c r="J1709">
        <v>10460</v>
      </c>
      <c r="K1709" t="s">
        <v>6074</v>
      </c>
      <c r="L1709" t="s">
        <v>6074</v>
      </c>
      <c r="M1709" t="s">
        <v>6182</v>
      </c>
      <c r="N1709" t="s">
        <v>7273</v>
      </c>
      <c r="O1709" t="s">
        <v>7308</v>
      </c>
      <c r="Q1709" t="s">
        <v>7322</v>
      </c>
      <c r="R1709" t="s">
        <v>6074</v>
      </c>
      <c r="S1709" t="s">
        <v>7324</v>
      </c>
      <c r="U1709" t="s">
        <v>457</v>
      </c>
      <c r="V1709">
        <v>304</v>
      </c>
      <c r="W1709" t="s">
        <v>7363</v>
      </c>
      <c r="X1709" t="s">
        <v>7376</v>
      </c>
      <c r="Z1709" t="s">
        <v>8720</v>
      </c>
      <c r="AB1709" t="s">
        <v>11439</v>
      </c>
      <c r="AC1709">
        <v>168</v>
      </c>
      <c r="AD1709" t="s">
        <v>12422</v>
      </c>
      <c r="AE1709" t="s">
        <v>12434</v>
      </c>
      <c r="AF1709">
        <v>1</v>
      </c>
      <c r="AG1709">
        <v>1</v>
      </c>
      <c r="AH1709">
        <v>0</v>
      </c>
      <c r="AI1709">
        <v>103.79</v>
      </c>
      <c r="AL1709" t="s">
        <v>12460</v>
      </c>
      <c r="AM1709">
        <v>12600</v>
      </c>
      <c r="AS1709">
        <v>0</v>
      </c>
      <c r="AU1709" t="s">
        <v>13092</v>
      </c>
    </row>
    <row r="1710" spans="1:48">
      <c r="A1710" s="1">
        <f>HYPERLINK("https://cms.ls-nyc.org/matter/dynamic-profile/view/1884755","18-1884755")</f>
        <v>0</v>
      </c>
      <c r="B1710" t="s">
        <v>114</v>
      </c>
      <c r="C1710" t="s">
        <v>297</v>
      </c>
      <c r="D1710" t="s">
        <v>434</v>
      </c>
      <c r="E1710" t="s">
        <v>1311</v>
      </c>
      <c r="F1710" t="s">
        <v>2059</v>
      </c>
      <c r="G1710" t="s">
        <v>4671</v>
      </c>
      <c r="H1710" t="s">
        <v>5485</v>
      </c>
      <c r="I1710" t="s">
        <v>6047</v>
      </c>
      <c r="J1710">
        <v>10451</v>
      </c>
      <c r="K1710" t="s">
        <v>6074</v>
      </c>
      <c r="L1710" t="s">
        <v>6074</v>
      </c>
      <c r="N1710" t="s">
        <v>7276</v>
      </c>
      <c r="O1710" t="s">
        <v>7306</v>
      </c>
      <c r="P1710" t="s">
        <v>7314</v>
      </c>
      <c r="Q1710" t="s">
        <v>7322</v>
      </c>
      <c r="R1710" t="s">
        <v>6076</v>
      </c>
      <c r="S1710" t="s">
        <v>7324</v>
      </c>
      <c r="U1710" t="s">
        <v>434</v>
      </c>
      <c r="V1710">
        <v>793</v>
      </c>
      <c r="W1710" t="s">
        <v>7363</v>
      </c>
      <c r="X1710" t="s">
        <v>7376</v>
      </c>
      <c r="Y1710" t="s">
        <v>7386</v>
      </c>
      <c r="Z1710" t="s">
        <v>8721</v>
      </c>
      <c r="AB1710" t="s">
        <v>11440</v>
      </c>
      <c r="AC1710">
        <v>0</v>
      </c>
      <c r="AD1710" t="s">
        <v>12422</v>
      </c>
      <c r="AE1710" t="s">
        <v>6110</v>
      </c>
      <c r="AF1710">
        <v>9</v>
      </c>
      <c r="AG1710">
        <v>1</v>
      </c>
      <c r="AH1710">
        <v>0</v>
      </c>
      <c r="AI1710">
        <v>103.79</v>
      </c>
      <c r="AL1710" t="s">
        <v>12461</v>
      </c>
      <c r="AM1710">
        <v>12600</v>
      </c>
      <c r="AS1710">
        <v>0.25</v>
      </c>
      <c r="AT1710" t="s">
        <v>434</v>
      </c>
      <c r="AU1710" t="s">
        <v>13095</v>
      </c>
    </row>
    <row r="1711" spans="1:48">
      <c r="A1711" s="1">
        <f>HYPERLINK("https://cms.ls-nyc.org/matter/dynamic-profile/view/1875216","18-1875216")</f>
        <v>0</v>
      </c>
      <c r="B1711" t="s">
        <v>111</v>
      </c>
      <c r="C1711" t="s">
        <v>427</v>
      </c>
      <c r="D1711" t="s">
        <v>401</v>
      </c>
      <c r="E1711" t="s">
        <v>1324</v>
      </c>
      <c r="F1711" t="s">
        <v>2960</v>
      </c>
      <c r="G1711" t="s">
        <v>4672</v>
      </c>
      <c r="I1711" t="s">
        <v>6047</v>
      </c>
      <c r="J1711">
        <v>10457</v>
      </c>
      <c r="K1711" t="s">
        <v>6074</v>
      </c>
      <c r="L1711" t="s">
        <v>6074</v>
      </c>
      <c r="M1711" t="s">
        <v>6792</v>
      </c>
      <c r="N1711" t="s">
        <v>7276</v>
      </c>
      <c r="O1711" t="s">
        <v>7308</v>
      </c>
      <c r="P1711" t="s">
        <v>7316</v>
      </c>
      <c r="Q1711" t="s">
        <v>7322</v>
      </c>
      <c r="R1711" t="s">
        <v>6076</v>
      </c>
      <c r="S1711" t="s">
        <v>7324</v>
      </c>
      <c r="T1711" t="s">
        <v>7337</v>
      </c>
      <c r="U1711" t="s">
        <v>427</v>
      </c>
      <c r="V1711">
        <v>2294</v>
      </c>
      <c r="W1711" t="s">
        <v>7363</v>
      </c>
      <c r="X1711" t="s">
        <v>7373</v>
      </c>
      <c r="Y1711" t="s">
        <v>7388</v>
      </c>
      <c r="Z1711" t="s">
        <v>8722</v>
      </c>
      <c r="AB1711" t="s">
        <v>11441</v>
      </c>
      <c r="AC1711">
        <v>186</v>
      </c>
      <c r="AD1711" t="s">
        <v>12422</v>
      </c>
      <c r="AE1711" t="s">
        <v>12434</v>
      </c>
      <c r="AF1711">
        <v>27</v>
      </c>
      <c r="AG1711">
        <v>3</v>
      </c>
      <c r="AH1711">
        <v>0</v>
      </c>
      <c r="AI1711">
        <v>103.95</v>
      </c>
      <c r="AL1711" t="s">
        <v>12460</v>
      </c>
      <c r="AM1711">
        <v>21600</v>
      </c>
      <c r="AO1711" t="s">
        <v>12850</v>
      </c>
      <c r="AP1711" t="s">
        <v>12858</v>
      </c>
      <c r="AQ1711" t="s">
        <v>12909</v>
      </c>
      <c r="AR1711" t="s">
        <v>13017</v>
      </c>
      <c r="AS1711">
        <v>15.65</v>
      </c>
      <c r="AT1711" t="s">
        <v>312</v>
      </c>
      <c r="AU1711" t="s">
        <v>13114</v>
      </c>
    </row>
    <row r="1712" spans="1:48">
      <c r="A1712" s="1">
        <f>HYPERLINK("https://cms.ls-nyc.org/matter/dynamic-profile/view/1894727","19-1894727")</f>
        <v>0</v>
      </c>
      <c r="B1712" t="s">
        <v>70</v>
      </c>
      <c r="C1712" t="s">
        <v>235</v>
      </c>
      <c r="E1712" t="s">
        <v>1483</v>
      </c>
      <c r="F1712" t="s">
        <v>2961</v>
      </c>
      <c r="G1712" t="s">
        <v>4673</v>
      </c>
      <c r="H1712" t="s">
        <v>5759</v>
      </c>
      <c r="I1712" t="s">
        <v>6043</v>
      </c>
      <c r="J1712">
        <v>11213</v>
      </c>
      <c r="K1712" t="s">
        <v>6074</v>
      </c>
      <c r="L1712" t="s">
        <v>6074</v>
      </c>
      <c r="M1712" t="s">
        <v>6793</v>
      </c>
      <c r="N1712" t="s">
        <v>7274</v>
      </c>
      <c r="O1712" t="s">
        <v>7308</v>
      </c>
      <c r="Q1712" t="s">
        <v>7322</v>
      </c>
      <c r="R1712" t="s">
        <v>6076</v>
      </c>
      <c r="S1712" t="s">
        <v>7324</v>
      </c>
      <c r="T1712" t="s">
        <v>7336</v>
      </c>
      <c r="U1712" t="s">
        <v>235</v>
      </c>
      <c r="V1712">
        <v>777.39</v>
      </c>
      <c r="W1712" t="s">
        <v>7362</v>
      </c>
      <c r="X1712" t="s">
        <v>7368</v>
      </c>
      <c r="Z1712" t="s">
        <v>8723</v>
      </c>
      <c r="AB1712" t="s">
        <v>11442</v>
      </c>
      <c r="AC1712">
        <v>53</v>
      </c>
      <c r="AD1712" t="s">
        <v>12422</v>
      </c>
      <c r="AF1712">
        <v>37</v>
      </c>
      <c r="AG1712">
        <v>1</v>
      </c>
      <c r="AH1712">
        <v>0</v>
      </c>
      <c r="AI1712">
        <v>103.96</v>
      </c>
      <c r="AL1712" t="s">
        <v>12460</v>
      </c>
      <c r="AM1712">
        <v>12984</v>
      </c>
      <c r="AO1712" t="s">
        <v>12846</v>
      </c>
      <c r="AS1712">
        <v>14.2</v>
      </c>
      <c r="AT1712" t="s">
        <v>526</v>
      </c>
      <c r="AU1712" t="s">
        <v>70</v>
      </c>
      <c r="AV1712" t="s">
        <v>13145</v>
      </c>
    </row>
    <row r="1713" spans="1:48">
      <c r="A1713" s="1">
        <f>HYPERLINK("https://cms.ls-nyc.org/matter/dynamic-profile/view/1895194","19-1895194")</f>
        <v>0</v>
      </c>
      <c r="B1713" t="s">
        <v>66</v>
      </c>
      <c r="C1713" t="s">
        <v>322</v>
      </c>
      <c r="D1713" t="s">
        <v>470</v>
      </c>
      <c r="E1713" t="s">
        <v>1075</v>
      </c>
      <c r="F1713" t="s">
        <v>2563</v>
      </c>
      <c r="G1713" t="s">
        <v>4674</v>
      </c>
      <c r="I1713" t="s">
        <v>6035</v>
      </c>
      <c r="J1713">
        <v>11377</v>
      </c>
      <c r="K1713" t="s">
        <v>6074</v>
      </c>
      <c r="L1713" t="s">
        <v>6074</v>
      </c>
      <c r="M1713" t="s">
        <v>6794</v>
      </c>
      <c r="N1713" t="s">
        <v>7274</v>
      </c>
      <c r="O1713" t="s">
        <v>7306</v>
      </c>
      <c r="P1713" t="s">
        <v>7314</v>
      </c>
      <c r="Q1713" t="s">
        <v>7322</v>
      </c>
      <c r="R1713" t="s">
        <v>6076</v>
      </c>
      <c r="S1713" t="s">
        <v>7324</v>
      </c>
      <c r="T1713" t="s">
        <v>7336</v>
      </c>
      <c r="U1713" t="s">
        <v>322</v>
      </c>
      <c r="V1713">
        <v>800</v>
      </c>
      <c r="W1713" t="s">
        <v>7361</v>
      </c>
      <c r="X1713" t="s">
        <v>7366</v>
      </c>
      <c r="Y1713" t="s">
        <v>7386</v>
      </c>
      <c r="Z1713" t="s">
        <v>8724</v>
      </c>
      <c r="AA1713" t="s">
        <v>9856</v>
      </c>
      <c r="AB1713" t="s">
        <v>11443</v>
      </c>
      <c r="AC1713">
        <v>9</v>
      </c>
      <c r="AD1713" t="s">
        <v>12430</v>
      </c>
      <c r="AE1713" t="s">
        <v>6110</v>
      </c>
      <c r="AF1713">
        <v>2</v>
      </c>
      <c r="AG1713">
        <v>1</v>
      </c>
      <c r="AH1713">
        <v>0</v>
      </c>
      <c r="AI1713">
        <v>104.08</v>
      </c>
      <c r="AL1713" t="s">
        <v>12460</v>
      </c>
      <c r="AM1713">
        <v>13000</v>
      </c>
      <c r="AS1713">
        <v>1.25</v>
      </c>
      <c r="AT1713" t="s">
        <v>470</v>
      </c>
      <c r="AU1713" t="s">
        <v>13078</v>
      </c>
      <c r="AV1713" t="s">
        <v>13145</v>
      </c>
    </row>
    <row r="1714" spans="1:48">
      <c r="A1714" s="1">
        <f>HYPERLINK("https://cms.ls-nyc.org/matter/dynamic-profile/view/1889312","19-1889312")</f>
        <v>0</v>
      </c>
      <c r="B1714" t="s">
        <v>92</v>
      </c>
      <c r="C1714" t="s">
        <v>261</v>
      </c>
      <c r="D1714" t="s">
        <v>457</v>
      </c>
      <c r="E1714" t="s">
        <v>586</v>
      </c>
      <c r="F1714" t="s">
        <v>2746</v>
      </c>
      <c r="G1714" t="s">
        <v>3748</v>
      </c>
      <c r="H1714" t="s">
        <v>5677</v>
      </c>
      <c r="I1714" t="s">
        <v>6043</v>
      </c>
      <c r="J1714">
        <v>11208</v>
      </c>
      <c r="K1714" t="s">
        <v>6074</v>
      </c>
      <c r="L1714" t="s">
        <v>6074</v>
      </c>
      <c r="N1714" t="s">
        <v>7275</v>
      </c>
      <c r="O1714" t="s">
        <v>7307</v>
      </c>
      <c r="P1714" t="s">
        <v>7315</v>
      </c>
      <c r="Q1714" t="s">
        <v>7322</v>
      </c>
      <c r="R1714" t="s">
        <v>6074</v>
      </c>
      <c r="S1714" t="s">
        <v>7324</v>
      </c>
      <c r="T1714" t="s">
        <v>7336</v>
      </c>
      <c r="U1714" t="s">
        <v>250</v>
      </c>
      <c r="V1714">
        <v>300</v>
      </c>
      <c r="W1714" t="s">
        <v>7362</v>
      </c>
      <c r="Y1714" t="s">
        <v>7387</v>
      </c>
      <c r="Z1714" t="s">
        <v>8354</v>
      </c>
      <c r="AB1714" t="s">
        <v>11121</v>
      </c>
      <c r="AC1714">
        <v>7</v>
      </c>
      <c r="AD1714" t="s">
        <v>12419</v>
      </c>
      <c r="AE1714" t="s">
        <v>6110</v>
      </c>
      <c r="AF1714">
        <v>3</v>
      </c>
      <c r="AG1714">
        <v>1</v>
      </c>
      <c r="AH1714">
        <v>0</v>
      </c>
      <c r="AI1714">
        <v>104.08</v>
      </c>
      <c r="AL1714" t="s">
        <v>12461</v>
      </c>
      <c r="AM1714">
        <v>13000</v>
      </c>
      <c r="AS1714">
        <v>0.1</v>
      </c>
      <c r="AT1714" t="s">
        <v>420</v>
      </c>
      <c r="AU1714" t="s">
        <v>180</v>
      </c>
    </row>
    <row r="1715" spans="1:48">
      <c r="A1715" s="1">
        <f>HYPERLINK("https://cms.ls-nyc.org/matter/dynamic-profile/view/1889882","19-1889882")</f>
        <v>0</v>
      </c>
      <c r="B1715" t="s">
        <v>96</v>
      </c>
      <c r="C1715" t="s">
        <v>351</v>
      </c>
      <c r="E1715" t="s">
        <v>1484</v>
      </c>
      <c r="F1715" t="s">
        <v>2429</v>
      </c>
      <c r="G1715" t="s">
        <v>3792</v>
      </c>
      <c r="H1715" t="s">
        <v>5426</v>
      </c>
      <c r="I1715" t="s">
        <v>6047</v>
      </c>
      <c r="J1715">
        <v>10453</v>
      </c>
      <c r="K1715" t="s">
        <v>6074</v>
      </c>
      <c r="L1715" t="s">
        <v>6074</v>
      </c>
      <c r="M1715" t="s">
        <v>6259</v>
      </c>
      <c r="N1715" t="s">
        <v>7273</v>
      </c>
      <c r="O1715" t="s">
        <v>7308</v>
      </c>
      <c r="Q1715" t="s">
        <v>7322</v>
      </c>
      <c r="R1715" t="s">
        <v>6074</v>
      </c>
      <c r="S1715" t="s">
        <v>7324</v>
      </c>
      <c r="U1715" t="s">
        <v>457</v>
      </c>
      <c r="V1715">
        <v>1152.67</v>
      </c>
      <c r="W1715" t="s">
        <v>7363</v>
      </c>
      <c r="X1715" t="s">
        <v>7376</v>
      </c>
      <c r="Z1715" t="s">
        <v>8725</v>
      </c>
      <c r="AB1715" t="s">
        <v>11444</v>
      </c>
      <c r="AC1715">
        <v>167</v>
      </c>
      <c r="AD1715" t="s">
        <v>12422</v>
      </c>
      <c r="AE1715" t="s">
        <v>7305</v>
      </c>
      <c r="AF1715">
        <v>14</v>
      </c>
      <c r="AG1715">
        <v>1</v>
      </c>
      <c r="AH1715">
        <v>0</v>
      </c>
      <c r="AI1715">
        <v>104.08</v>
      </c>
      <c r="AL1715" t="s">
        <v>12460</v>
      </c>
      <c r="AM1715">
        <v>13000</v>
      </c>
      <c r="AS1715">
        <v>0.3</v>
      </c>
      <c r="AT1715" t="s">
        <v>423</v>
      </c>
      <c r="AU1715" t="s">
        <v>13092</v>
      </c>
    </row>
    <row r="1716" spans="1:48">
      <c r="A1716" s="1">
        <f>HYPERLINK("https://cms.ls-nyc.org/matter/dynamic-profile/view/1846660","17-1846660")</f>
        <v>0</v>
      </c>
      <c r="B1716" t="s">
        <v>92</v>
      </c>
      <c r="C1716" t="s">
        <v>512</v>
      </c>
      <c r="D1716" t="s">
        <v>496</v>
      </c>
      <c r="E1716" t="s">
        <v>768</v>
      </c>
      <c r="F1716" t="s">
        <v>1977</v>
      </c>
      <c r="G1716" t="s">
        <v>4302</v>
      </c>
      <c r="H1716" t="s">
        <v>5359</v>
      </c>
      <c r="I1716" t="s">
        <v>6043</v>
      </c>
      <c r="J1716">
        <v>11237</v>
      </c>
      <c r="K1716" t="s">
        <v>6074</v>
      </c>
      <c r="L1716" t="s">
        <v>6074</v>
      </c>
      <c r="N1716" t="s">
        <v>7278</v>
      </c>
      <c r="O1716" t="s">
        <v>7309</v>
      </c>
      <c r="P1716" t="s">
        <v>7319</v>
      </c>
      <c r="Q1716" t="s">
        <v>7322</v>
      </c>
      <c r="R1716" t="s">
        <v>6074</v>
      </c>
      <c r="S1716" t="s">
        <v>7324</v>
      </c>
      <c r="T1716" t="s">
        <v>7336</v>
      </c>
      <c r="U1716" t="s">
        <v>7344</v>
      </c>
      <c r="V1716">
        <v>972</v>
      </c>
      <c r="W1716" t="s">
        <v>7362</v>
      </c>
      <c r="X1716" t="s">
        <v>7378</v>
      </c>
      <c r="Y1716" t="s">
        <v>7387</v>
      </c>
      <c r="Z1716" t="s">
        <v>8446</v>
      </c>
      <c r="AC1716">
        <v>6</v>
      </c>
      <c r="AD1716" t="s">
        <v>12422</v>
      </c>
      <c r="AE1716" t="s">
        <v>6110</v>
      </c>
      <c r="AF1716">
        <v>19</v>
      </c>
      <c r="AG1716">
        <v>2</v>
      </c>
      <c r="AH1716">
        <v>0</v>
      </c>
      <c r="AI1716">
        <v>104.68</v>
      </c>
      <c r="AL1716" t="s">
        <v>12461</v>
      </c>
      <c r="AM1716">
        <v>17000</v>
      </c>
      <c r="AS1716">
        <v>134.15</v>
      </c>
      <c r="AT1716" t="s">
        <v>375</v>
      </c>
      <c r="AU1716" t="s">
        <v>13079</v>
      </c>
      <c r="AV1716" t="s">
        <v>13145</v>
      </c>
    </row>
    <row r="1717" spans="1:48">
      <c r="A1717" s="1">
        <f>HYPERLINK("https://cms.ls-nyc.org/matter/dynamic-profile/view/1875806","18-1875806")</f>
        <v>0</v>
      </c>
      <c r="B1717" t="s">
        <v>105</v>
      </c>
      <c r="C1717" t="s">
        <v>281</v>
      </c>
      <c r="D1717" t="s">
        <v>346</v>
      </c>
      <c r="E1717" t="s">
        <v>1485</v>
      </c>
      <c r="F1717" t="s">
        <v>2962</v>
      </c>
      <c r="G1717" t="s">
        <v>4384</v>
      </c>
      <c r="H1717" t="s">
        <v>5760</v>
      </c>
      <c r="I1717" t="s">
        <v>6047</v>
      </c>
      <c r="J1717">
        <v>10453</v>
      </c>
      <c r="K1717" t="s">
        <v>6074</v>
      </c>
      <c r="L1717" t="s">
        <v>6074</v>
      </c>
      <c r="M1717" t="s">
        <v>6795</v>
      </c>
      <c r="N1717" t="s">
        <v>7273</v>
      </c>
      <c r="O1717" t="s">
        <v>7306</v>
      </c>
      <c r="P1717" t="s">
        <v>7314</v>
      </c>
      <c r="Q1717" t="s">
        <v>7322</v>
      </c>
      <c r="R1717" t="s">
        <v>6076</v>
      </c>
      <c r="S1717" t="s">
        <v>7324</v>
      </c>
      <c r="U1717" t="s">
        <v>336</v>
      </c>
      <c r="V1717">
        <v>1340</v>
      </c>
      <c r="W1717" t="s">
        <v>7363</v>
      </c>
      <c r="X1717" t="s">
        <v>7383</v>
      </c>
      <c r="Y1717" t="s">
        <v>7386</v>
      </c>
      <c r="Z1717" t="s">
        <v>8726</v>
      </c>
      <c r="AB1717" t="s">
        <v>11445</v>
      </c>
      <c r="AC1717">
        <v>278</v>
      </c>
      <c r="AD1717" t="s">
        <v>12420</v>
      </c>
      <c r="AF1717">
        <v>14</v>
      </c>
      <c r="AG1717">
        <v>1</v>
      </c>
      <c r="AH1717">
        <v>0</v>
      </c>
      <c r="AI1717">
        <v>104.94</v>
      </c>
      <c r="AL1717" t="s">
        <v>12461</v>
      </c>
      <c r="AM1717">
        <v>12740</v>
      </c>
      <c r="AS1717">
        <v>2</v>
      </c>
      <c r="AT1717" t="s">
        <v>336</v>
      </c>
      <c r="AU1717" t="s">
        <v>13117</v>
      </c>
    </row>
    <row r="1718" spans="1:48">
      <c r="A1718" s="1">
        <f>HYPERLINK("https://cms.ls-nyc.org/matter/dynamic-profile/view/1898128","19-1898128")</f>
        <v>0</v>
      </c>
      <c r="B1718" t="s">
        <v>106</v>
      </c>
      <c r="C1718" t="s">
        <v>362</v>
      </c>
      <c r="E1718" t="s">
        <v>1486</v>
      </c>
      <c r="F1718" t="s">
        <v>2963</v>
      </c>
      <c r="G1718" t="s">
        <v>4046</v>
      </c>
      <c r="H1718" t="s">
        <v>5504</v>
      </c>
      <c r="I1718" t="s">
        <v>6047</v>
      </c>
      <c r="J1718">
        <v>10467</v>
      </c>
      <c r="K1718" t="s">
        <v>6074</v>
      </c>
      <c r="L1718" t="s">
        <v>6074</v>
      </c>
      <c r="N1718" t="s">
        <v>7276</v>
      </c>
      <c r="O1718" t="s">
        <v>7307</v>
      </c>
      <c r="Q1718" t="s">
        <v>7322</v>
      </c>
      <c r="R1718" t="s">
        <v>6076</v>
      </c>
      <c r="S1718" t="s">
        <v>7324</v>
      </c>
      <c r="U1718" t="s">
        <v>362</v>
      </c>
      <c r="V1718">
        <v>914</v>
      </c>
      <c r="W1718" t="s">
        <v>7363</v>
      </c>
      <c r="X1718" t="s">
        <v>7376</v>
      </c>
      <c r="Z1718" t="s">
        <v>8727</v>
      </c>
      <c r="AB1718" t="s">
        <v>11446</v>
      </c>
      <c r="AC1718">
        <v>49</v>
      </c>
      <c r="AD1718" t="s">
        <v>12422</v>
      </c>
      <c r="AE1718" t="s">
        <v>7305</v>
      </c>
      <c r="AF1718">
        <v>7</v>
      </c>
      <c r="AG1718">
        <v>3</v>
      </c>
      <c r="AH1718">
        <v>3</v>
      </c>
      <c r="AI1718">
        <v>105.23</v>
      </c>
      <c r="AL1718" t="s">
        <v>12460</v>
      </c>
      <c r="AM1718">
        <v>36400</v>
      </c>
      <c r="AS1718">
        <v>2.7</v>
      </c>
      <c r="AT1718" t="s">
        <v>363</v>
      </c>
      <c r="AU1718" t="s">
        <v>106</v>
      </c>
      <c r="AV1718" t="s">
        <v>13145</v>
      </c>
    </row>
    <row r="1719" spans="1:48">
      <c r="A1719" s="1">
        <f>HYPERLINK("https://cms.ls-nyc.org/matter/dynamic-profile/view/1877511","18-1877511")</f>
        <v>0</v>
      </c>
      <c r="B1719" t="s">
        <v>179</v>
      </c>
      <c r="C1719" t="s">
        <v>372</v>
      </c>
      <c r="D1719" t="s">
        <v>472</v>
      </c>
      <c r="E1719" t="s">
        <v>1173</v>
      </c>
      <c r="F1719" t="s">
        <v>2964</v>
      </c>
      <c r="G1719" t="s">
        <v>4675</v>
      </c>
      <c r="H1719" t="s">
        <v>5398</v>
      </c>
      <c r="I1719" t="s">
        <v>6043</v>
      </c>
      <c r="J1719">
        <v>11212</v>
      </c>
      <c r="K1719" t="s">
        <v>6074</v>
      </c>
      <c r="L1719" t="s">
        <v>6075</v>
      </c>
      <c r="M1719" t="s">
        <v>6796</v>
      </c>
      <c r="N1719" t="s">
        <v>7276</v>
      </c>
      <c r="O1719" t="s">
        <v>7307</v>
      </c>
      <c r="P1719" t="s">
        <v>7315</v>
      </c>
      <c r="Q1719" t="s">
        <v>7322</v>
      </c>
      <c r="R1719" t="s">
        <v>6076</v>
      </c>
      <c r="S1719" t="s">
        <v>7324</v>
      </c>
      <c r="U1719" t="s">
        <v>409</v>
      </c>
      <c r="V1719">
        <v>942.8099999999999</v>
      </c>
      <c r="W1719" t="s">
        <v>7362</v>
      </c>
      <c r="X1719" t="s">
        <v>7368</v>
      </c>
      <c r="Y1719" t="s">
        <v>7386</v>
      </c>
      <c r="Z1719" t="s">
        <v>8728</v>
      </c>
      <c r="AB1719" t="s">
        <v>11447</v>
      </c>
      <c r="AC1719">
        <v>31</v>
      </c>
      <c r="AD1719" t="s">
        <v>12422</v>
      </c>
      <c r="AF1719">
        <v>19</v>
      </c>
      <c r="AG1719">
        <v>2</v>
      </c>
      <c r="AH1719">
        <v>0</v>
      </c>
      <c r="AI1719">
        <v>105.35</v>
      </c>
      <c r="AL1719" t="s">
        <v>12460</v>
      </c>
      <c r="AM1719">
        <v>17340</v>
      </c>
      <c r="AS1719">
        <v>1.5</v>
      </c>
      <c r="AT1719" t="s">
        <v>255</v>
      </c>
      <c r="AU1719" t="s">
        <v>218</v>
      </c>
    </row>
    <row r="1720" spans="1:48">
      <c r="A1720" s="1">
        <f>HYPERLINK("https://cms.ls-nyc.org/matter/dynamic-profile/view/1871508","18-1871508")</f>
        <v>0</v>
      </c>
      <c r="B1720" t="s">
        <v>94</v>
      </c>
      <c r="C1720" t="s">
        <v>374</v>
      </c>
      <c r="E1720" t="s">
        <v>651</v>
      </c>
      <c r="F1720" t="s">
        <v>2052</v>
      </c>
      <c r="G1720" t="s">
        <v>4676</v>
      </c>
      <c r="H1720" t="s">
        <v>5761</v>
      </c>
      <c r="I1720" t="s">
        <v>6025</v>
      </c>
      <c r="J1720">
        <v>11691</v>
      </c>
      <c r="K1720" t="s">
        <v>6074</v>
      </c>
      <c r="L1720" t="s">
        <v>6074</v>
      </c>
      <c r="M1720" t="s">
        <v>6797</v>
      </c>
      <c r="N1720" t="s">
        <v>7276</v>
      </c>
      <c r="O1720" t="s">
        <v>7308</v>
      </c>
      <c r="Q1720" t="s">
        <v>7322</v>
      </c>
      <c r="R1720" t="s">
        <v>6076</v>
      </c>
      <c r="S1720" t="s">
        <v>7324</v>
      </c>
      <c r="T1720" t="s">
        <v>7336</v>
      </c>
      <c r="U1720" t="s">
        <v>374</v>
      </c>
      <c r="V1720">
        <v>443</v>
      </c>
      <c r="W1720" t="s">
        <v>7361</v>
      </c>
      <c r="X1720" t="s">
        <v>7366</v>
      </c>
      <c r="Z1720" t="s">
        <v>8729</v>
      </c>
      <c r="AB1720" t="s">
        <v>11448</v>
      </c>
      <c r="AC1720">
        <v>144</v>
      </c>
      <c r="AD1720" t="s">
        <v>12420</v>
      </c>
      <c r="AE1720" t="s">
        <v>7305</v>
      </c>
      <c r="AF1720">
        <v>10</v>
      </c>
      <c r="AG1720">
        <v>2</v>
      </c>
      <c r="AH1720">
        <v>1</v>
      </c>
      <c r="AI1720">
        <v>105.4</v>
      </c>
      <c r="AL1720" t="s">
        <v>12460</v>
      </c>
      <c r="AM1720">
        <v>21902.4</v>
      </c>
      <c r="AO1720" t="s">
        <v>12850</v>
      </c>
      <c r="AP1720" t="s">
        <v>7305</v>
      </c>
      <c r="AQ1720" t="s">
        <v>12909</v>
      </c>
      <c r="AR1720" t="s">
        <v>13018</v>
      </c>
      <c r="AS1720">
        <v>5.8</v>
      </c>
      <c r="AT1720" t="s">
        <v>249</v>
      </c>
      <c r="AU1720" t="s">
        <v>189</v>
      </c>
    </row>
    <row r="1721" spans="1:48">
      <c r="A1721" s="1">
        <f>HYPERLINK("https://cms.ls-nyc.org/matter/dynamic-profile/view/1888681","19-1888681")</f>
        <v>0</v>
      </c>
      <c r="B1721" t="s">
        <v>128</v>
      </c>
      <c r="C1721" t="s">
        <v>339</v>
      </c>
      <c r="E1721" t="s">
        <v>1012</v>
      </c>
      <c r="F1721" t="s">
        <v>2111</v>
      </c>
      <c r="G1721" t="s">
        <v>3934</v>
      </c>
      <c r="H1721">
        <v>24</v>
      </c>
      <c r="I1721" t="s">
        <v>6049</v>
      </c>
      <c r="J1721">
        <v>10034</v>
      </c>
      <c r="K1721" t="s">
        <v>6074</v>
      </c>
      <c r="L1721" t="s">
        <v>6074</v>
      </c>
      <c r="M1721" t="s">
        <v>6500</v>
      </c>
      <c r="N1721" t="s">
        <v>7273</v>
      </c>
      <c r="O1721" t="s">
        <v>7308</v>
      </c>
      <c r="Q1721" t="s">
        <v>7322</v>
      </c>
      <c r="R1721" t="s">
        <v>6074</v>
      </c>
      <c r="S1721" t="s">
        <v>7324</v>
      </c>
      <c r="U1721" t="s">
        <v>339</v>
      </c>
      <c r="V1721">
        <v>947.89</v>
      </c>
      <c r="W1721" t="s">
        <v>7365</v>
      </c>
      <c r="X1721" t="s">
        <v>7368</v>
      </c>
      <c r="Z1721" t="s">
        <v>8519</v>
      </c>
      <c r="AB1721" t="s">
        <v>11449</v>
      </c>
      <c r="AC1721">
        <v>25</v>
      </c>
      <c r="AD1721" t="s">
        <v>12422</v>
      </c>
      <c r="AE1721" t="s">
        <v>12441</v>
      </c>
      <c r="AF1721">
        <v>20</v>
      </c>
      <c r="AG1721">
        <v>3</v>
      </c>
      <c r="AH1721">
        <v>0</v>
      </c>
      <c r="AI1721">
        <v>105.65</v>
      </c>
      <c r="AL1721" t="s">
        <v>12461</v>
      </c>
      <c r="AM1721">
        <v>22536</v>
      </c>
      <c r="AS1721">
        <v>0.5</v>
      </c>
      <c r="AT1721" t="s">
        <v>339</v>
      </c>
      <c r="AU1721" t="s">
        <v>13106</v>
      </c>
    </row>
    <row r="1722" spans="1:48">
      <c r="A1722" s="1">
        <f>HYPERLINK("https://cms.ls-nyc.org/matter/dynamic-profile/view/1896270","19-1896270")</f>
        <v>0</v>
      </c>
      <c r="B1722" t="s">
        <v>52</v>
      </c>
      <c r="C1722" t="s">
        <v>314</v>
      </c>
      <c r="D1722" t="s">
        <v>317</v>
      </c>
      <c r="E1722" t="s">
        <v>961</v>
      </c>
      <c r="F1722" t="s">
        <v>2965</v>
      </c>
      <c r="G1722" t="s">
        <v>4677</v>
      </c>
      <c r="H1722" t="s">
        <v>5382</v>
      </c>
      <c r="I1722" t="s">
        <v>6040</v>
      </c>
      <c r="J1722">
        <v>11354</v>
      </c>
      <c r="K1722" t="s">
        <v>6074</v>
      </c>
      <c r="L1722" t="s">
        <v>6075</v>
      </c>
      <c r="M1722" t="s">
        <v>6798</v>
      </c>
      <c r="N1722" t="s">
        <v>7274</v>
      </c>
      <c r="O1722" t="s">
        <v>7307</v>
      </c>
      <c r="P1722" t="s">
        <v>7315</v>
      </c>
      <c r="Q1722" t="s">
        <v>7322</v>
      </c>
      <c r="R1722" t="s">
        <v>6076</v>
      </c>
      <c r="S1722" t="s">
        <v>7324</v>
      </c>
      <c r="T1722" t="s">
        <v>7336</v>
      </c>
      <c r="U1722" t="s">
        <v>362</v>
      </c>
      <c r="V1722">
        <v>1375</v>
      </c>
      <c r="W1722" t="s">
        <v>7361</v>
      </c>
      <c r="X1722" t="s">
        <v>7366</v>
      </c>
      <c r="Y1722" t="s">
        <v>7387</v>
      </c>
      <c r="Z1722" t="s">
        <v>8730</v>
      </c>
      <c r="AA1722" t="s">
        <v>9856</v>
      </c>
      <c r="AB1722" t="s">
        <v>11450</v>
      </c>
      <c r="AC1722">
        <v>36</v>
      </c>
      <c r="AD1722" t="s">
        <v>12422</v>
      </c>
      <c r="AE1722" t="s">
        <v>6110</v>
      </c>
      <c r="AF1722">
        <v>2</v>
      </c>
      <c r="AG1722">
        <v>1</v>
      </c>
      <c r="AH1722">
        <v>0</v>
      </c>
      <c r="AI1722">
        <v>105.68</v>
      </c>
      <c r="AL1722" t="s">
        <v>12460</v>
      </c>
      <c r="AM1722">
        <v>13200</v>
      </c>
      <c r="AP1722" t="s">
        <v>7305</v>
      </c>
      <c r="AR1722" t="s">
        <v>13019</v>
      </c>
      <c r="AS1722">
        <v>5.1</v>
      </c>
      <c r="AT1722" t="s">
        <v>260</v>
      </c>
      <c r="AU1722" t="s">
        <v>13077</v>
      </c>
      <c r="AV1722" t="s">
        <v>13145</v>
      </c>
    </row>
    <row r="1723" spans="1:48">
      <c r="A1723" s="1">
        <f>HYPERLINK("https://cms.ls-nyc.org/matter/dynamic-profile/view/1897145","19-1897145")</f>
        <v>0</v>
      </c>
      <c r="B1723" t="s">
        <v>96</v>
      </c>
      <c r="C1723" t="s">
        <v>279</v>
      </c>
      <c r="E1723" t="s">
        <v>740</v>
      </c>
      <c r="F1723" t="s">
        <v>2172</v>
      </c>
      <c r="G1723" t="s">
        <v>4678</v>
      </c>
      <c r="H1723" t="s">
        <v>5511</v>
      </c>
      <c r="I1723" t="s">
        <v>6047</v>
      </c>
      <c r="J1723">
        <v>10460</v>
      </c>
      <c r="K1723" t="s">
        <v>6074</v>
      </c>
      <c r="L1723" t="s">
        <v>6074</v>
      </c>
      <c r="N1723" t="s">
        <v>6104</v>
      </c>
      <c r="O1723" t="s">
        <v>7307</v>
      </c>
      <c r="Q1723" t="s">
        <v>7322</v>
      </c>
      <c r="R1723" t="s">
        <v>6076</v>
      </c>
      <c r="S1723" t="s">
        <v>7324</v>
      </c>
      <c r="U1723" t="s">
        <v>418</v>
      </c>
      <c r="V1723">
        <v>1285.31</v>
      </c>
      <c r="W1723" t="s">
        <v>7363</v>
      </c>
      <c r="X1723" t="s">
        <v>7372</v>
      </c>
      <c r="Y1723" t="s">
        <v>7386</v>
      </c>
      <c r="Z1723" t="s">
        <v>8731</v>
      </c>
      <c r="AB1723" t="s">
        <v>11451</v>
      </c>
      <c r="AC1723">
        <v>96</v>
      </c>
      <c r="AD1723" t="s">
        <v>12422</v>
      </c>
      <c r="AE1723" t="s">
        <v>12434</v>
      </c>
      <c r="AF1723">
        <v>10</v>
      </c>
      <c r="AG1723">
        <v>1</v>
      </c>
      <c r="AH1723">
        <v>0</v>
      </c>
      <c r="AI1723">
        <v>105.68</v>
      </c>
      <c r="AL1723" t="s">
        <v>12460</v>
      </c>
      <c r="AM1723">
        <v>13200</v>
      </c>
      <c r="AS1723">
        <v>4.1</v>
      </c>
      <c r="AT1723" t="s">
        <v>363</v>
      </c>
      <c r="AU1723" t="s">
        <v>13136</v>
      </c>
      <c r="AV1723" t="s">
        <v>13145</v>
      </c>
    </row>
    <row r="1724" spans="1:48">
      <c r="A1724" s="1">
        <f>HYPERLINK("https://cms.ls-nyc.org/matter/dynamic-profile/view/1897591","19-1897591")</f>
        <v>0</v>
      </c>
      <c r="B1724" t="s">
        <v>98</v>
      </c>
      <c r="C1724" t="s">
        <v>424</v>
      </c>
      <c r="E1724" t="s">
        <v>1487</v>
      </c>
      <c r="F1724" t="s">
        <v>2772</v>
      </c>
      <c r="G1724" t="s">
        <v>4454</v>
      </c>
      <c r="H1724" t="s">
        <v>5405</v>
      </c>
      <c r="I1724" t="s">
        <v>6047</v>
      </c>
      <c r="J1724">
        <v>10453</v>
      </c>
      <c r="K1724" t="s">
        <v>6074</v>
      </c>
      <c r="L1724" t="s">
        <v>6074</v>
      </c>
      <c r="M1724" t="s">
        <v>6799</v>
      </c>
      <c r="N1724" t="s">
        <v>7276</v>
      </c>
      <c r="O1724" t="s">
        <v>7308</v>
      </c>
      <c r="Q1724" t="s">
        <v>7322</v>
      </c>
      <c r="R1724" t="s">
        <v>6076</v>
      </c>
      <c r="S1724" t="s">
        <v>7324</v>
      </c>
      <c r="T1724" t="s">
        <v>7336</v>
      </c>
      <c r="U1724" t="s">
        <v>424</v>
      </c>
      <c r="V1724">
        <v>1019</v>
      </c>
      <c r="W1724" t="s">
        <v>7363</v>
      </c>
      <c r="X1724" t="s">
        <v>7368</v>
      </c>
      <c r="Z1724" t="s">
        <v>8388</v>
      </c>
      <c r="AB1724" t="s">
        <v>11148</v>
      </c>
      <c r="AC1724">
        <v>69</v>
      </c>
      <c r="AD1724" t="s">
        <v>12422</v>
      </c>
      <c r="AE1724" t="s">
        <v>6110</v>
      </c>
      <c r="AF1724">
        <v>15</v>
      </c>
      <c r="AG1724">
        <v>1</v>
      </c>
      <c r="AH1724">
        <v>0</v>
      </c>
      <c r="AI1724">
        <v>105.68</v>
      </c>
      <c r="AL1724" t="s">
        <v>3291</v>
      </c>
      <c r="AM1724">
        <v>13200</v>
      </c>
      <c r="AS1724">
        <v>6.3</v>
      </c>
      <c r="AT1724" t="s">
        <v>241</v>
      </c>
      <c r="AU1724" t="s">
        <v>13093</v>
      </c>
      <c r="AV1724" t="s">
        <v>13145</v>
      </c>
    </row>
    <row r="1725" spans="1:48">
      <c r="A1725" s="1">
        <f>HYPERLINK("https://cms.ls-nyc.org/matter/dynamic-profile/view/1895534","19-1895534")</f>
        <v>0</v>
      </c>
      <c r="B1725" t="s">
        <v>128</v>
      </c>
      <c r="C1725" t="s">
        <v>457</v>
      </c>
      <c r="E1725" t="s">
        <v>637</v>
      </c>
      <c r="F1725" t="s">
        <v>2966</v>
      </c>
      <c r="G1725" t="s">
        <v>4679</v>
      </c>
      <c r="H1725" t="s">
        <v>5354</v>
      </c>
      <c r="I1725" t="s">
        <v>6049</v>
      </c>
      <c r="J1725">
        <v>10034</v>
      </c>
      <c r="K1725" t="s">
        <v>6074</v>
      </c>
      <c r="L1725" t="s">
        <v>6074</v>
      </c>
      <c r="N1725" t="s">
        <v>6104</v>
      </c>
      <c r="O1725" t="s">
        <v>7310</v>
      </c>
      <c r="Q1725" t="s">
        <v>7322</v>
      </c>
      <c r="R1725" t="s">
        <v>6076</v>
      </c>
      <c r="S1725" t="s">
        <v>7324</v>
      </c>
      <c r="T1725" t="s">
        <v>7336</v>
      </c>
      <c r="U1725" t="s">
        <v>457</v>
      </c>
      <c r="V1725">
        <v>450.25</v>
      </c>
      <c r="W1725" t="s">
        <v>7365</v>
      </c>
      <c r="X1725" t="s">
        <v>7305</v>
      </c>
      <c r="Z1725" t="s">
        <v>8732</v>
      </c>
      <c r="AB1725" t="s">
        <v>11452</v>
      </c>
      <c r="AC1725">
        <v>49</v>
      </c>
      <c r="AD1725" t="s">
        <v>12422</v>
      </c>
      <c r="AE1725" t="s">
        <v>6110</v>
      </c>
      <c r="AF1725">
        <v>50</v>
      </c>
      <c r="AG1725">
        <v>1</v>
      </c>
      <c r="AH1725">
        <v>0</v>
      </c>
      <c r="AI1725">
        <v>105.68</v>
      </c>
      <c r="AL1725" t="s">
        <v>12460</v>
      </c>
      <c r="AM1725">
        <v>13200</v>
      </c>
      <c r="AS1725">
        <v>10.3</v>
      </c>
      <c r="AT1725" t="s">
        <v>397</v>
      </c>
      <c r="AU1725" t="s">
        <v>13107</v>
      </c>
    </row>
    <row r="1726" spans="1:48">
      <c r="A1726" s="1">
        <f>HYPERLINK("https://cms.ls-nyc.org/matter/dynamic-profile/view/1885042","18-1885042")</f>
        <v>0</v>
      </c>
      <c r="B1726" t="s">
        <v>115</v>
      </c>
      <c r="C1726" t="s">
        <v>435</v>
      </c>
      <c r="E1726" t="s">
        <v>581</v>
      </c>
      <c r="F1726" t="s">
        <v>2967</v>
      </c>
      <c r="G1726" t="s">
        <v>4553</v>
      </c>
      <c r="H1726" t="s">
        <v>5762</v>
      </c>
      <c r="I1726" t="s">
        <v>6047</v>
      </c>
      <c r="J1726">
        <v>10452</v>
      </c>
      <c r="K1726" t="s">
        <v>6074</v>
      </c>
      <c r="L1726" t="s">
        <v>6074</v>
      </c>
      <c r="M1726" t="s">
        <v>6800</v>
      </c>
      <c r="N1726" t="s">
        <v>7282</v>
      </c>
      <c r="O1726" t="s">
        <v>7308</v>
      </c>
      <c r="Q1726" t="s">
        <v>7322</v>
      </c>
      <c r="R1726" t="s">
        <v>6074</v>
      </c>
      <c r="S1726" t="s">
        <v>7324</v>
      </c>
      <c r="U1726" t="s">
        <v>472</v>
      </c>
      <c r="V1726">
        <v>996</v>
      </c>
      <c r="W1726" t="s">
        <v>7363</v>
      </c>
      <c r="X1726" t="s">
        <v>7376</v>
      </c>
      <c r="Z1726" t="s">
        <v>8733</v>
      </c>
      <c r="AB1726" t="s">
        <v>11453</v>
      </c>
      <c r="AC1726">
        <v>71</v>
      </c>
      <c r="AD1726" t="s">
        <v>12422</v>
      </c>
      <c r="AE1726" t="s">
        <v>6110</v>
      </c>
      <c r="AF1726">
        <v>5</v>
      </c>
      <c r="AG1726">
        <v>2</v>
      </c>
      <c r="AH1726">
        <v>0</v>
      </c>
      <c r="AI1726">
        <v>105.71</v>
      </c>
      <c r="AL1726" t="s">
        <v>12460</v>
      </c>
      <c r="AM1726">
        <v>17400</v>
      </c>
      <c r="AS1726">
        <v>0</v>
      </c>
      <c r="AU1726" t="s">
        <v>13092</v>
      </c>
    </row>
    <row r="1727" spans="1:48">
      <c r="A1727" s="1">
        <f>HYPERLINK("https://cms.ls-nyc.org/matter/dynamic-profile/view/1885045","18-1885045")</f>
        <v>0</v>
      </c>
      <c r="B1727" t="s">
        <v>115</v>
      </c>
      <c r="C1727" t="s">
        <v>435</v>
      </c>
      <c r="E1727" t="s">
        <v>581</v>
      </c>
      <c r="F1727" t="s">
        <v>2967</v>
      </c>
      <c r="G1727" t="s">
        <v>4553</v>
      </c>
      <c r="H1727" t="s">
        <v>5762</v>
      </c>
      <c r="I1727" t="s">
        <v>6047</v>
      </c>
      <c r="J1727">
        <v>10452</v>
      </c>
      <c r="K1727" t="s">
        <v>6074</v>
      </c>
      <c r="L1727" t="s">
        <v>6074</v>
      </c>
      <c r="M1727" t="s">
        <v>6801</v>
      </c>
      <c r="N1727" t="s">
        <v>7276</v>
      </c>
      <c r="O1727" t="s">
        <v>7308</v>
      </c>
      <c r="Q1727" t="s">
        <v>7322</v>
      </c>
      <c r="R1727" t="s">
        <v>6076</v>
      </c>
      <c r="S1727" t="s">
        <v>7324</v>
      </c>
      <c r="U1727" t="s">
        <v>7353</v>
      </c>
      <c r="V1727">
        <v>996</v>
      </c>
      <c r="W1727" t="s">
        <v>7363</v>
      </c>
      <c r="X1727" t="s">
        <v>7368</v>
      </c>
      <c r="Z1727" t="s">
        <v>8733</v>
      </c>
      <c r="AB1727" t="s">
        <v>11453</v>
      </c>
      <c r="AC1727">
        <v>71</v>
      </c>
      <c r="AD1727" t="s">
        <v>12422</v>
      </c>
      <c r="AE1727" t="s">
        <v>6110</v>
      </c>
      <c r="AF1727">
        <v>5</v>
      </c>
      <c r="AG1727">
        <v>2</v>
      </c>
      <c r="AH1727">
        <v>0</v>
      </c>
      <c r="AI1727">
        <v>105.71</v>
      </c>
      <c r="AL1727" t="s">
        <v>12460</v>
      </c>
      <c r="AM1727">
        <v>17400</v>
      </c>
      <c r="AS1727">
        <v>12.8</v>
      </c>
      <c r="AT1727" t="s">
        <v>300</v>
      </c>
      <c r="AU1727" t="s">
        <v>13092</v>
      </c>
    </row>
    <row r="1728" spans="1:48">
      <c r="A1728" s="1">
        <f>HYPERLINK("https://cms.ls-nyc.org/matter/dynamic-profile/view/1879523","18-1879523")</f>
        <v>0</v>
      </c>
      <c r="B1728" t="s">
        <v>54</v>
      </c>
      <c r="C1728" t="s">
        <v>239</v>
      </c>
      <c r="D1728" t="s">
        <v>325</v>
      </c>
      <c r="E1728" t="s">
        <v>1488</v>
      </c>
      <c r="F1728" t="s">
        <v>2968</v>
      </c>
      <c r="G1728" t="s">
        <v>4680</v>
      </c>
      <c r="H1728" t="s">
        <v>5420</v>
      </c>
      <c r="I1728" t="s">
        <v>6067</v>
      </c>
      <c r="J1728">
        <v>11422</v>
      </c>
      <c r="K1728" t="s">
        <v>6074</v>
      </c>
      <c r="L1728" t="s">
        <v>6074</v>
      </c>
      <c r="M1728" t="s">
        <v>6802</v>
      </c>
      <c r="N1728" t="s">
        <v>7274</v>
      </c>
      <c r="O1728" t="s">
        <v>7306</v>
      </c>
      <c r="P1728" t="s">
        <v>7314</v>
      </c>
      <c r="Q1728" t="s">
        <v>7322</v>
      </c>
      <c r="R1728" t="s">
        <v>6076</v>
      </c>
      <c r="S1728" t="s">
        <v>7324</v>
      </c>
      <c r="T1728" t="s">
        <v>7336</v>
      </c>
      <c r="U1728" t="s">
        <v>239</v>
      </c>
      <c r="V1728">
        <v>1150</v>
      </c>
      <c r="W1728" t="s">
        <v>7361</v>
      </c>
      <c r="X1728" t="s">
        <v>7366</v>
      </c>
      <c r="Y1728" t="s">
        <v>7386</v>
      </c>
      <c r="Z1728" t="s">
        <v>8734</v>
      </c>
      <c r="AA1728" t="s">
        <v>10189</v>
      </c>
      <c r="AB1728" t="s">
        <v>11454</v>
      </c>
      <c r="AC1728">
        <v>2</v>
      </c>
      <c r="AD1728" t="s">
        <v>12419</v>
      </c>
      <c r="AE1728" t="s">
        <v>6110</v>
      </c>
      <c r="AF1728">
        <v>8</v>
      </c>
      <c r="AG1728">
        <v>2</v>
      </c>
      <c r="AH1728">
        <v>1</v>
      </c>
      <c r="AI1728">
        <v>105.87</v>
      </c>
      <c r="AL1728" t="s">
        <v>12460</v>
      </c>
      <c r="AM1728">
        <v>22000</v>
      </c>
      <c r="AS1728">
        <v>0.8</v>
      </c>
      <c r="AT1728" t="s">
        <v>325</v>
      </c>
      <c r="AU1728" t="s">
        <v>51</v>
      </c>
    </row>
    <row r="1729" spans="1:48">
      <c r="A1729" s="1">
        <f>HYPERLINK("https://cms.ls-nyc.org/matter/dynamic-profile/view/1884960","18-1884960")</f>
        <v>0</v>
      </c>
      <c r="B1729" t="s">
        <v>113</v>
      </c>
      <c r="C1729" t="s">
        <v>269</v>
      </c>
      <c r="E1729" t="s">
        <v>1489</v>
      </c>
      <c r="F1729" t="s">
        <v>2969</v>
      </c>
      <c r="G1729" t="s">
        <v>4681</v>
      </c>
      <c r="H1729" t="s">
        <v>5513</v>
      </c>
      <c r="I1729" t="s">
        <v>6047</v>
      </c>
      <c r="J1729">
        <v>10451</v>
      </c>
      <c r="K1729" t="s">
        <v>6074</v>
      </c>
      <c r="L1729" t="s">
        <v>6074</v>
      </c>
      <c r="M1729" t="s">
        <v>6803</v>
      </c>
      <c r="N1729" t="s">
        <v>7276</v>
      </c>
      <c r="O1729" t="s">
        <v>7308</v>
      </c>
      <c r="Q1729" t="s">
        <v>7322</v>
      </c>
      <c r="R1729" t="s">
        <v>6076</v>
      </c>
      <c r="S1729" t="s">
        <v>7324</v>
      </c>
      <c r="U1729" t="s">
        <v>366</v>
      </c>
      <c r="V1729">
        <v>737.34</v>
      </c>
      <c r="W1729" t="s">
        <v>7363</v>
      </c>
      <c r="X1729" t="s">
        <v>7376</v>
      </c>
      <c r="Z1729" t="s">
        <v>8735</v>
      </c>
      <c r="AB1729" t="s">
        <v>11455</v>
      </c>
      <c r="AC1729">
        <v>81</v>
      </c>
      <c r="AD1729" t="s">
        <v>12422</v>
      </c>
      <c r="AE1729" t="s">
        <v>6110</v>
      </c>
      <c r="AF1729">
        <v>26</v>
      </c>
      <c r="AG1729">
        <v>2</v>
      </c>
      <c r="AH1729">
        <v>1</v>
      </c>
      <c r="AI1729">
        <v>105.87</v>
      </c>
      <c r="AL1729" t="s">
        <v>12460</v>
      </c>
      <c r="AM1729">
        <v>22000</v>
      </c>
      <c r="AS1729">
        <v>14.1</v>
      </c>
      <c r="AT1729" t="s">
        <v>332</v>
      </c>
      <c r="AU1729" t="s">
        <v>13095</v>
      </c>
    </row>
    <row r="1730" spans="1:48">
      <c r="A1730" s="1">
        <f>HYPERLINK("https://cms.ls-nyc.org/matter/dynamic-profile/view/1892251","19-1892251")</f>
        <v>0</v>
      </c>
      <c r="B1730" t="s">
        <v>64</v>
      </c>
      <c r="C1730" t="s">
        <v>359</v>
      </c>
      <c r="D1730" t="s">
        <v>363</v>
      </c>
      <c r="E1730" t="s">
        <v>699</v>
      </c>
      <c r="F1730" t="s">
        <v>2970</v>
      </c>
      <c r="G1730" t="s">
        <v>4682</v>
      </c>
      <c r="H1730" t="s">
        <v>5507</v>
      </c>
      <c r="I1730" t="s">
        <v>6024</v>
      </c>
      <c r="J1730">
        <v>11692</v>
      </c>
      <c r="K1730" t="s">
        <v>6074</v>
      </c>
      <c r="L1730" t="s">
        <v>6075</v>
      </c>
      <c r="M1730" t="s">
        <v>6804</v>
      </c>
      <c r="N1730" t="s">
        <v>7276</v>
      </c>
      <c r="O1730" t="s">
        <v>7306</v>
      </c>
      <c r="P1730" t="s">
        <v>7314</v>
      </c>
      <c r="Q1730" t="s">
        <v>7322</v>
      </c>
      <c r="R1730" t="s">
        <v>6076</v>
      </c>
      <c r="S1730" t="s">
        <v>7324</v>
      </c>
      <c r="T1730" t="s">
        <v>7336</v>
      </c>
      <c r="U1730" t="s">
        <v>363</v>
      </c>
      <c r="V1730">
        <v>1106</v>
      </c>
      <c r="W1730" t="s">
        <v>7361</v>
      </c>
      <c r="X1730" t="s">
        <v>7366</v>
      </c>
      <c r="Y1730" t="s">
        <v>7386</v>
      </c>
      <c r="Z1730" t="s">
        <v>8736</v>
      </c>
      <c r="AA1730" t="s">
        <v>9856</v>
      </c>
      <c r="AB1730" t="s">
        <v>11456</v>
      </c>
      <c r="AC1730">
        <v>42</v>
      </c>
      <c r="AD1730" t="s">
        <v>12422</v>
      </c>
      <c r="AE1730" t="s">
        <v>6110</v>
      </c>
      <c r="AF1730">
        <v>25</v>
      </c>
      <c r="AG1730">
        <v>4</v>
      </c>
      <c r="AH1730">
        <v>0</v>
      </c>
      <c r="AI1730">
        <v>106.02</v>
      </c>
      <c r="AL1730" t="s">
        <v>12461</v>
      </c>
      <c r="AM1730">
        <v>27300</v>
      </c>
      <c r="AS1730">
        <v>0.95</v>
      </c>
      <c r="AT1730" t="s">
        <v>363</v>
      </c>
      <c r="AU1730" t="s">
        <v>51</v>
      </c>
      <c r="AV1730" t="s">
        <v>13145</v>
      </c>
    </row>
    <row r="1731" spans="1:48">
      <c r="A1731" s="1">
        <f>HYPERLINK("https://cms.ls-nyc.org/matter/dynamic-profile/view/1899822","19-1899822")</f>
        <v>0</v>
      </c>
      <c r="B1731" t="s">
        <v>128</v>
      </c>
      <c r="C1731" t="s">
        <v>317</v>
      </c>
      <c r="E1731" t="s">
        <v>1236</v>
      </c>
      <c r="F1731" t="s">
        <v>2059</v>
      </c>
      <c r="G1731" t="s">
        <v>4357</v>
      </c>
      <c r="H1731" t="s">
        <v>5763</v>
      </c>
      <c r="I1731" t="s">
        <v>6049</v>
      </c>
      <c r="J1731">
        <v>10034</v>
      </c>
      <c r="K1731" t="s">
        <v>6074</v>
      </c>
      <c r="L1731" t="s">
        <v>6075</v>
      </c>
      <c r="O1731" t="s">
        <v>7309</v>
      </c>
      <c r="Q1731" t="s">
        <v>7322</v>
      </c>
      <c r="R1731" t="s">
        <v>6076</v>
      </c>
      <c r="S1731" t="s">
        <v>7324</v>
      </c>
      <c r="U1731" t="s">
        <v>241</v>
      </c>
      <c r="V1731">
        <v>1287</v>
      </c>
      <c r="W1731" t="s">
        <v>7365</v>
      </c>
      <c r="X1731" t="s">
        <v>7368</v>
      </c>
      <c r="Z1731" t="s">
        <v>8256</v>
      </c>
      <c r="AA1731" t="s">
        <v>10108</v>
      </c>
      <c r="AB1731" t="s">
        <v>11027</v>
      </c>
      <c r="AC1731">
        <v>57</v>
      </c>
      <c r="AD1731" t="s">
        <v>12422</v>
      </c>
      <c r="AE1731" t="s">
        <v>6110</v>
      </c>
      <c r="AF1731">
        <v>5</v>
      </c>
      <c r="AG1731">
        <v>2</v>
      </c>
      <c r="AH1731">
        <v>2</v>
      </c>
      <c r="AI1731">
        <v>106.02</v>
      </c>
      <c r="AL1731" t="s">
        <v>12461</v>
      </c>
      <c r="AM1731">
        <v>27300</v>
      </c>
      <c r="AS1731">
        <v>3.5</v>
      </c>
      <c r="AT1731" t="s">
        <v>501</v>
      </c>
      <c r="AU1731" t="s">
        <v>13088</v>
      </c>
      <c r="AV1731" t="s">
        <v>13145</v>
      </c>
    </row>
    <row r="1732" spans="1:48">
      <c r="A1732" s="1">
        <f>HYPERLINK("https://cms.ls-nyc.org/matter/dynamic-profile/view/1872588","18-1872588")</f>
        <v>0</v>
      </c>
      <c r="B1732" t="s">
        <v>115</v>
      </c>
      <c r="C1732" t="s">
        <v>242</v>
      </c>
      <c r="D1732" t="s">
        <v>562</v>
      </c>
      <c r="E1732" t="s">
        <v>1490</v>
      </c>
      <c r="F1732" t="s">
        <v>2083</v>
      </c>
      <c r="G1732" t="s">
        <v>4380</v>
      </c>
      <c r="H1732" t="s">
        <v>5465</v>
      </c>
      <c r="I1732" t="s">
        <v>6047</v>
      </c>
      <c r="J1732">
        <v>10459</v>
      </c>
      <c r="K1732" t="s">
        <v>6074</v>
      </c>
      <c r="L1732" t="s">
        <v>6074</v>
      </c>
      <c r="M1732" t="s">
        <v>6081</v>
      </c>
      <c r="N1732" t="s">
        <v>7288</v>
      </c>
      <c r="O1732" t="s">
        <v>7306</v>
      </c>
      <c r="P1732" t="s">
        <v>7314</v>
      </c>
      <c r="Q1732" t="s">
        <v>7322</v>
      </c>
      <c r="R1732" t="s">
        <v>6076</v>
      </c>
      <c r="S1732" t="s">
        <v>7324</v>
      </c>
      <c r="U1732" t="s">
        <v>258</v>
      </c>
      <c r="V1732">
        <v>0</v>
      </c>
      <c r="W1732" t="s">
        <v>7363</v>
      </c>
      <c r="X1732" t="s">
        <v>7374</v>
      </c>
      <c r="Y1732" t="s">
        <v>7386</v>
      </c>
      <c r="Z1732" t="s">
        <v>8737</v>
      </c>
      <c r="AB1732" t="s">
        <v>11457</v>
      </c>
      <c r="AC1732">
        <v>25</v>
      </c>
      <c r="AD1732" t="s">
        <v>12420</v>
      </c>
      <c r="AE1732" t="s">
        <v>12434</v>
      </c>
      <c r="AF1732">
        <v>0</v>
      </c>
      <c r="AG1732">
        <v>2</v>
      </c>
      <c r="AH1732">
        <v>0</v>
      </c>
      <c r="AI1732">
        <v>106.15</v>
      </c>
      <c r="AM1732">
        <v>17472</v>
      </c>
      <c r="AS1732">
        <v>0.5</v>
      </c>
      <c r="AT1732" t="s">
        <v>242</v>
      </c>
      <c r="AU1732" t="s">
        <v>13092</v>
      </c>
    </row>
    <row r="1733" spans="1:48">
      <c r="A1733" s="1">
        <f>HYPERLINK("https://cms.ls-nyc.org/matter/dynamic-profile/view/1877587","18-1877587")</f>
        <v>0</v>
      </c>
      <c r="B1733" t="s">
        <v>62</v>
      </c>
      <c r="C1733" t="s">
        <v>372</v>
      </c>
      <c r="D1733" t="s">
        <v>465</v>
      </c>
      <c r="E1733" t="s">
        <v>1491</v>
      </c>
      <c r="F1733" t="s">
        <v>2971</v>
      </c>
      <c r="G1733" t="s">
        <v>4683</v>
      </c>
      <c r="H1733" t="s">
        <v>5355</v>
      </c>
      <c r="I1733" t="s">
        <v>6040</v>
      </c>
      <c r="J1733">
        <v>11358</v>
      </c>
      <c r="K1733" t="s">
        <v>6074</v>
      </c>
      <c r="L1733" t="s">
        <v>6074</v>
      </c>
      <c r="M1733" t="s">
        <v>6805</v>
      </c>
      <c r="N1733" t="s">
        <v>7274</v>
      </c>
      <c r="O1733" t="s">
        <v>7306</v>
      </c>
      <c r="P1733" t="s">
        <v>7314</v>
      </c>
      <c r="Q1733" t="s">
        <v>7322</v>
      </c>
      <c r="R1733" t="s">
        <v>6076</v>
      </c>
      <c r="S1733" t="s">
        <v>7324</v>
      </c>
      <c r="T1733" t="s">
        <v>7336</v>
      </c>
      <c r="U1733" t="s">
        <v>383</v>
      </c>
      <c r="V1733">
        <v>1102</v>
      </c>
      <c r="W1733" t="s">
        <v>7361</v>
      </c>
      <c r="X1733" t="s">
        <v>7366</v>
      </c>
      <c r="Y1733" t="s">
        <v>7386</v>
      </c>
      <c r="Z1733" t="s">
        <v>8738</v>
      </c>
      <c r="AA1733" t="s">
        <v>10190</v>
      </c>
      <c r="AB1733" t="s">
        <v>11458</v>
      </c>
      <c r="AC1733">
        <v>16</v>
      </c>
      <c r="AD1733" t="s">
        <v>12422</v>
      </c>
      <c r="AE1733" t="s">
        <v>6110</v>
      </c>
      <c r="AF1733">
        <v>7</v>
      </c>
      <c r="AG1733">
        <v>2</v>
      </c>
      <c r="AH1733">
        <v>0</v>
      </c>
      <c r="AI1733">
        <v>106.44</v>
      </c>
      <c r="AL1733" t="s">
        <v>12460</v>
      </c>
      <c r="AM1733">
        <v>17520</v>
      </c>
      <c r="AS1733">
        <v>0.8</v>
      </c>
      <c r="AT1733" t="s">
        <v>291</v>
      </c>
      <c r="AU1733" t="s">
        <v>48</v>
      </c>
    </row>
    <row r="1734" spans="1:48">
      <c r="A1734" s="1">
        <f>HYPERLINK("https://cms.ls-nyc.org/matter/dynamic-profile/view/1895467","19-1895467")</f>
        <v>0</v>
      </c>
      <c r="B1734" t="s">
        <v>78</v>
      </c>
      <c r="C1734" t="s">
        <v>457</v>
      </c>
      <c r="E1734" t="s">
        <v>784</v>
      </c>
      <c r="F1734" t="s">
        <v>2059</v>
      </c>
      <c r="G1734" t="s">
        <v>3866</v>
      </c>
      <c r="H1734" t="s">
        <v>5387</v>
      </c>
      <c r="I1734" t="s">
        <v>6043</v>
      </c>
      <c r="J1734">
        <v>11206</v>
      </c>
      <c r="K1734" t="s">
        <v>6074</v>
      </c>
      <c r="L1734" t="s">
        <v>6074</v>
      </c>
      <c r="M1734" t="s">
        <v>6806</v>
      </c>
      <c r="N1734" t="s">
        <v>7279</v>
      </c>
      <c r="O1734" t="s">
        <v>7309</v>
      </c>
      <c r="Q1734" t="s">
        <v>7322</v>
      </c>
      <c r="R1734" t="s">
        <v>6074</v>
      </c>
      <c r="S1734" t="s">
        <v>7324</v>
      </c>
      <c r="U1734" t="s">
        <v>405</v>
      </c>
      <c r="V1734">
        <v>1245</v>
      </c>
      <c r="W1734" t="s">
        <v>7362</v>
      </c>
      <c r="X1734" t="s">
        <v>7375</v>
      </c>
      <c r="Z1734" t="s">
        <v>7642</v>
      </c>
      <c r="AA1734" t="s">
        <v>9895</v>
      </c>
      <c r="AC1734">
        <v>8</v>
      </c>
      <c r="AD1734" t="s">
        <v>12422</v>
      </c>
      <c r="AE1734" t="s">
        <v>12437</v>
      </c>
      <c r="AF1734">
        <v>1</v>
      </c>
      <c r="AG1734">
        <v>2</v>
      </c>
      <c r="AH1734">
        <v>0</v>
      </c>
      <c r="AI1734">
        <v>106.45</v>
      </c>
      <c r="AL1734" t="s">
        <v>12460</v>
      </c>
      <c r="AM1734">
        <v>18000</v>
      </c>
      <c r="AN1734" t="s">
        <v>12642</v>
      </c>
      <c r="AS1734">
        <v>0.1</v>
      </c>
      <c r="AT1734" t="s">
        <v>382</v>
      </c>
      <c r="AU1734" t="s">
        <v>180</v>
      </c>
      <c r="AV1734" t="s">
        <v>13145</v>
      </c>
    </row>
    <row r="1735" spans="1:48">
      <c r="A1735" s="1">
        <f>HYPERLINK("https://cms.ls-nyc.org/matter/dynamic-profile/view/1895470","19-1895470")</f>
        <v>0</v>
      </c>
      <c r="B1735" t="s">
        <v>92</v>
      </c>
      <c r="C1735" t="s">
        <v>457</v>
      </c>
      <c r="D1735" t="s">
        <v>324</v>
      </c>
      <c r="E1735" t="s">
        <v>784</v>
      </c>
      <c r="F1735" t="s">
        <v>2059</v>
      </c>
      <c r="G1735" t="s">
        <v>3866</v>
      </c>
      <c r="H1735" t="s">
        <v>5387</v>
      </c>
      <c r="I1735" t="s">
        <v>6043</v>
      </c>
      <c r="J1735">
        <v>11206</v>
      </c>
      <c r="K1735" t="s">
        <v>6074</v>
      </c>
      <c r="L1735" t="s">
        <v>6074</v>
      </c>
      <c r="M1735" t="s">
        <v>6081</v>
      </c>
      <c r="N1735" t="s">
        <v>6104</v>
      </c>
      <c r="O1735" t="s">
        <v>7307</v>
      </c>
      <c r="P1735" t="s">
        <v>7315</v>
      </c>
      <c r="Q1735" t="s">
        <v>7322</v>
      </c>
      <c r="R1735" t="s">
        <v>6074</v>
      </c>
      <c r="S1735" t="s">
        <v>7324</v>
      </c>
      <c r="U1735" t="s">
        <v>247</v>
      </c>
      <c r="V1735">
        <v>1245</v>
      </c>
      <c r="W1735" t="s">
        <v>7362</v>
      </c>
      <c r="X1735" t="s">
        <v>7375</v>
      </c>
      <c r="Y1735" t="s">
        <v>7387</v>
      </c>
      <c r="Z1735" t="s">
        <v>7642</v>
      </c>
      <c r="AA1735" t="s">
        <v>9895</v>
      </c>
      <c r="AC1735">
        <v>8</v>
      </c>
      <c r="AD1735" t="s">
        <v>12422</v>
      </c>
      <c r="AE1735" t="s">
        <v>12437</v>
      </c>
      <c r="AF1735">
        <v>1</v>
      </c>
      <c r="AG1735">
        <v>2</v>
      </c>
      <c r="AH1735">
        <v>0</v>
      </c>
      <c r="AI1735">
        <v>106.45</v>
      </c>
      <c r="AL1735" t="s">
        <v>12460</v>
      </c>
      <c r="AM1735">
        <v>18000</v>
      </c>
      <c r="AN1735" t="s">
        <v>12642</v>
      </c>
      <c r="AS1735">
        <v>0.1</v>
      </c>
      <c r="AT1735" t="s">
        <v>382</v>
      </c>
      <c r="AU1735" t="s">
        <v>180</v>
      </c>
      <c r="AV1735" t="s">
        <v>13145</v>
      </c>
    </row>
    <row r="1736" spans="1:48">
      <c r="A1736" s="1">
        <f>HYPERLINK("https://cms.ls-nyc.org/matter/dynamic-profile/view/1874579","18-1874579")</f>
        <v>0</v>
      </c>
      <c r="B1736" t="s">
        <v>132</v>
      </c>
      <c r="C1736" t="s">
        <v>237</v>
      </c>
      <c r="E1736" t="s">
        <v>1492</v>
      </c>
      <c r="F1736" t="s">
        <v>2972</v>
      </c>
      <c r="G1736" t="s">
        <v>4684</v>
      </c>
      <c r="H1736" t="s">
        <v>5357</v>
      </c>
      <c r="I1736" t="s">
        <v>6049</v>
      </c>
      <c r="J1736">
        <v>10034</v>
      </c>
      <c r="K1736" t="s">
        <v>6074</v>
      </c>
      <c r="L1736" t="s">
        <v>6074</v>
      </c>
      <c r="N1736" t="s">
        <v>7273</v>
      </c>
      <c r="O1736" t="s">
        <v>7308</v>
      </c>
      <c r="Q1736" t="s">
        <v>7322</v>
      </c>
      <c r="R1736" t="s">
        <v>6074</v>
      </c>
      <c r="S1736" t="s">
        <v>7324</v>
      </c>
      <c r="U1736" t="s">
        <v>237</v>
      </c>
      <c r="V1736">
        <v>257</v>
      </c>
      <c r="W1736" t="s">
        <v>7365</v>
      </c>
      <c r="X1736" t="s">
        <v>7367</v>
      </c>
      <c r="Z1736" t="s">
        <v>8739</v>
      </c>
      <c r="AB1736" t="s">
        <v>11459</v>
      </c>
      <c r="AC1736">
        <v>63</v>
      </c>
      <c r="AD1736" t="s">
        <v>12422</v>
      </c>
      <c r="AE1736" t="s">
        <v>6110</v>
      </c>
      <c r="AF1736">
        <v>18</v>
      </c>
      <c r="AG1736">
        <v>1</v>
      </c>
      <c r="AH1736">
        <v>0</v>
      </c>
      <c r="AI1736">
        <v>106.75</v>
      </c>
      <c r="AL1736" t="s">
        <v>12460</v>
      </c>
      <c r="AM1736">
        <v>12960</v>
      </c>
      <c r="AS1736">
        <v>1.25</v>
      </c>
      <c r="AT1736" t="s">
        <v>381</v>
      </c>
      <c r="AU1736" t="s">
        <v>13106</v>
      </c>
    </row>
    <row r="1737" spans="1:48">
      <c r="A1737" s="1">
        <f>HYPERLINK("https://cms.ls-nyc.org/matter/dynamic-profile/view/1878023","18-1878023")</f>
        <v>0</v>
      </c>
      <c r="B1737" t="s">
        <v>120</v>
      </c>
      <c r="C1737" t="s">
        <v>249</v>
      </c>
      <c r="D1737" t="s">
        <v>280</v>
      </c>
      <c r="E1737" t="s">
        <v>725</v>
      </c>
      <c r="F1737" t="s">
        <v>2973</v>
      </c>
      <c r="G1737" t="s">
        <v>4685</v>
      </c>
      <c r="H1737" t="s">
        <v>5764</v>
      </c>
      <c r="I1737" t="s">
        <v>6048</v>
      </c>
      <c r="J1737">
        <v>10312</v>
      </c>
      <c r="K1737" t="s">
        <v>6074</v>
      </c>
      <c r="L1737" t="s">
        <v>6074</v>
      </c>
      <c r="M1737" t="s">
        <v>6807</v>
      </c>
      <c r="N1737" t="s">
        <v>7274</v>
      </c>
      <c r="O1737" t="s">
        <v>7308</v>
      </c>
      <c r="P1737" t="s">
        <v>7316</v>
      </c>
      <c r="Q1737" t="s">
        <v>7323</v>
      </c>
      <c r="R1737" t="s">
        <v>6076</v>
      </c>
      <c r="S1737" t="s">
        <v>7324</v>
      </c>
      <c r="T1737" t="s">
        <v>7336</v>
      </c>
      <c r="U1737" t="s">
        <v>244</v>
      </c>
      <c r="V1737">
        <v>975</v>
      </c>
      <c r="W1737" t="s">
        <v>7364</v>
      </c>
      <c r="X1737" t="s">
        <v>7369</v>
      </c>
      <c r="Y1737" t="s">
        <v>7391</v>
      </c>
      <c r="Z1737" t="s">
        <v>8740</v>
      </c>
      <c r="AB1737" t="s">
        <v>11460</v>
      </c>
      <c r="AC1737">
        <v>2</v>
      </c>
      <c r="AD1737" t="s">
        <v>12419</v>
      </c>
      <c r="AE1737" t="s">
        <v>6110</v>
      </c>
      <c r="AF1737">
        <v>9</v>
      </c>
      <c r="AG1737">
        <v>2</v>
      </c>
      <c r="AH1737">
        <v>1</v>
      </c>
      <c r="AI1737">
        <v>106.79</v>
      </c>
      <c r="AJ1737" t="s">
        <v>12443</v>
      </c>
      <c r="AK1737" t="s">
        <v>12455</v>
      </c>
      <c r="AL1737" t="s">
        <v>12460</v>
      </c>
      <c r="AM1737">
        <v>22192</v>
      </c>
      <c r="AS1737">
        <v>14</v>
      </c>
      <c r="AT1737" t="s">
        <v>359</v>
      </c>
      <c r="AU1737" t="s">
        <v>13102</v>
      </c>
    </row>
    <row r="1738" spans="1:48">
      <c r="A1738" s="1">
        <f>HYPERLINK("https://cms.ls-nyc.org/matter/dynamic-profile/view/1889136","19-1889136")</f>
        <v>0</v>
      </c>
      <c r="B1738" t="s">
        <v>126</v>
      </c>
      <c r="C1738" t="s">
        <v>259</v>
      </c>
      <c r="E1738" t="s">
        <v>1493</v>
      </c>
      <c r="F1738" t="s">
        <v>2974</v>
      </c>
      <c r="G1738" t="s">
        <v>4686</v>
      </c>
      <c r="I1738" t="s">
        <v>6049</v>
      </c>
      <c r="J1738">
        <v>10029</v>
      </c>
      <c r="K1738" t="s">
        <v>6074</v>
      </c>
      <c r="L1738" t="s">
        <v>6074</v>
      </c>
      <c r="N1738" t="s">
        <v>6104</v>
      </c>
      <c r="O1738" t="s">
        <v>7310</v>
      </c>
      <c r="Q1738" t="s">
        <v>7322</v>
      </c>
      <c r="R1738" t="s">
        <v>6076</v>
      </c>
      <c r="S1738" t="s">
        <v>7324</v>
      </c>
      <c r="T1738" t="s">
        <v>7336</v>
      </c>
      <c r="U1738" t="s">
        <v>370</v>
      </c>
      <c r="V1738">
        <v>73</v>
      </c>
      <c r="W1738" t="s">
        <v>7365</v>
      </c>
      <c r="X1738" t="s">
        <v>7375</v>
      </c>
      <c r="Z1738" t="s">
        <v>8741</v>
      </c>
      <c r="AB1738" t="s">
        <v>11461</v>
      </c>
      <c r="AC1738">
        <v>1</v>
      </c>
      <c r="AD1738" t="s">
        <v>12423</v>
      </c>
      <c r="AE1738" t="s">
        <v>6110</v>
      </c>
      <c r="AF1738">
        <v>20</v>
      </c>
      <c r="AG1738">
        <v>1</v>
      </c>
      <c r="AH1738">
        <v>0</v>
      </c>
      <c r="AI1738">
        <v>106.82</v>
      </c>
      <c r="AL1738" t="s">
        <v>12460</v>
      </c>
      <c r="AM1738">
        <v>13342</v>
      </c>
      <c r="AN1738" t="s">
        <v>12643</v>
      </c>
      <c r="AS1738">
        <v>0.1</v>
      </c>
      <c r="AT1738" t="s">
        <v>395</v>
      </c>
      <c r="AU1738" t="s">
        <v>13107</v>
      </c>
    </row>
    <row r="1739" spans="1:48">
      <c r="A1739" s="1">
        <f>HYPERLINK("https://cms.ls-nyc.org/matter/dynamic-profile/view/1882221","18-1882221")</f>
        <v>0</v>
      </c>
      <c r="B1739" t="s">
        <v>52</v>
      </c>
      <c r="C1739" t="s">
        <v>431</v>
      </c>
      <c r="D1739" t="s">
        <v>412</v>
      </c>
      <c r="E1739" t="s">
        <v>569</v>
      </c>
      <c r="F1739" t="s">
        <v>2975</v>
      </c>
      <c r="G1739" t="s">
        <v>4687</v>
      </c>
      <c r="H1739" t="s">
        <v>5347</v>
      </c>
      <c r="I1739" t="s">
        <v>6026</v>
      </c>
      <c r="J1739">
        <v>11435</v>
      </c>
      <c r="K1739" t="s">
        <v>6074</v>
      </c>
      <c r="L1739" t="s">
        <v>6074</v>
      </c>
      <c r="M1739" t="s">
        <v>6808</v>
      </c>
      <c r="N1739" t="s">
        <v>7274</v>
      </c>
      <c r="O1739" t="s">
        <v>7306</v>
      </c>
      <c r="P1739" t="s">
        <v>7314</v>
      </c>
      <c r="Q1739" t="s">
        <v>7322</v>
      </c>
      <c r="R1739" t="s">
        <v>6076</v>
      </c>
      <c r="S1739" t="s">
        <v>7324</v>
      </c>
      <c r="T1739" t="s">
        <v>7336</v>
      </c>
      <c r="U1739" t="s">
        <v>416</v>
      </c>
      <c r="V1739">
        <v>1800</v>
      </c>
      <c r="W1739" t="s">
        <v>7361</v>
      </c>
      <c r="X1739" t="s">
        <v>7366</v>
      </c>
      <c r="Y1739" t="s">
        <v>7386</v>
      </c>
      <c r="Z1739" t="s">
        <v>8742</v>
      </c>
      <c r="AA1739" t="s">
        <v>6110</v>
      </c>
      <c r="AB1739" t="s">
        <v>9856</v>
      </c>
      <c r="AC1739">
        <v>2</v>
      </c>
      <c r="AD1739" t="s">
        <v>12419</v>
      </c>
      <c r="AE1739" t="s">
        <v>6110</v>
      </c>
      <c r="AF1739">
        <v>4</v>
      </c>
      <c r="AG1739">
        <v>1</v>
      </c>
      <c r="AH1739">
        <v>0</v>
      </c>
      <c r="AI1739">
        <v>107.08</v>
      </c>
      <c r="AL1739" t="s">
        <v>12460</v>
      </c>
      <c r="AM1739">
        <v>13000</v>
      </c>
      <c r="AS1739">
        <v>1.7</v>
      </c>
      <c r="AT1739" t="s">
        <v>370</v>
      </c>
      <c r="AU1739" t="s">
        <v>48</v>
      </c>
    </row>
    <row r="1740" spans="1:48">
      <c r="A1740" s="1">
        <f>HYPERLINK("https://cms.ls-nyc.org/matter/dynamic-profile/view/1888138","19-1888138")</f>
        <v>0</v>
      </c>
      <c r="B1740" t="s">
        <v>84</v>
      </c>
      <c r="C1740" t="s">
        <v>466</v>
      </c>
      <c r="E1740" t="s">
        <v>828</v>
      </c>
      <c r="F1740" t="s">
        <v>1308</v>
      </c>
      <c r="G1740" t="s">
        <v>4688</v>
      </c>
      <c r="H1740" t="s">
        <v>5485</v>
      </c>
      <c r="I1740" t="s">
        <v>6043</v>
      </c>
      <c r="J1740">
        <v>11226</v>
      </c>
      <c r="K1740" t="s">
        <v>6074</v>
      </c>
      <c r="L1740" t="s">
        <v>6074</v>
      </c>
      <c r="M1740" t="s">
        <v>6809</v>
      </c>
      <c r="N1740" t="s">
        <v>7274</v>
      </c>
      <c r="O1740" t="s">
        <v>7308</v>
      </c>
      <c r="Q1740" t="s">
        <v>7322</v>
      </c>
      <c r="S1740" t="s">
        <v>7324</v>
      </c>
      <c r="U1740" t="s">
        <v>390</v>
      </c>
      <c r="V1740">
        <v>1428.11</v>
      </c>
      <c r="W1740" t="s">
        <v>7362</v>
      </c>
      <c r="Z1740" t="s">
        <v>8743</v>
      </c>
      <c r="AB1740" t="s">
        <v>11462</v>
      </c>
      <c r="AC1740">
        <v>0</v>
      </c>
      <c r="AF1740">
        <v>12</v>
      </c>
      <c r="AG1740">
        <v>1</v>
      </c>
      <c r="AH1740">
        <v>0</v>
      </c>
      <c r="AI1740">
        <v>107.08</v>
      </c>
      <c r="AL1740" t="s">
        <v>12465</v>
      </c>
      <c r="AM1740">
        <v>13000</v>
      </c>
      <c r="AS1740">
        <v>15.4</v>
      </c>
      <c r="AT1740" t="s">
        <v>423</v>
      </c>
      <c r="AU1740" t="s">
        <v>88</v>
      </c>
    </row>
    <row r="1741" spans="1:48">
      <c r="A1741" s="1">
        <f>HYPERLINK("https://cms.ls-nyc.org/matter/dynamic-profile/view/1882850","18-1882850")</f>
        <v>0</v>
      </c>
      <c r="B1741" t="s">
        <v>92</v>
      </c>
      <c r="C1741" t="s">
        <v>246</v>
      </c>
      <c r="D1741" t="s">
        <v>457</v>
      </c>
      <c r="E1741" t="s">
        <v>586</v>
      </c>
      <c r="F1741" t="s">
        <v>2746</v>
      </c>
      <c r="G1741" t="s">
        <v>3748</v>
      </c>
      <c r="H1741" t="s">
        <v>5677</v>
      </c>
      <c r="I1741" t="s">
        <v>6043</v>
      </c>
      <c r="J1741">
        <v>11208</v>
      </c>
      <c r="K1741" t="s">
        <v>6074</v>
      </c>
      <c r="L1741" t="s">
        <v>6074</v>
      </c>
      <c r="M1741" t="s">
        <v>6385</v>
      </c>
      <c r="N1741" t="s">
        <v>7274</v>
      </c>
      <c r="O1741" t="s">
        <v>7308</v>
      </c>
      <c r="P1741" t="s">
        <v>7316</v>
      </c>
      <c r="Q1741" t="s">
        <v>7322</v>
      </c>
      <c r="R1741" t="s">
        <v>6074</v>
      </c>
      <c r="S1741" t="s">
        <v>7324</v>
      </c>
      <c r="T1741" t="s">
        <v>7336</v>
      </c>
      <c r="U1741" t="s">
        <v>238</v>
      </c>
      <c r="V1741">
        <v>300</v>
      </c>
      <c r="W1741" t="s">
        <v>7362</v>
      </c>
      <c r="Y1741" t="s">
        <v>7386</v>
      </c>
      <c r="Z1741" t="s">
        <v>8354</v>
      </c>
      <c r="AA1741" t="s">
        <v>6110</v>
      </c>
      <c r="AB1741" t="s">
        <v>11121</v>
      </c>
      <c r="AC1741">
        <v>7</v>
      </c>
      <c r="AD1741" t="s">
        <v>12419</v>
      </c>
      <c r="AE1741" t="s">
        <v>6110</v>
      </c>
      <c r="AF1741">
        <v>3</v>
      </c>
      <c r="AG1741">
        <v>1</v>
      </c>
      <c r="AH1741">
        <v>0</v>
      </c>
      <c r="AI1741">
        <v>107.08</v>
      </c>
      <c r="AL1741" t="s">
        <v>12461</v>
      </c>
      <c r="AM1741">
        <v>13000</v>
      </c>
      <c r="AN1741" t="s">
        <v>12644</v>
      </c>
      <c r="AO1741" t="s">
        <v>12845</v>
      </c>
      <c r="AP1741" t="s">
        <v>12892</v>
      </c>
      <c r="AQ1741" t="s">
        <v>12910</v>
      </c>
      <c r="AR1741" t="s">
        <v>13020</v>
      </c>
      <c r="AS1741">
        <v>0.1</v>
      </c>
      <c r="AT1741" t="s">
        <v>341</v>
      </c>
      <c r="AU1741" t="s">
        <v>218</v>
      </c>
    </row>
    <row r="1742" spans="1:48">
      <c r="A1742" s="1">
        <f>HYPERLINK("https://cms.ls-nyc.org/matter/dynamic-profile/view/1877938","18-1877938")</f>
        <v>0</v>
      </c>
      <c r="B1742" t="s">
        <v>54</v>
      </c>
      <c r="C1742" t="s">
        <v>244</v>
      </c>
      <c r="D1742" t="s">
        <v>373</v>
      </c>
      <c r="E1742" t="s">
        <v>1228</v>
      </c>
      <c r="F1742" t="s">
        <v>2976</v>
      </c>
      <c r="G1742" t="s">
        <v>4689</v>
      </c>
      <c r="H1742" t="s">
        <v>5426</v>
      </c>
      <c r="I1742" t="s">
        <v>6044</v>
      </c>
      <c r="J1742">
        <v>11103</v>
      </c>
      <c r="K1742" t="s">
        <v>6074</v>
      </c>
      <c r="L1742" t="s">
        <v>6074</v>
      </c>
      <c r="M1742" t="s">
        <v>6810</v>
      </c>
      <c r="N1742" t="s">
        <v>7276</v>
      </c>
      <c r="O1742" t="s">
        <v>7306</v>
      </c>
      <c r="P1742" t="s">
        <v>7314</v>
      </c>
      <c r="Q1742" t="s">
        <v>7322</v>
      </c>
      <c r="R1742" t="s">
        <v>6076</v>
      </c>
      <c r="S1742" t="s">
        <v>7324</v>
      </c>
      <c r="T1742" t="s">
        <v>7336</v>
      </c>
      <c r="U1742" t="s">
        <v>244</v>
      </c>
      <c r="V1742">
        <v>1785</v>
      </c>
      <c r="W1742" t="s">
        <v>7361</v>
      </c>
      <c r="X1742" t="s">
        <v>7366</v>
      </c>
      <c r="Y1742" t="s">
        <v>7386</v>
      </c>
      <c r="Z1742" t="s">
        <v>8744</v>
      </c>
      <c r="AB1742" t="s">
        <v>11463</v>
      </c>
      <c r="AC1742">
        <v>60</v>
      </c>
      <c r="AD1742" t="s">
        <v>12422</v>
      </c>
      <c r="AE1742" t="s">
        <v>6110</v>
      </c>
      <c r="AF1742">
        <v>6</v>
      </c>
      <c r="AG1742">
        <v>1</v>
      </c>
      <c r="AH1742">
        <v>0</v>
      </c>
      <c r="AI1742">
        <v>107.08</v>
      </c>
      <c r="AL1742" t="s">
        <v>12460</v>
      </c>
      <c r="AM1742">
        <v>13000</v>
      </c>
      <c r="AS1742">
        <v>1.2</v>
      </c>
      <c r="AT1742" t="s">
        <v>373</v>
      </c>
      <c r="AU1742" t="s">
        <v>48</v>
      </c>
    </row>
    <row r="1743" spans="1:48">
      <c r="A1743" s="1">
        <f>HYPERLINK("https://cms.ls-nyc.org/matter/dynamic-profile/view/1884301","18-1884301")</f>
        <v>0</v>
      </c>
      <c r="B1743" t="s">
        <v>198</v>
      </c>
      <c r="C1743" t="s">
        <v>345</v>
      </c>
      <c r="D1743" t="s">
        <v>250</v>
      </c>
      <c r="E1743" t="s">
        <v>1494</v>
      </c>
      <c r="F1743" t="s">
        <v>2977</v>
      </c>
      <c r="G1743" t="s">
        <v>4690</v>
      </c>
      <c r="H1743" t="s">
        <v>5765</v>
      </c>
      <c r="I1743" t="s">
        <v>6047</v>
      </c>
      <c r="J1743">
        <v>10467</v>
      </c>
      <c r="K1743" t="s">
        <v>6074</v>
      </c>
      <c r="L1743" t="s">
        <v>6074</v>
      </c>
      <c r="N1743" t="s">
        <v>7278</v>
      </c>
      <c r="O1743" t="s">
        <v>7307</v>
      </c>
      <c r="P1743" t="s">
        <v>7315</v>
      </c>
      <c r="Q1743" t="s">
        <v>7322</v>
      </c>
      <c r="S1743" t="s">
        <v>7324</v>
      </c>
      <c r="T1743" t="s">
        <v>7337</v>
      </c>
      <c r="U1743" t="s">
        <v>426</v>
      </c>
      <c r="V1743">
        <v>335</v>
      </c>
      <c r="W1743" t="s">
        <v>7363</v>
      </c>
      <c r="X1743" t="s">
        <v>7368</v>
      </c>
      <c r="Y1743" t="s">
        <v>7404</v>
      </c>
      <c r="Z1743" t="s">
        <v>8745</v>
      </c>
      <c r="AA1743" t="s">
        <v>10191</v>
      </c>
      <c r="AB1743" t="s">
        <v>11464</v>
      </c>
      <c r="AC1743">
        <v>0</v>
      </c>
      <c r="AD1743" t="s">
        <v>12422</v>
      </c>
      <c r="AE1743" t="s">
        <v>6110</v>
      </c>
      <c r="AF1743">
        <v>8</v>
      </c>
      <c r="AG1743">
        <v>1</v>
      </c>
      <c r="AH1743">
        <v>0</v>
      </c>
      <c r="AI1743">
        <v>107.08</v>
      </c>
      <c r="AL1743" t="s">
        <v>12460</v>
      </c>
      <c r="AM1743">
        <v>13000</v>
      </c>
      <c r="AP1743" t="s">
        <v>12893</v>
      </c>
      <c r="AQ1743" t="s">
        <v>12910</v>
      </c>
      <c r="AR1743" t="s">
        <v>13021</v>
      </c>
      <c r="AS1743">
        <v>6.1</v>
      </c>
      <c r="AT1743" t="s">
        <v>341</v>
      </c>
      <c r="AU1743" t="s">
        <v>13116</v>
      </c>
    </row>
    <row r="1744" spans="1:48">
      <c r="A1744" s="1">
        <f>HYPERLINK("https://cms.ls-nyc.org/matter/dynamic-profile/view/1874084","18-1874084")</f>
        <v>0</v>
      </c>
      <c r="B1744" t="s">
        <v>111</v>
      </c>
      <c r="C1744" t="s">
        <v>437</v>
      </c>
      <c r="D1744" t="s">
        <v>472</v>
      </c>
      <c r="E1744" t="s">
        <v>1495</v>
      </c>
      <c r="F1744" t="s">
        <v>2416</v>
      </c>
      <c r="G1744" t="s">
        <v>4691</v>
      </c>
      <c r="H1744" t="s">
        <v>5612</v>
      </c>
      <c r="I1744" t="s">
        <v>6047</v>
      </c>
      <c r="J1744">
        <v>10466</v>
      </c>
      <c r="K1744" t="s">
        <v>6074</v>
      </c>
      <c r="L1744" t="s">
        <v>6074</v>
      </c>
      <c r="N1744" t="s">
        <v>7297</v>
      </c>
      <c r="O1744" t="s">
        <v>7306</v>
      </c>
      <c r="P1744" t="s">
        <v>7314</v>
      </c>
      <c r="Q1744" t="s">
        <v>7322</v>
      </c>
      <c r="R1744" t="s">
        <v>6076</v>
      </c>
      <c r="S1744" t="s">
        <v>7324</v>
      </c>
      <c r="U1744" t="s">
        <v>502</v>
      </c>
      <c r="V1744">
        <v>700</v>
      </c>
      <c r="W1744" t="s">
        <v>7363</v>
      </c>
      <c r="X1744" t="s">
        <v>7376</v>
      </c>
      <c r="Y1744" t="s">
        <v>7386</v>
      </c>
      <c r="Z1744" t="s">
        <v>7996</v>
      </c>
      <c r="AB1744" t="s">
        <v>11465</v>
      </c>
      <c r="AC1744">
        <v>1</v>
      </c>
      <c r="AD1744" t="s">
        <v>12430</v>
      </c>
      <c r="AE1744" t="s">
        <v>6110</v>
      </c>
      <c r="AF1744">
        <v>3</v>
      </c>
      <c r="AG1744">
        <v>1</v>
      </c>
      <c r="AH1744">
        <v>0</v>
      </c>
      <c r="AI1744">
        <v>107.08</v>
      </c>
      <c r="AL1744" t="s">
        <v>12460</v>
      </c>
      <c r="AM1744">
        <v>13000</v>
      </c>
      <c r="AS1744">
        <v>1</v>
      </c>
      <c r="AT1744" t="s">
        <v>437</v>
      </c>
      <c r="AU1744" t="s">
        <v>204</v>
      </c>
    </row>
    <row r="1745" spans="1:48">
      <c r="A1745" s="1">
        <f>HYPERLINK("https://cms.ls-nyc.org/matter/dynamic-profile/view/1877654","18-1877654")</f>
        <v>0</v>
      </c>
      <c r="B1745" t="s">
        <v>101</v>
      </c>
      <c r="C1745" t="s">
        <v>290</v>
      </c>
      <c r="E1745" t="s">
        <v>725</v>
      </c>
      <c r="F1745" t="s">
        <v>2978</v>
      </c>
      <c r="G1745" t="s">
        <v>4692</v>
      </c>
      <c r="H1745">
        <v>10</v>
      </c>
      <c r="I1745" t="s">
        <v>6047</v>
      </c>
      <c r="J1745">
        <v>10452</v>
      </c>
      <c r="K1745" t="s">
        <v>6074</v>
      </c>
      <c r="L1745" t="s">
        <v>6074</v>
      </c>
      <c r="M1745" t="s">
        <v>6811</v>
      </c>
      <c r="N1745" t="s">
        <v>7279</v>
      </c>
      <c r="O1745" t="s">
        <v>7311</v>
      </c>
      <c r="Q1745" t="s">
        <v>7322</v>
      </c>
      <c r="R1745" t="s">
        <v>6076</v>
      </c>
      <c r="S1745" t="s">
        <v>7324</v>
      </c>
      <c r="U1745" t="s">
        <v>290</v>
      </c>
      <c r="V1745">
        <v>1350</v>
      </c>
      <c r="W1745" t="s">
        <v>7363</v>
      </c>
      <c r="X1745" t="s">
        <v>7376</v>
      </c>
      <c r="Z1745" t="s">
        <v>8746</v>
      </c>
      <c r="AB1745" t="s">
        <v>11466</v>
      </c>
      <c r="AC1745">
        <v>167</v>
      </c>
      <c r="AD1745" t="s">
        <v>12422</v>
      </c>
      <c r="AE1745" t="s">
        <v>6110</v>
      </c>
      <c r="AF1745">
        <v>1</v>
      </c>
      <c r="AG1745">
        <v>1</v>
      </c>
      <c r="AH1745">
        <v>0</v>
      </c>
      <c r="AI1745">
        <v>107.08</v>
      </c>
      <c r="AL1745" t="s">
        <v>12460</v>
      </c>
      <c r="AM1745">
        <v>13000</v>
      </c>
      <c r="AS1745">
        <v>0.45</v>
      </c>
      <c r="AT1745" t="s">
        <v>416</v>
      </c>
      <c r="AU1745" t="s">
        <v>13095</v>
      </c>
    </row>
    <row r="1746" spans="1:48">
      <c r="A1746" s="1">
        <f>HYPERLINK("https://cms.ls-nyc.org/matter/dynamic-profile/view/1874704","18-1874704")</f>
        <v>0</v>
      </c>
      <c r="B1746" t="s">
        <v>204</v>
      </c>
      <c r="C1746" t="s">
        <v>378</v>
      </c>
      <c r="D1746" t="s">
        <v>550</v>
      </c>
      <c r="E1746" t="s">
        <v>699</v>
      </c>
      <c r="F1746" t="s">
        <v>2979</v>
      </c>
      <c r="G1746" t="s">
        <v>4693</v>
      </c>
      <c r="I1746" t="s">
        <v>6047</v>
      </c>
      <c r="J1746">
        <v>10456</v>
      </c>
      <c r="K1746" t="s">
        <v>6074</v>
      </c>
      <c r="L1746" t="s">
        <v>6074</v>
      </c>
      <c r="N1746" t="s">
        <v>7291</v>
      </c>
      <c r="O1746" t="s">
        <v>7306</v>
      </c>
      <c r="P1746" t="s">
        <v>7314</v>
      </c>
      <c r="Q1746" t="s">
        <v>7322</v>
      </c>
      <c r="R1746" t="s">
        <v>6076</v>
      </c>
      <c r="S1746" t="s">
        <v>7324</v>
      </c>
      <c r="U1746" t="s">
        <v>378</v>
      </c>
      <c r="V1746">
        <v>612</v>
      </c>
      <c r="W1746" t="s">
        <v>7363</v>
      </c>
      <c r="X1746" t="s">
        <v>7376</v>
      </c>
      <c r="Y1746" t="s">
        <v>7386</v>
      </c>
      <c r="Z1746" t="s">
        <v>8747</v>
      </c>
      <c r="AB1746" t="s">
        <v>11467</v>
      </c>
      <c r="AC1746">
        <v>0</v>
      </c>
      <c r="AD1746" t="s">
        <v>12422</v>
      </c>
      <c r="AF1746">
        <v>10</v>
      </c>
      <c r="AG1746">
        <v>2</v>
      </c>
      <c r="AH1746">
        <v>0</v>
      </c>
      <c r="AI1746">
        <v>107.09</v>
      </c>
      <c r="AL1746" t="s">
        <v>12461</v>
      </c>
      <c r="AM1746">
        <v>17626.24</v>
      </c>
      <c r="AS1746">
        <v>1</v>
      </c>
      <c r="AT1746" t="s">
        <v>550</v>
      </c>
      <c r="AU1746" t="s">
        <v>204</v>
      </c>
    </row>
    <row r="1747" spans="1:48">
      <c r="A1747" s="1">
        <f>HYPERLINK("https://cms.ls-nyc.org/matter/dynamic-profile/view/1876457","18-1876457")</f>
        <v>0</v>
      </c>
      <c r="B1747" t="s">
        <v>105</v>
      </c>
      <c r="C1747" t="s">
        <v>336</v>
      </c>
      <c r="D1747" t="s">
        <v>346</v>
      </c>
      <c r="E1747" t="s">
        <v>586</v>
      </c>
      <c r="F1747" t="s">
        <v>2980</v>
      </c>
      <c r="G1747" t="s">
        <v>4694</v>
      </c>
      <c r="H1747" t="s">
        <v>5347</v>
      </c>
      <c r="I1747" t="s">
        <v>6047</v>
      </c>
      <c r="J1747">
        <v>10452</v>
      </c>
      <c r="K1747" t="s">
        <v>6074</v>
      </c>
      <c r="L1747" t="s">
        <v>6074</v>
      </c>
      <c r="N1747" t="s">
        <v>6104</v>
      </c>
      <c r="O1747" t="s">
        <v>7306</v>
      </c>
      <c r="P1747" t="s">
        <v>7314</v>
      </c>
      <c r="Q1747" t="s">
        <v>7322</v>
      </c>
      <c r="R1747" t="s">
        <v>6076</v>
      </c>
      <c r="S1747" t="s">
        <v>7324</v>
      </c>
      <c r="U1747" t="s">
        <v>336</v>
      </c>
      <c r="V1747">
        <v>1600</v>
      </c>
      <c r="W1747" t="s">
        <v>7363</v>
      </c>
      <c r="X1747" t="s">
        <v>7376</v>
      </c>
      <c r="Y1747" t="s">
        <v>7386</v>
      </c>
      <c r="Z1747" t="s">
        <v>8748</v>
      </c>
      <c r="AB1747" t="s">
        <v>11468</v>
      </c>
      <c r="AC1747">
        <v>2</v>
      </c>
      <c r="AD1747" t="s">
        <v>12419</v>
      </c>
      <c r="AF1747">
        <v>7</v>
      </c>
      <c r="AG1747">
        <v>2</v>
      </c>
      <c r="AH1747">
        <v>0</v>
      </c>
      <c r="AI1747">
        <v>107.11</v>
      </c>
      <c r="AL1747" t="s">
        <v>12461</v>
      </c>
      <c r="AM1747">
        <v>17630</v>
      </c>
      <c r="AS1747">
        <v>0.1</v>
      </c>
      <c r="AT1747" t="s">
        <v>346</v>
      </c>
      <c r="AU1747" t="s">
        <v>105</v>
      </c>
    </row>
    <row r="1748" spans="1:48">
      <c r="A1748" s="1">
        <f>HYPERLINK("https://cms.ls-nyc.org/matter/dynamic-profile/view/1898681","19-1898681")</f>
        <v>0</v>
      </c>
      <c r="B1748" t="s">
        <v>54</v>
      </c>
      <c r="C1748" t="s">
        <v>309</v>
      </c>
      <c r="E1748" t="s">
        <v>1496</v>
      </c>
      <c r="F1748" t="s">
        <v>2981</v>
      </c>
      <c r="G1748" t="s">
        <v>4695</v>
      </c>
      <c r="H1748" t="s">
        <v>5348</v>
      </c>
      <c r="I1748" t="s">
        <v>6026</v>
      </c>
      <c r="J1748">
        <v>11432</v>
      </c>
      <c r="K1748" t="s">
        <v>6074</v>
      </c>
      <c r="L1748" t="s">
        <v>6074</v>
      </c>
      <c r="M1748" t="s">
        <v>6812</v>
      </c>
      <c r="N1748" t="s">
        <v>7276</v>
      </c>
      <c r="O1748" t="s">
        <v>7307</v>
      </c>
      <c r="Q1748" t="s">
        <v>7322</v>
      </c>
      <c r="R1748" t="s">
        <v>6076</v>
      </c>
      <c r="S1748" t="s">
        <v>7324</v>
      </c>
      <c r="U1748" t="s">
        <v>309</v>
      </c>
      <c r="V1748">
        <v>1486</v>
      </c>
      <c r="W1748" t="s">
        <v>7361</v>
      </c>
      <c r="X1748" t="s">
        <v>7366</v>
      </c>
      <c r="Z1748" t="s">
        <v>8749</v>
      </c>
      <c r="AB1748" t="s">
        <v>11469</v>
      </c>
      <c r="AC1748">
        <v>7</v>
      </c>
      <c r="AE1748" t="s">
        <v>6110</v>
      </c>
      <c r="AF1748">
        <v>6</v>
      </c>
      <c r="AG1748">
        <v>1</v>
      </c>
      <c r="AH1748">
        <v>3</v>
      </c>
      <c r="AI1748">
        <v>107.18</v>
      </c>
      <c r="AL1748" t="s">
        <v>12460</v>
      </c>
      <c r="AM1748">
        <v>27600</v>
      </c>
      <c r="AS1748">
        <v>1.4</v>
      </c>
      <c r="AT1748" t="s">
        <v>363</v>
      </c>
      <c r="AU1748" t="s">
        <v>189</v>
      </c>
    </row>
    <row r="1749" spans="1:48">
      <c r="A1749" s="1">
        <f>HYPERLINK("https://cms.ls-nyc.org/matter/dynamic-profile/view/1876334","18-1876334")</f>
        <v>0</v>
      </c>
      <c r="B1749" t="s">
        <v>130</v>
      </c>
      <c r="C1749" t="s">
        <v>253</v>
      </c>
      <c r="E1749" t="s">
        <v>1330</v>
      </c>
      <c r="F1749" t="s">
        <v>2374</v>
      </c>
      <c r="G1749" t="s">
        <v>3842</v>
      </c>
      <c r="H1749" t="s">
        <v>5766</v>
      </c>
      <c r="I1749" t="s">
        <v>6049</v>
      </c>
      <c r="J1749">
        <v>10033</v>
      </c>
      <c r="K1749" t="s">
        <v>6074</v>
      </c>
      <c r="L1749" t="s">
        <v>6074</v>
      </c>
      <c r="N1749" t="s">
        <v>7273</v>
      </c>
      <c r="O1749" t="s">
        <v>7307</v>
      </c>
      <c r="Q1749" t="s">
        <v>7322</v>
      </c>
      <c r="R1749" t="s">
        <v>6074</v>
      </c>
      <c r="S1749" t="s">
        <v>7324</v>
      </c>
      <c r="U1749" t="s">
        <v>253</v>
      </c>
      <c r="V1749">
        <v>1145.5</v>
      </c>
      <c r="W1749" t="s">
        <v>7365</v>
      </c>
      <c r="X1749" t="s">
        <v>7367</v>
      </c>
      <c r="Z1749" t="s">
        <v>8750</v>
      </c>
      <c r="AB1749" t="s">
        <v>11470</v>
      </c>
      <c r="AC1749">
        <v>232</v>
      </c>
      <c r="AD1749" t="s">
        <v>12422</v>
      </c>
      <c r="AE1749" t="s">
        <v>7305</v>
      </c>
      <c r="AF1749">
        <v>50</v>
      </c>
      <c r="AG1749">
        <v>1</v>
      </c>
      <c r="AH1749">
        <v>0</v>
      </c>
      <c r="AI1749">
        <v>107.25</v>
      </c>
      <c r="AL1749" t="s">
        <v>12460</v>
      </c>
      <c r="AM1749">
        <v>13020</v>
      </c>
      <c r="AS1749">
        <v>1.1</v>
      </c>
      <c r="AT1749" t="s">
        <v>496</v>
      </c>
      <c r="AU1749" t="s">
        <v>13106</v>
      </c>
    </row>
    <row r="1750" spans="1:48">
      <c r="A1750" s="1">
        <f>HYPERLINK("https://cms.ls-nyc.org/matter/dynamic-profile/view/1887095","19-1887095")</f>
        <v>0</v>
      </c>
      <c r="B1750" t="s">
        <v>77</v>
      </c>
      <c r="C1750" t="s">
        <v>272</v>
      </c>
      <c r="E1750" t="s">
        <v>878</v>
      </c>
      <c r="F1750" t="s">
        <v>2982</v>
      </c>
      <c r="G1750" t="s">
        <v>4696</v>
      </c>
      <c r="H1750">
        <v>2</v>
      </c>
      <c r="I1750" t="s">
        <v>6043</v>
      </c>
      <c r="J1750">
        <v>11233</v>
      </c>
      <c r="K1750" t="s">
        <v>6074</v>
      </c>
      <c r="L1750" t="s">
        <v>6074</v>
      </c>
      <c r="M1750" t="s">
        <v>6813</v>
      </c>
      <c r="N1750" t="s">
        <v>7276</v>
      </c>
      <c r="O1750" t="s">
        <v>7308</v>
      </c>
      <c r="Q1750" t="s">
        <v>7322</v>
      </c>
      <c r="R1750" t="s">
        <v>6076</v>
      </c>
      <c r="S1750" t="s">
        <v>7324</v>
      </c>
      <c r="U1750" t="s">
        <v>410</v>
      </c>
      <c r="V1750">
        <v>2097</v>
      </c>
      <c r="W1750" t="s">
        <v>7362</v>
      </c>
      <c r="X1750" t="s">
        <v>7373</v>
      </c>
      <c r="Z1750" t="s">
        <v>8751</v>
      </c>
      <c r="AA1750" t="s">
        <v>10192</v>
      </c>
      <c r="AB1750" t="s">
        <v>11471</v>
      </c>
      <c r="AC1750">
        <v>3</v>
      </c>
      <c r="AE1750" t="s">
        <v>12438</v>
      </c>
      <c r="AF1750">
        <v>2</v>
      </c>
      <c r="AG1750">
        <v>2</v>
      </c>
      <c r="AH1750">
        <v>5</v>
      </c>
      <c r="AI1750">
        <v>107.36</v>
      </c>
      <c r="AL1750" t="s">
        <v>12460</v>
      </c>
      <c r="AM1750">
        <v>40860</v>
      </c>
      <c r="AS1750">
        <v>42</v>
      </c>
      <c r="AT1750" t="s">
        <v>460</v>
      </c>
      <c r="AU1750" t="s">
        <v>180</v>
      </c>
    </row>
    <row r="1751" spans="1:48">
      <c r="A1751" s="1">
        <f>HYPERLINK("https://cms.ls-nyc.org/matter/dynamic-profile/view/1860004","18-1860004")</f>
        <v>0</v>
      </c>
      <c r="B1751" t="s">
        <v>204</v>
      </c>
      <c r="C1751" t="s">
        <v>513</v>
      </c>
      <c r="D1751" t="s">
        <v>408</v>
      </c>
      <c r="E1751" t="s">
        <v>586</v>
      </c>
      <c r="F1751" t="s">
        <v>2546</v>
      </c>
      <c r="G1751" t="s">
        <v>4697</v>
      </c>
      <c r="H1751" t="s">
        <v>5428</v>
      </c>
      <c r="I1751" t="s">
        <v>6047</v>
      </c>
      <c r="J1751">
        <v>10453</v>
      </c>
      <c r="K1751" t="s">
        <v>6074</v>
      </c>
      <c r="L1751" t="s">
        <v>6074</v>
      </c>
      <c r="N1751" t="s">
        <v>7276</v>
      </c>
      <c r="O1751" t="s">
        <v>7306</v>
      </c>
      <c r="P1751" t="s">
        <v>7314</v>
      </c>
      <c r="Q1751" t="s">
        <v>7322</v>
      </c>
      <c r="S1751" t="s">
        <v>7324</v>
      </c>
      <c r="U1751" t="s">
        <v>472</v>
      </c>
      <c r="V1751">
        <v>876.25</v>
      </c>
      <c r="W1751" t="s">
        <v>7363</v>
      </c>
      <c r="Y1751" t="s">
        <v>7386</v>
      </c>
      <c r="Z1751" t="s">
        <v>8752</v>
      </c>
      <c r="AB1751" t="s">
        <v>11472</v>
      </c>
      <c r="AC1751">
        <v>20</v>
      </c>
      <c r="AF1751">
        <v>20</v>
      </c>
      <c r="AG1751">
        <v>1</v>
      </c>
      <c r="AH1751">
        <v>0</v>
      </c>
      <c r="AI1751">
        <v>107.46</v>
      </c>
      <c r="AL1751" t="s">
        <v>12461</v>
      </c>
      <c r="AM1751">
        <v>12960</v>
      </c>
      <c r="AN1751" t="s">
        <v>12645</v>
      </c>
      <c r="AS1751">
        <v>1.97</v>
      </c>
      <c r="AT1751" t="s">
        <v>232</v>
      </c>
      <c r="AU1751" t="s">
        <v>13092</v>
      </c>
    </row>
    <row r="1752" spans="1:48">
      <c r="A1752" s="1">
        <f>HYPERLINK("https://cms.ls-nyc.org/matter/dynamic-profile/view/1889309","19-1889309")</f>
        <v>0</v>
      </c>
      <c r="B1752" t="s">
        <v>64</v>
      </c>
      <c r="C1752" t="s">
        <v>261</v>
      </c>
      <c r="D1752" t="s">
        <v>317</v>
      </c>
      <c r="E1752" t="s">
        <v>1128</v>
      </c>
      <c r="F1752" t="s">
        <v>2983</v>
      </c>
      <c r="G1752" t="s">
        <v>4698</v>
      </c>
      <c r="H1752" t="s">
        <v>5372</v>
      </c>
      <c r="I1752" t="s">
        <v>6044</v>
      </c>
      <c r="J1752">
        <v>11105</v>
      </c>
      <c r="K1752" t="s">
        <v>6074</v>
      </c>
      <c r="L1752" t="s">
        <v>6074</v>
      </c>
      <c r="M1752" t="s">
        <v>6814</v>
      </c>
      <c r="N1752" t="s">
        <v>7276</v>
      </c>
      <c r="O1752" t="s">
        <v>7308</v>
      </c>
      <c r="P1752" t="s">
        <v>7316</v>
      </c>
      <c r="Q1752" t="s">
        <v>7322</v>
      </c>
      <c r="R1752" t="s">
        <v>6076</v>
      </c>
      <c r="S1752" t="s">
        <v>7324</v>
      </c>
      <c r="T1752" t="s">
        <v>7336</v>
      </c>
      <c r="U1752" t="s">
        <v>469</v>
      </c>
      <c r="V1752">
        <v>538</v>
      </c>
      <c r="W1752" t="s">
        <v>7361</v>
      </c>
      <c r="X1752" t="s">
        <v>7366</v>
      </c>
      <c r="Y1752" t="s">
        <v>7388</v>
      </c>
      <c r="Z1752" t="s">
        <v>8753</v>
      </c>
      <c r="AA1752" t="s">
        <v>10193</v>
      </c>
      <c r="AB1752" t="s">
        <v>11473</v>
      </c>
      <c r="AC1752">
        <v>9</v>
      </c>
      <c r="AD1752" t="s">
        <v>6322</v>
      </c>
      <c r="AE1752" t="s">
        <v>12434</v>
      </c>
      <c r="AF1752">
        <v>28</v>
      </c>
      <c r="AG1752">
        <v>2</v>
      </c>
      <c r="AH1752">
        <v>0</v>
      </c>
      <c r="AI1752">
        <v>107.63</v>
      </c>
      <c r="AL1752" t="s">
        <v>12460</v>
      </c>
      <c r="AM1752">
        <v>18200</v>
      </c>
      <c r="AO1752" t="s">
        <v>12845</v>
      </c>
      <c r="AP1752" t="s">
        <v>12858</v>
      </c>
      <c r="AQ1752" t="s">
        <v>12909</v>
      </c>
      <c r="AR1752" t="s">
        <v>13022</v>
      </c>
      <c r="AS1752">
        <v>13.64</v>
      </c>
      <c r="AT1752" t="s">
        <v>363</v>
      </c>
      <c r="AU1752" t="s">
        <v>189</v>
      </c>
      <c r="AV1752" t="s">
        <v>13145</v>
      </c>
    </row>
    <row r="1753" spans="1:48">
      <c r="A1753" s="1">
        <f>HYPERLINK("https://cms.ls-nyc.org/matter/dynamic-profile/view/1894904","19-1894904")</f>
        <v>0</v>
      </c>
      <c r="B1753" t="s">
        <v>96</v>
      </c>
      <c r="C1753" t="s">
        <v>361</v>
      </c>
      <c r="E1753" t="s">
        <v>1497</v>
      </c>
      <c r="F1753" t="s">
        <v>2984</v>
      </c>
      <c r="G1753" t="s">
        <v>3792</v>
      </c>
      <c r="H1753" t="s">
        <v>5462</v>
      </c>
      <c r="I1753" t="s">
        <v>6047</v>
      </c>
      <c r="J1753">
        <v>10453</v>
      </c>
      <c r="K1753" t="s">
        <v>6074</v>
      </c>
      <c r="L1753" t="s">
        <v>6074</v>
      </c>
      <c r="M1753" t="s">
        <v>6259</v>
      </c>
      <c r="N1753" t="s">
        <v>7273</v>
      </c>
      <c r="O1753" t="s">
        <v>7308</v>
      </c>
      <c r="Q1753" t="s">
        <v>7322</v>
      </c>
      <c r="R1753" t="s">
        <v>6074</v>
      </c>
      <c r="S1753" t="s">
        <v>7324</v>
      </c>
      <c r="U1753" t="s">
        <v>457</v>
      </c>
      <c r="V1753">
        <v>1050</v>
      </c>
      <c r="W1753" t="s">
        <v>7363</v>
      </c>
      <c r="X1753" t="s">
        <v>7375</v>
      </c>
      <c r="Z1753" t="s">
        <v>8754</v>
      </c>
      <c r="AB1753" t="s">
        <v>11474</v>
      </c>
      <c r="AC1753">
        <v>170</v>
      </c>
      <c r="AD1753" t="s">
        <v>12422</v>
      </c>
      <c r="AE1753" t="s">
        <v>6110</v>
      </c>
      <c r="AF1753">
        <v>6</v>
      </c>
      <c r="AG1753">
        <v>2</v>
      </c>
      <c r="AH1753">
        <v>0</v>
      </c>
      <c r="AI1753">
        <v>107.63</v>
      </c>
      <c r="AL1753" t="s">
        <v>12461</v>
      </c>
      <c r="AM1753">
        <v>18200</v>
      </c>
      <c r="AS1753">
        <v>0</v>
      </c>
      <c r="AU1753" t="s">
        <v>13093</v>
      </c>
    </row>
    <row r="1754" spans="1:48">
      <c r="A1754" s="1">
        <f>HYPERLINK("https://cms.ls-nyc.org/matter/dynamic-profile/view/1893351","19-1893351")</f>
        <v>0</v>
      </c>
      <c r="B1754" t="s">
        <v>116</v>
      </c>
      <c r="C1754" t="s">
        <v>313</v>
      </c>
      <c r="D1754" t="s">
        <v>361</v>
      </c>
      <c r="E1754" t="s">
        <v>1498</v>
      </c>
      <c r="F1754" t="s">
        <v>2985</v>
      </c>
      <c r="G1754" t="s">
        <v>4699</v>
      </c>
      <c r="H1754" t="s">
        <v>5767</v>
      </c>
      <c r="I1754" t="s">
        <v>6047</v>
      </c>
      <c r="J1754">
        <v>10452</v>
      </c>
      <c r="K1754" t="s">
        <v>6074</v>
      </c>
      <c r="L1754" t="s">
        <v>6074</v>
      </c>
      <c r="N1754" t="s">
        <v>6104</v>
      </c>
      <c r="O1754" t="s">
        <v>7307</v>
      </c>
      <c r="P1754" t="s">
        <v>7314</v>
      </c>
      <c r="Q1754" t="s">
        <v>7322</v>
      </c>
      <c r="R1754" t="s">
        <v>6076</v>
      </c>
      <c r="S1754" t="s">
        <v>7324</v>
      </c>
      <c r="U1754" t="s">
        <v>313</v>
      </c>
      <c r="V1754">
        <v>966</v>
      </c>
      <c r="W1754" t="s">
        <v>7363</v>
      </c>
      <c r="X1754" t="s">
        <v>7376</v>
      </c>
      <c r="Y1754" t="s">
        <v>7386</v>
      </c>
      <c r="Z1754" t="s">
        <v>8755</v>
      </c>
      <c r="AB1754" t="s">
        <v>11475</v>
      </c>
      <c r="AC1754">
        <v>50</v>
      </c>
      <c r="AD1754" t="s">
        <v>12422</v>
      </c>
      <c r="AE1754" t="s">
        <v>6110</v>
      </c>
      <c r="AF1754">
        <v>4</v>
      </c>
      <c r="AG1754">
        <v>2</v>
      </c>
      <c r="AH1754">
        <v>0</v>
      </c>
      <c r="AI1754">
        <v>107.63</v>
      </c>
      <c r="AL1754" t="s">
        <v>12461</v>
      </c>
      <c r="AM1754">
        <v>18200</v>
      </c>
      <c r="AS1754">
        <v>4.5</v>
      </c>
      <c r="AT1754" t="s">
        <v>322</v>
      </c>
      <c r="AU1754" t="s">
        <v>116</v>
      </c>
    </row>
    <row r="1755" spans="1:48">
      <c r="A1755" s="1">
        <f>HYPERLINK("https://cms.ls-nyc.org/matter/dynamic-profile/view/1897239","19-1897239")</f>
        <v>0</v>
      </c>
      <c r="B1755" t="s">
        <v>129</v>
      </c>
      <c r="C1755" t="s">
        <v>279</v>
      </c>
      <c r="E1755" t="s">
        <v>1499</v>
      </c>
      <c r="F1755" t="s">
        <v>2365</v>
      </c>
      <c r="G1755" t="s">
        <v>4244</v>
      </c>
      <c r="H1755" t="s">
        <v>5438</v>
      </c>
      <c r="I1755" t="s">
        <v>6049</v>
      </c>
      <c r="J1755">
        <v>10034</v>
      </c>
      <c r="K1755" t="s">
        <v>6074</v>
      </c>
      <c r="L1755" t="s">
        <v>6074</v>
      </c>
      <c r="O1755" t="s">
        <v>7306</v>
      </c>
      <c r="Q1755" t="s">
        <v>7322</v>
      </c>
      <c r="R1755" t="s">
        <v>6076</v>
      </c>
      <c r="S1755" t="s">
        <v>7324</v>
      </c>
      <c r="U1755" t="s">
        <v>279</v>
      </c>
      <c r="V1755">
        <v>2600</v>
      </c>
      <c r="W1755" t="s">
        <v>7365</v>
      </c>
      <c r="Z1755" t="s">
        <v>8756</v>
      </c>
      <c r="AB1755" t="s">
        <v>11476</v>
      </c>
      <c r="AC1755">
        <v>46</v>
      </c>
      <c r="AD1755" t="s">
        <v>12422</v>
      </c>
      <c r="AE1755" t="s">
        <v>6110</v>
      </c>
      <c r="AF1755">
        <v>9</v>
      </c>
      <c r="AG1755">
        <v>1</v>
      </c>
      <c r="AH1755">
        <v>1</v>
      </c>
      <c r="AI1755">
        <v>107.63</v>
      </c>
      <c r="AL1755" t="s">
        <v>12461</v>
      </c>
      <c r="AM1755">
        <v>18200</v>
      </c>
      <c r="AS1755">
        <v>3</v>
      </c>
      <c r="AT1755" t="s">
        <v>564</v>
      </c>
      <c r="AU1755" t="s">
        <v>13106</v>
      </c>
    </row>
    <row r="1756" spans="1:48">
      <c r="A1756" s="1">
        <f>HYPERLINK("https://cms.ls-nyc.org/matter/dynamic-profile/view/1873617","18-1873617")</f>
        <v>0</v>
      </c>
      <c r="B1756" t="s">
        <v>90</v>
      </c>
      <c r="C1756" t="s">
        <v>467</v>
      </c>
      <c r="D1756" t="s">
        <v>399</v>
      </c>
      <c r="E1756" t="s">
        <v>1500</v>
      </c>
      <c r="F1756" t="s">
        <v>2474</v>
      </c>
      <c r="G1756" t="s">
        <v>4700</v>
      </c>
      <c r="H1756">
        <v>2</v>
      </c>
      <c r="I1756" t="s">
        <v>6043</v>
      </c>
      <c r="J1756">
        <v>11208</v>
      </c>
      <c r="K1756" t="s">
        <v>6074</v>
      </c>
      <c r="L1756" t="s">
        <v>6074</v>
      </c>
      <c r="M1756" t="s">
        <v>6815</v>
      </c>
      <c r="N1756" t="s">
        <v>7274</v>
      </c>
      <c r="O1756" t="s">
        <v>7306</v>
      </c>
      <c r="P1756" t="s">
        <v>7314</v>
      </c>
      <c r="Q1756" t="s">
        <v>7322</v>
      </c>
      <c r="R1756" t="s">
        <v>6076</v>
      </c>
      <c r="S1756" t="s">
        <v>7324</v>
      </c>
      <c r="U1756" t="s">
        <v>231</v>
      </c>
      <c r="V1756">
        <v>2000</v>
      </c>
      <c r="W1756" t="s">
        <v>7362</v>
      </c>
      <c r="X1756" t="s">
        <v>7379</v>
      </c>
      <c r="Y1756" t="s">
        <v>7386</v>
      </c>
      <c r="Z1756" t="s">
        <v>8757</v>
      </c>
      <c r="AA1756" t="s">
        <v>10194</v>
      </c>
      <c r="AC1756">
        <v>3</v>
      </c>
      <c r="AD1756" t="s">
        <v>12419</v>
      </c>
      <c r="AE1756" t="s">
        <v>6110</v>
      </c>
      <c r="AF1756">
        <v>-1</v>
      </c>
      <c r="AG1756">
        <v>2</v>
      </c>
      <c r="AH1756">
        <v>2</v>
      </c>
      <c r="AI1756">
        <v>107.73</v>
      </c>
      <c r="AL1756" t="s">
        <v>12461</v>
      </c>
      <c r="AM1756">
        <v>27040</v>
      </c>
      <c r="AS1756">
        <v>11.3</v>
      </c>
      <c r="AT1756" t="s">
        <v>427</v>
      </c>
      <c r="AU1756" t="s">
        <v>13083</v>
      </c>
    </row>
    <row r="1757" spans="1:48">
      <c r="A1757" s="1">
        <f>HYPERLINK("https://cms.ls-nyc.org/matter/dynamic-profile/view/1891536","19-1891536")</f>
        <v>0</v>
      </c>
      <c r="B1757" t="s">
        <v>68</v>
      </c>
      <c r="C1757" t="s">
        <v>278</v>
      </c>
      <c r="D1757" t="s">
        <v>329</v>
      </c>
      <c r="E1757" t="s">
        <v>1501</v>
      </c>
      <c r="F1757" t="s">
        <v>2986</v>
      </c>
      <c r="G1757" t="s">
        <v>4701</v>
      </c>
      <c r="H1757" t="s">
        <v>5578</v>
      </c>
      <c r="I1757" t="s">
        <v>6043</v>
      </c>
      <c r="J1757">
        <v>11208</v>
      </c>
      <c r="K1757" t="s">
        <v>6074</v>
      </c>
      <c r="L1757" t="s">
        <v>6074</v>
      </c>
      <c r="M1757" t="s">
        <v>6816</v>
      </c>
      <c r="N1757" t="s">
        <v>7274</v>
      </c>
      <c r="O1757" t="s">
        <v>7307</v>
      </c>
      <c r="P1757" t="s">
        <v>7315</v>
      </c>
      <c r="Q1757" t="s">
        <v>7322</v>
      </c>
      <c r="S1757" t="s">
        <v>7324</v>
      </c>
      <c r="U1757" t="s">
        <v>278</v>
      </c>
      <c r="V1757">
        <v>1500</v>
      </c>
      <c r="W1757" t="s">
        <v>7362</v>
      </c>
      <c r="X1757" t="s">
        <v>7366</v>
      </c>
      <c r="Y1757" t="s">
        <v>7390</v>
      </c>
      <c r="Z1757" t="s">
        <v>8758</v>
      </c>
      <c r="AB1757" t="s">
        <v>11477</v>
      </c>
      <c r="AC1757">
        <v>6</v>
      </c>
      <c r="AD1757" t="s">
        <v>12419</v>
      </c>
      <c r="AF1757">
        <v>3</v>
      </c>
      <c r="AG1757">
        <v>1</v>
      </c>
      <c r="AH1757">
        <v>2</v>
      </c>
      <c r="AI1757">
        <v>107.83</v>
      </c>
      <c r="AL1757" t="s">
        <v>12461</v>
      </c>
      <c r="AM1757">
        <v>23000</v>
      </c>
      <c r="AS1757">
        <v>1.2</v>
      </c>
      <c r="AT1757" t="s">
        <v>278</v>
      </c>
      <c r="AU1757" t="s">
        <v>13084</v>
      </c>
    </row>
    <row r="1758" spans="1:48">
      <c r="A1758" s="1">
        <f>HYPERLINK("https://cms.ls-nyc.org/matter/dynamic-profile/view/1885707","18-1885707")</f>
        <v>0</v>
      </c>
      <c r="B1758" t="s">
        <v>133</v>
      </c>
      <c r="C1758" t="s">
        <v>344</v>
      </c>
      <c r="D1758" t="s">
        <v>277</v>
      </c>
      <c r="E1758" t="s">
        <v>689</v>
      </c>
      <c r="F1758" t="s">
        <v>2122</v>
      </c>
      <c r="G1758" t="s">
        <v>4702</v>
      </c>
      <c r="H1758">
        <v>24</v>
      </c>
      <c r="I1758" t="s">
        <v>6049</v>
      </c>
      <c r="J1758">
        <v>10040</v>
      </c>
      <c r="K1758" t="s">
        <v>6074</v>
      </c>
      <c r="L1758" t="s">
        <v>6074</v>
      </c>
      <c r="M1758" t="s">
        <v>6817</v>
      </c>
      <c r="N1758" t="s">
        <v>7276</v>
      </c>
      <c r="O1758" t="s">
        <v>7308</v>
      </c>
      <c r="P1758" t="s">
        <v>7316</v>
      </c>
      <c r="Q1758" t="s">
        <v>7322</v>
      </c>
      <c r="R1758" t="s">
        <v>6076</v>
      </c>
      <c r="S1758" t="s">
        <v>7324</v>
      </c>
      <c r="U1758" t="s">
        <v>344</v>
      </c>
      <c r="V1758">
        <v>1400</v>
      </c>
      <c r="W1758" t="s">
        <v>7365</v>
      </c>
      <c r="X1758" t="s">
        <v>7378</v>
      </c>
      <c r="Y1758" t="s">
        <v>7391</v>
      </c>
      <c r="Z1758" t="s">
        <v>8759</v>
      </c>
      <c r="AB1758" t="s">
        <v>11478</v>
      </c>
      <c r="AC1758">
        <v>21</v>
      </c>
      <c r="AD1758" t="s">
        <v>12422</v>
      </c>
      <c r="AE1758" t="s">
        <v>6110</v>
      </c>
      <c r="AF1758">
        <v>1</v>
      </c>
      <c r="AG1758">
        <v>3</v>
      </c>
      <c r="AH1758">
        <v>3</v>
      </c>
      <c r="AI1758">
        <v>107.88</v>
      </c>
      <c r="AL1758" t="s">
        <v>12461</v>
      </c>
      <c r="AM1758">
        <v>36400</v>
      </c>
      <c r="AS1758">
        <v>50.2</v>
      </c>
      <c r="AT1758" t="s">
        <v>277</v>
      </c>
      <c r="AU1758" t="s">
        <v>13106</v>
      </c>
    </row>
    <row r="1759" spans="1:48">
      <c r="A1759" s="1">
        <f>HYPERLINK("https://cms.ls-nyc.org/matter/dynamic-profile/view/1894291","19-1894291")</f>
        <v>0</v>
      </c>
      <c r="B1759" t="s">
        <v>98</v>
      </c>
      <c r="C1759" t="s">
        <v>334</v>
      </c>
      <c r="E1759" t="s">
        <v>586</v>
      </c>
      <c r="F1759" t="s">
        <v>2461</v>
      </c>
      <c r="G1759" t="s">
        <v>4703</v>
      </c>
      <c r="H1759" t="s">
        <v>5435</v>
      </c>
      <c r="I1759" t="s">
        <v>6047</v>
      </c>
      <c r="J1759">
        <v>10458</v>
      </c>
      <c r="K1759" t="s">
        <v>6074</v>
      </c>
      <c r="L1759" t="s">
        <v>6074</v>
      </c>
      <c r="N1759" t="s">
        <v>7281</v>
      </c>
      <c r="O1759" t="s">
        <v>7309</v>
      </c>
      <c r="Q1759" t="s">
        <v>7322</v>
      </c>
      <c r="R1759" t="s">
        <v>6076</v>
      </c>
      <c r="S1759" t="s">
        <v>7324</v>
      </c>
      <c r="T1759" t="s">
        <v>7336</v>
      </c>
      <c r="U1759" t="s">
        <v>334</v>
      </c>
      <c r="V1759">
        <v>1580</v>
      </c>
      <c r="W1759" t="s">
        <v>7363</v>
      </c>
      <c r="X1759" t="s">
        <v>7383</v>
      </c>
      <c r="Z1759" t="s">
        <v>8760</v>
      </c>
      <c r="AA1759" t="s">
        <v>10195</v>
      </c>
      <c r="AB1759" t="s">
        <v>11479</v>
      </c>
      <c r="AC1759">
        <v>0</v>
      </c>
      <c r="AD1759" t="s">
        <v>6322</v>
      </c>
      <c r="AE1759" t="s">
        <v>12434</v>
      </c>
      <c r="AF1759">
        <v>23</v>
      </c>
      <c r="AG1759">
        <v>3</v>
      </c>
      <c r="AH1759">
        <v>0</v>
      </c>
      <c r="AI1759">
        <v>108.02</v>
      </c>
      <c r="AL1759" t="s">
        <v>12460</v>
      </c>
      <c r="AM1759">
        <v>23040</v>
      </c>
      <c r="AS1759">
        <v>3.2</v>
      </c>
      <c r="AT1759" t="s">
        <v>526</v>
      </c>
      <c r="AU1759" t="s">
        <v>13093</v>
      </c>
    </row>
    <row r="1760" spans="1:48">
      <c r="A1760" s="1">
        <f>HYPERLINK("https://cms.ls-nyc.org/matter/dynamic-profile/view/1886780","19-1886780")</f>
        <v>0</v>
      </c>
      <c r="B1760" t="s">
        <v>83</v>
      </c>
      <c r="C1760" t="s">
        <v>422</v>
      </c>
      <c r="E1760" t="s">
        <v>1502</v>
      </c>
      <c r="F1760" t="s">
        <v>2987</v>
      </c>
      <c r="G1760" t="s">
        <v>4022</v>
      </c>
      <c r="I1760" t="s">
        <v>6043</v>
      </c>
      <c r="J1760">
        <v>11230</v>
      </c>
      <c r="K1760" t="s">
        <v>6074</v>
      </c>
      <c r="L1760" t="s">
        <v>6074</v>
      </c>
      <c r="N1760" t="s">
        <v>7275</v>
      </c>
      <c r="O1760" t="s">
        <v>7309</v>
      </c>
      <c r="Q1760" t="s">
        <v>7322</v>
      </c>
      <c r="R1760" t="s">
        <v>6076</v>
      </c>
      <c r="S1760" t="s">
        <v>7324</v>
      </c>
      <c r="U1760" t="s">
        <v>472</v>
      </c>
      <c r="V1760">
        <v>1345.21</v>
      </c>
      <c r="W1760" t="s">
        <v>7362</v>
      </c>
      <c r="X1760" t="s">
        <v>7372</v>
      </c>
      <c r="Z1760" t="s">
        <v>8761</v>
      </c>
      <c r="AB1760" t="s">
        <v>11480</v>
      </c>
      <c r="AC1760">
        <v>60</v>
      </c>
      <c r="AD1760" t="s">
        <v>12422</v>
      </c>
      <c r="AE1760" t="s">
        <v>6110</v>
      </c>
      <c r="AF1760">
        <v>6</v>
      </c>
      <c r="AG1760">
        <v>2</v>
      </c>
      <c r="AH1760">
        <v>2</v>
      </c>
      <c r="AI1760">
        <v>108.05</v>
      </c>
      <c r="AL1760" t="s">
        <v>12460</v>
      </c>
      <c r="AM1760">
        <v>27120</v>
      </c>
      <c r="AS1760">
        <v>1.2</v>
      </c>
      <c r="AT1760" t="s">
        <v>457</v>
      </c>
      <c r="AU1760" t="s">
        <v>88</v>
      </c>
    </row>
    <row r="1761" spans="1:48">
      <c r="A1761" s="1">
        <f>HYPERLINK("https://cms.ls-nyc.org/matter/dynamic-profile/view/1886501","18-1886501")</f>
        <v>0</v>
      </c>
      <c r="B1761" t="s">
        <v>83</v>
      </c>
      <c r="C1761" t="s">
        <v>300</v>
      </c>
      <c r="E1761" t="s">
        <v>1502</v>
      </c>
      <c r="F1761" t="s">
        <v>2987</v>
      </c>
      <c r="G1761" t="s">
        <v>4022</v>
      </c>
      <c r="I1761" t="s">
        <v>6043</v>
      </c>
      <c r="J1761">
        <v>11230</v>
      </c>
      <c r="K1761" t="s">
        <v>6074</v>
      </c>
      <c r="L1761" t="s">
        <v>6074</v>
      </c>
      <c r="M1761" t="s">
        <v>6818</v>
      </c>
      <c r="N1761" t="s">
        <v>7276</v>
      </c>
      <c r="O1761" t="s">
        <v>7308</v>
      </c>
      <c r="Q1761" t="s">
        <v>7322</v>
      </c>
      <c r="R1761" t="s">
        <v>6076</v>
      </c>
      <c r="S1761" t="s">
        <v>7324</v>
      </c>
      <c r="T1761" t="s">
        <v>7338</v>
      </c>
      <c r="U1761" t="s">
        <v>300</v>
      </c>
      <c r="V1761">
        <v>1345.21</v>
      </c>
      <c r="W1761" t="s">
        <v>7362</v>
      </c>
      <c r="X1761" t="s">
        <v>7372</v>
      </c>
      <c r="Z1761" t="s">
        <v>8761</v>
      </c>
      <c r="AB1761" t="s">
        <v>11480</v>
      </c>
      <c r="AC1761">
        <v>60</v>
      </c>
      <c r="AD1761" t="s">
        <v>12422</v>
      </c>
      <c r="AE1761" t="s">
        <v>6110</v>
      </c>
      <c r="AF1761">
        <v>6</v>
      </c>
      <c r="AG1761">
        <v>2</v>
      </c>
      <c r="AH1761">
        <v>2</v>
      </c>
      <c r="AI1761">
        <v>108.05</v>
      </c>
      <c r="AL1761" t="s">
        <v>12460</v>
      </c>
      <c r="AM1761">
        <v>27120</v>
      </c>
      <c r="AS1761">
        <v>13.1</v>
      </c>
      <c r="AT1761" t="s">
        <v>496</v>
      </c>
      <c r="AU1761" t="s">
        <v>88</v>
      </c>
    </row>
    <row r="1762" spans="1:48">
      <c r="A1762" s="1">
        <f>HYPERLINK("https://cms.ls-nyc.org/matter/dynamic-profile/view/1899120","19-1899120")</f>
        <v>0</v>
      </c>
      <c r="B1762" t="s">
        <v>109</v>
      </c>
      <c r="C1762" t="s">
        <v>254</v>
      </c>
      <c r="E1762" t="s">
        <v>586</v>
      </c>
      <c r="F1762" t="s">
        <v>2467</v>
      </c>
      <c r="G1762" t="s">
        <v>3927</v>
      </c>
      <c r="H1762" t="s">
        <v>5393</v>
      </c>
      <c r="I1762" t="s">
        <v>6047</v>
      </c>
      <c r="J1762">
        <v>10452</v>
      </c>
      <c r="K1762" t="s">
        <v>6074</v>
      </c>
      <c r="L1762" t="s">
        <v>6075</v>
      </c>
      <c r="N1762" t="s">
        <v>7279</v>
      </c>
      <c r="O1762" t="s">
        <v>7307</v>
      </c>
      <c r="Q1762" t="s">
        <v>7322</v>
      </c>
      <c r="R1762" t="s">
        <v>6074</v>
      </c>
      <c r="S1762" t="s">
        <v>7324</v>
      </c>
      <c r="U1762" t="s">
        <v>257</v>
      </c>
      <c r="V1762">
        <v>1481</v>
      </c>
      <c r="W1762" t="s">
        <v>7363</v>
      </c>
      <c r="X1762" t="s">
        <v>7375</v>
      </c>
      <c r="Z1762" t="s">
        <v>8762</v>
      </c>
      <c r="AB1762" t="s">
        <v>11481</v>
      </c>
      <c r="AC1762">
        <v>41</v>
      </c>
      <c r="AD1762" t="s">
        <v>6322</v>
      </c>
      <c r="AE1762" t="s">
        <v>6110</v>
      </c>
      <c r="AF1762">
        <v>10</v>
      </c>
      <c r="AG1762">
        <v>1</v>
      </c>
      <c r="AH1762">
        <v>0</v>
      </c>
      <c r="AI1762">
        <v>108.18</v>
      </c>
      <c r="AL1762" t="s">
        <v>12460</v>
      </c>
      <c r="AM1762">
        <v>13512</v>
      </c>
      <c r="AS1762">
        <v>0</v>
      </c>
      <c r="AU1762" t="s">
        <v>13092</v>
      </c>
      <c r="AV1762" t="s">
        <v>13145</v>
      </c>
    </row>
    <row r="1763" spans="1:48">
      <c r="A1763" s="1">
        <f>HYPERLINK("https://cms.ls-nyc.org/matter/dynamic-profile/view/1887998","19-1887998")</f>
        <v>0</v>
      </c>
      <c r="B1763" t="s">
        <v>128</v>
      </c>
      <c r="C1763" t="s">
        <v>390</v>
      </c>
      <c r="E1763" t="s">
        <v>1503</v>
      </c>
      <c r="F1763" t="s">
        <v>2279</v>
      </c>
      <c r="G1763" t="s">
        <v>3934</v>
      </c>
      <c r="H1763">
        <v>31</v>
      </c>
      <c r="I1763" t="s">
        <v>6049</v>
      </c>
      <c r="J1763">
        <v>10034</v>
      </c>
      <c r="K1763" t="s">
        <v>6074</v>
      </c>
      <c r="L1763" t="s">
        <v>6074</v>
      </c>
      <c r="M1763" t="s">
        <v>6500</v>
      </c>
      <c r="N1763" t="s">
        <v>7273</v>
      </c>
      <c r="O1763" t="s">
        <v>7308</v>
      </c>
      <c r="Q1763" t="s">
        <v>7322</v>
      </c>
      <c r="R1763" t="s">
        <v>6074</v>
      </c>
      <c r="S1763" t="s">
        <v>7324</v>
      </c>
      <c r="U1763" t="s">
        <v>390</v>
      </c>
      <c r="V1763">
        <v>1013.58</v>
      </c>
      <c r="W1763" t="s">
        <v>7365</v>
      </c>
      <c r="X1763" t="s">
        <v>7367</v>
      </c>
      <c r="Z1763" t="s">
        <v>8763</v>
      </c>
      <c r="AB1763" t="s">
        <v>11482</v>
      </c>
      <c r="AC1763">
        <v>25</v>
      </c>
      <c r="AD1763" t="s">
        <v>12422</v>
      </c>
      <c r="AE1763" t="s">
        <v>6110</v>
      </c>
      <c r="AF1763">
        <v>50</v>
      </c>
      <c r="AG1763">
        <v>2</v>
      </c>
      <c r="AH1763">
        <v>0</v>
      </c>
      <c r="AI1763">
        <v>108.26</v>
      </c>
      <c r="AL1763" t="s">
        <v>12461</v>
      </c>
      <c r="AM1763">
        <v>17820</v>
      </c>
      <c r="AS1763">
        <v>0.4</v>
      </c>
      <c r="AT1763" t="s">
        <v>460</v>
      </c>
      <c r="AU1763" t="s">
        <v>13106</v>
      </c>
    </row>
    <row r="1764" spans="1:48">
      <c r="A1764" s="1">
        <f>HYPERLINK("https://cms.ls-nyc.org/matter/dynamic-profile/view/1871620","18-1871620")</f>
        <v>0</v>
      </c>
      <c r="B1764" t="s">
        <v>117</v>
      </c>
      <c r="C1764" t="s">
        <v>453</v>
      </c>
      <c r="D1764" t="s">
        <v>320</v>
      </c>
      <c r="E1764" t="s">
        <v>891</v>
      </c>
      <c r="F1764" t="s">
        <v>2204</v>
      </c>
      <c r="G1764" t="s">
        <v>4704</v>
      </c>
      <c r="H1764" t="s">
        <v>5370</v>
      </c>
      <c r="I1764" t="s">
        <v>6048</v>
      </c>
      <c r="J1764">
        <v>10301</v>
      </c>
      <c r="K1764" t="s">
        <v>6074</v>
      </c>
      <c r="L1764" t="s">
        <v>6074</v>
      </c>
      <c r="M1764" t="s">
        <v>6204</v>
      </c>
      <c r="N1764" t="s">
        <v>7274</v>
      </c>
      <c r="O1764" t="s">
        <v>7307</v>
      </c>
      <c r="P1764" t="s">
        <v>7315</v>
      </c>
      <c r="Q1764" t="s">
        <v>7322</v>
      </c>
      <c r="R1764" t="s">
        <v>6076</v>
      </c>
      <c r="S1764" t="s">
        <v>7324</v>
      </c>
      <c r="T1764" t="s">
        <v>7336</v>
      </c>
      <c r="U1764" t="s">
        <v>319</v>
      </c>
      <c r="V1764">
        <v>1555</v>
      </c>
      <c r="W1764" t="s">
        <v>7364</v>
      </c>
      <c r="X1764" t="s">
        <v>7383</v>
      </c>
      <c r="Y1764" t="s">
        <v>7386</v>
      </c>
      <c r="Z1764" t="s">
        <v>8764</v>
      </c>
      <c r="AB1764" t="s">
        <v>11483</v>
      </c>
      <c r="AC1764">
        <v>2</v>
      </c>
      <c r="AD1764" t="s">
        <v>6322</v>
      </c>
      <c r="AE1764" t="s">
        <v>12434</v>
      </c>
      <c r="AF1764">
        <v>3</v>
      </c>
      <c r="AG1764">
        <v>2</v>
      </c>
      <c r="AH1764">
        <v>1</v>
      </c>
      <c r="AI1764">
        <v>108.28</v>
      </c>
      <c r="AL1764" t="s">
        <v>12460</v>
      </c>
      <c r="AM1764">
        <v>22500</v>
      </c>
      <c r="AS1764">
        <v>3.6</v>
      </c>
      <c r="AT1764" t="s">
        <v>320</v>
      </c>
      <c r="AU1764" t="s">
        <v>13079</v>
      </c>
    </row>
    <row r="1765" spans="1:48">
      <c r="A1765" s="1">
        <f>HYPERLINK("https://cms.ls-nyc.org/matter/dynamic-profile/view/1887313","19-1887313")</f>
        <v>0</v>
      </c>
      <c r="B1765" t="s">
        <v>124</v>
      </c>
      <c r="C1765" t="s">
        <v>306</v>
      </c>
      <c r="D1765" t="s">
        <v>332</v>
      </c>
      <c r="E1765" t="s">
        <v>891</v>
      </c>
      <c r="F1765" t="s">
        <v>2204</v>
      </c>
      <c r="G1765" t="s">
        <v>4704</v>
      </c>
      <c r="H1765" t="s">
        <v>5370</v>
      </c>
      <c r="I1765" t="s">
        <v>6048</v>
      </c>
      <c r="J1765">
        <v>10301</v>
      </c>
      <c r="K1765" t="s">
        <v>6074</v>
      </c>
      <c r="L1765" t="s">
        <v>6074</v>
      </c>
      <c r="M1765" t="s">
        <v>6819</v>
      </c>
      <c r="N1765" t="s">
        <v>7274</v>
      </c>
      <c r="O1765" t="s">
        <v>7308</v>
      </c>
      <c r="P1765" t="s">
        <v>7316</v>
      </c>
      <c r="Q1765" t="s">
        <v>7322</v>
      </c>
      <c r="R1765" t="s">
        <v>6076</v>
      </c>
      <c r="S1765" t="s">
        <v>7324</v>
      </c>
      <c r="T1765" t="s">
        <v>7336</v>
      </c>
      <c r="U1765" t="s">
        <v>306</v>
      </c>
      <c r="V1765">
        <v>1555</v>
      </c>
      <c r="W1765" t="s">
        <v>7364</v>
      </c>
      <c r="Y1765" t="s">
        <v>7388</v>
      </c>
      <c r="Z1765" t="s">
        <v>8764</v>
      </c>
      <c r="AB1765" t="s">
        <v>11483</v>
      </c>
      <c r="AC1765">
        <v>3</v>
      </c>
      <c r="AD1765" t="s">
        <v>12419</v>
      </c>
      <c r="AE1765" t="s">
        <v>12434</v>
      </c>
      <c r="AF1765">
        <v>3</v>
      </c>
      <c r="AG1765">
        <v>2</v>
      </c>
      <c r="AH1765">
        <v>1</v>
      </c>
      <c r="AI1765">
        <v>108.28</v>
      </c>
      <c r="AL1765" t="s">
        <v>12460</v>
      </c>
      <c r="AM1765">
        <v>22500</v>
      </c>
      <c r="AO1765" t="s">
        <v>12846</v>
      </c>
      <c r="AP1765" t="s">
        <v>12858</v>
      </c>
      <c r="AQ1765" t="s">
        <v>12909</v>
      </c>
      <c r="AR1765" t="s">
        <v>13023</v>
      </c>
      <c r="AS1765">
        <v>18.2</v>
      </c>
      <c r="AT1765" t="s">
        <v>329</v>
      </c>
      <c r="AU1765" t="s">
        <v>13103</v>
      </c>
    </row>
    <row r="1766" spans="1:48">
      <c r="A1766" s="1">
        <f>HYPERLINK("https://cms.ls-nyc.org/matter/dynamic-profile/view/1884699","18-1884699")</f>
        <v>0</v>
      </c>
      <c r="B1766" t="s">
        <v>103</v>
      </c>
      <c r="C1766" t="s">
        <v>413</v>
      </c>
      <c r="E1766" t="s">
        <v>1190</v>
      </c>
      <c r="F1766" t="s">
        <v>2988</v>
      </c>
      <c r="G1766" t="s">
        <v>3810</v>
      </c>
      <c r="H1766" t="s">
        <v>5768</v>
      </c>
      <c r="I1766" t="s">
        <v>6047</v>
      </c>
      <c r="J1766">
        <v>10451</v>
      </c>
      <c r="K1766" t="s">
        <v>6074</v>
      </c>
      <c r="L1766" t="s">
        <v>6074</v>
      </c>
      <c r="M1766" t="s">
        <v>6201</v>
      </c>
      <c r="N1766" t="s">
        <v>7273</v>
      </c>
      <c r="O1766" t="s">
        <v>7308</v>
      </c>
      <c r="Q1766" t="s">
        <v>7322</v>
      </c>
      <c r="R1766" t="s">
        <v>6074</v>
      </c>
      <c r="S1766" t="s">
        <v>7324</v>
      </c>
      <c r="U1766" t="s">
        <v>472</v>
      </c>
      <c r="V1766">
        <v>2030</v>
      </c>
      <c r="W1766" t="s">
        <v>7363</v>
      </c>
      <c r="X1766" t="s">
        <v>7373</v>
      </c>
      <c r="Z1766" t="s">
        <v>8765</v>
      </c>
      <c r="AB1766" t="s">
        <v>11484</v>
      </c>
      <c r="AC1766">
        <v>100</v>
      </c>
      <c r="AD1766" t="s">
        <v>12422</v>
      </c>
      <c r="AE1766" t="s">
        <v>12434</v>
      </c>
      <c r="AF1766">
        <v>17</v>
      </c>
      <c r="AG1766">
        <v>2</v>
      </c>
      <c r="AH1766">
        <v>0</v>
      </c>
      <c r="AI1766">
        <v>108.36</v>
      </c>
      <c r="AL1766" t="s">
        <v>12461</v>
      </c>
      <c r="AM1766">
        <v>17836</v>
      </c>
      <c r="AS1766">
        <v>0</v>
      </c>
      <c r="AU1766" t="s">
        <v>13095</v>
      </c>
    </row>
    <row r="1767" spans="1:48">
      <c r="A1767" s="1">
        <f>HYPERLINK("https://cms.ls-nyc.org/matter/dynamic-profile/view/1880203","18-1880203")</f>
        <v>0</v>
      </c>
      <c r="B1767" t="s">
        <v>126</v>
      </c>
      <c r="C1767" t="s">
        <v>391</v>
      </c>
      <c r="D1767" t="s">
        <v>297</v>
      </c>
      <c r="E1767" t="s">
        <v>1504</v>
      </c>
      <c r="F1767" t="s">
        <v>2174</v>
      </c>
      <c r="G1767" t="s">
        <v>4705</v>
      </c>
      <c r="H1767" t="s">
        <v>5462</v>
      </c>
      <c r="I1767" t="s">
        <v>6049</v>
      </c>
      <c r="J1767">
        <v>10029</v>
      </c>
      <c r="K1767" t="s">
        <v>6074</v>
      </c>
      <c r="L1767" t="s">
        <v>6074</v>
      </c>
      <c r="N1767" t="s">
        <v>6104</v>
      </c>
      <c r="O1767" t="s">
        <v>7306</v>
      </c>
      <c r="P1767" t="s">
        <v>7314</v>
      </c>
      <c r="Q1767" t="s">
        <v>7322</v>
      </c>
      <c r="R1767" t="s">
        <v>6076</v>
      </c>
      <c r="S1767" t="s">
        <v>7324</v>
      </c>
      <c r="T1767" t="s">
        <v>7336</v>
      </c>
      <c r="U1767" t="s">
        <v>426</v>
      </c>
      <c r="V1767">
        <v>1885</v>
      </c>
      <c r="W1767" t="s">
        <v>7365</v>
      </c>
      <c r="X1767" t="s">
        <v>7371</v>
      </c>
      <c r="Y1767" t="s">
        <v>7386</v>
      </c>
      <c r="Z1767" t="s">
        <v>7698</v>
      </c>
      <c r="AB1767" t="s">
        <v>11485</v>
      </c>
      <c r="AC1767">
        <v>24</v>
      </c>
      <c r="AD1767" t="s">
        <v>12420</v>
      </c>
      <c r="AE1767" t="s">
        <v>12434</v>
      </c>
      <c r="AF1767">
        <v>6</v>
      </c>
      <c r="AG1767">
        <v>1</v>
      </c>
      <c r="AH1767">
        <v>0</v>
      </c>
      <c r="AI1767">
        <v>108.63</v>
      </c>
      <c r="AL1767" t="s">
        <v>12460</v>
      </c>
      <c r="AM1767">
        <v>13188</v>
      </c>
      <c r="AS1767">
        <v>1.2</v>
      </c>
      <c r="AT1767" t="s">
        <v>426</v>
      </c>
      <c r="AU1767" t="s">
        <v>13104</v>
      </c>
    </row>
    <row r="1768" spans="1:48">
      <c r="A1768" s="1">
        <f>HYPERLINK("https://cms.ls-nyc.org/matter/dynamic-profile/view/1894185","19-1894185")</f>
        <v>0</v>
      </c>
      <c r="B1768" t="s">
        <v>69</v>
      </c>
      <c r="C1768" t="s">
        <v>334</v>
      </c>
      <c r="D1768" t="s">
        <v>343</v>
      </c>
      <c r="E1768" t="s">
        <v>586</v>
      </c>
      <c r="F1768" t="s">
        <v>2710</v>
      </c>
      <c r="G1768" t="s">
        <v>4706</v>
      </c>
      <c r="H1768" t="s">
        <v>5769</v>
      </c>
      <c r="I1768" t="s">
        <v>6043</v>
      </c>
      <c r="J1768">
        <v>11206</v>
      </c>
      <c r="K1768" t="s">
        <v>6074</v>
      </c>
      <c r="L1768" t="s">
        <v>6074</v>
      </c>
      <c r="O1768" t="s">
        <v>7306</v>
      </c>
      <c r="P1768" t="s">
        <v>7314</v>
      </c>
      <c r="Q1768" t="s">
        <v>7322</v>
      </c>
      <c r="S1768" t="s">
        <v>7324</v>
      </c>
      <c r="U1768" t="s">
        <v>334</v>
      </c>
      <c r="V1768">
        <v>1523</v>
      </c>
      <c r="W1768" t="s">
        <v>7362</v>
      </c>
      <c r="Y1768" t="s">
        <v>7386</v>
      </c>
      <c r="Z1768" t="s">
        <v>8766</v>
      </c>
      <c r="AB1768" t="s">
        <v>11486</v>
      </c>
      <c r="AC1768">
        <v>0</v>
      </c>
      <c r="AF1768">
        <v>36</v>
      </c>
      <c r="AG1768">
        <v>4</v>
      </c>
      <c r="AH1768">
        <v>0</v>
      </c>
      <c r="AI1768">
        <v>108.74</v>
      </c>
      <c r="AL1768" t="s">
        <v>12460</v>
      </c>
      <c r="AM1768">
        <v>28000</v>
      </c>
      <c r="AS1768">
        <v>1.7</v>
      </c>
      <c r="AT1768" t="s">
        <v>343</v>
      </c>
      <c r="AU1768" t="s">
        <v>69</v>
      </c>
    </row>
    <row r="1769" spans="1:48">
      <c r="A1769" s="1">
        <f>HYPERLINK("https://cms.ls-nyc.org/matter/dynamic-profile/view/1881333","18-1881333")</f>
        <v>0</v>
      </c>
      <c r="B1769" t="s">
        <v>60</v>
      </c>
      <c r="C1769" t="s">
        <v>414</v>
      </c>
      <c r="D1769" t="s">
        <v>408</v>
      </c>
      <c r="E1769" t="s">
        <v>831</v>
      </c>
      <c r="F1769" t="s">
        <v>2956</v>
      </c>
      <c r="G1769" t="s">
        <v>3997</v>
      </c>
      <c r="I1769" t="s">
        <v>6025</v>
      </c>
      <c r="J1769">
        <v>11691</v>
      </c>
      <c r="K1769" t="s">
        <v>6074</v>
      </c>
      <c r="L1769" t="s">
        <v>6074</v>
      </c>
      <c r="M1769" t="s">
        <v>6820</v>
      </c>
      <c r="N1769" t="s">
        <v>7276</v>
      </c>
      <c r="O1769" t="s">
        <v>7308</v>
      </c>
      <c r="P1769" t="s">
        <v>7316</v>
      </c>
      <c r="Q1769" t="s">
        <v>7322</v>
      </c>
      <c r="R1769" t="s">
        <v>6074</v>
      </c>
      <c r="S1769" t="s">
        <v>7324</v>
      </c>
      <c r="T1769" t="s">
        <v>7339</v>
      </c>
      <c r="U1769" t="s">
        <v>442</v>
      </c>
      <c r="V1769">
        <v>1075</v>
      </c>
      <c r="W1769" t="s">
        <v>7361</v>
      </c>
      <c r="X1769" t="s">
        <v>7366</v>
      </c>
      <c r="Y1769" t="s">
        <v>7388</v>
      </c>
      <c r="Z1769" t="s">
        <v>8767</v>
      </c>
      <c r="AA1769" t="s">
        <v>10196</v>
      </c>
      <c r="AB1769" t="s">
        <v>11487</v>
      </c>
      <c r="AC1769">
        <v>602</v>
      </c>
      <c r="AD1769" t="s">
        <v>6322</v>
      </c>
      <c r="AE1769" t="s">
        <v>7305</v>
      </c>
      <c r="AF1769">
        <v>10</v>
      </c>
      <c r="AG1769">
        <v>2</v>
      </c>
      <c r="AH1769">
        <v>3</v>
      </c>
      <c r="AI1769">
        <v>108.77</v>
      </c>
      <c r="AL1769" t="s">
        <v>12460</v>
      </c>
      <c r="AM1769">
        <v>32000</v>
      </c>
      <c r="AO1769" t="s">
        <v>12847</v>
      </c>
      <c r="AP1769" t="s">
        <v>12868</v>
      </c>
      <c r="AQ1769" t="s">
        <v>12909</v>
      </c>
      <c r="AR1769" t="s">
        <v>12927</v>
      </c>
      <c r="AS1769">
        <v>4.15</v>
      </c>
      <c r="AT1769" t="s">
        <v>380</v>
      </c>
      <c r="AU1769" t="s">
        <v>169</v>
      </c>
    </row>
    <row r="1770" spans="1:48">
      <c r="A1770" s="1">
        <f>HYPERLINK("https://cms.ls-nyc.org/matter/dynamic-profile/view/1884298","18-1884298")</f>
        <v>0</v>
      </c>
      <c r="B1770" t="s">
        <v>68</v>
      </c>
      <c r="C1770" t="s">
        <v>297</v>
      </c>
      <c r="D1770" t="s">
        <v>344</v>
      </c>
      <c r="E1770" t="s">
        <v>1324</v>
      </c>
      <c r="F1770" t="s">
        <v>2326</v>
      </c>
      <c r="G1770" t="s">
        <v>4707</v>
      </c>
      <c r="H1770">
        <v>2</v>
      </c>
      <c r="I1770" t="s">
        <v>6043</v>
      </c>
      <c r="J1770">
        <v>11207</v>
      </c>
      <c r="K1770" t="s">
        <v>6074</v>
      </c>
      <c r="L1770" t="s">
        <v>6074</v>
      </c>
      <c r="M1770" t="s">
        <v>6821</v>
      </c>
      <c r="N1770" t="s">
        <v>7276</v>
      </c>
      <c r="O1770" t="s">
        <v>7307</v>
      </c>
      <c r="P1770" t="s">
        <v>7314</v>
      </c>
      <c r="Q1770" t="s">
        <v>7322</v>
      </c>
      <c r="S1770" t="s">
        <v>7324</v>
      </c>
      <c r="T1770" t="s">
        <v>7337</v>
      </c>
      <c r="U1770" t="s">
        <v>297</v>
      </c>
      <c r="V1770">
        <v>1575</v>
      </c>
      <c r="W1770" t="s">
        <v>7362</v>
      </c>
      <c r="X1770" t="s">
        <v>7366</v>
      </c>
      <c r="Y1770" t="s">
        <v>7386</v>
      </c>
      <c r="Z1770" t="s">
        <v>8768</v>
      </c>
      <c r="AB1770" t="s">
        <v>11488</v>
      </c>
      <c r="AC1770">
        <v>4</v>
      </c>
      <c r="AF1770">
        <v>2</v>
      </c>
      <c r="AG1770">
        <v>2</v>
      </c>
      <c r="AH1770">
        <v>2</v>
      </c>
      <c r="AI1770">
        <v>108.89</v>
      </c>
      <c r="AL1770" t="s">
        <v>12461</v>
      </c>
      <c r="AM1770">
        <v>27332</v>
      </c>
      <c r="AS1770">
        <v>2.2</v>
      </c>
      <c r="AT1770" t="s">
        <v>435</v>
      </c>
      <c r="AU1770" t="s">
        <v>13084</v>
      </c>
    </row>
    <row r="1771" spans="1:48">
      <c r="A1771" s="1">
        <f>HYPERLINK("https://cms.ls-nyc.org/matter/dynamic-profile/view/1889313","19-1889313")</f>
        <v>0</v>
      </c>
      <c r="B1771" t="s">
        <v>128</v>
      </c>
      <c r="C1771" t="s">
        <v>261</v>
      </c>
      <c r="E1771" t="s">
        <v>935</v>
      </c>
      <c r="F1771" t="s">
        <v>2079</v>
      </c>
      <c r="G1771" t="s">
        <v>4199</v>
      </c>
      <c r="H1771" t="s">
        <v>5770</v>
      </c>
      <c r="I1771" t="s">
        <v>6049</v>
      </c>
      <c r="J1771">
        <v>10034</v>
      </c>
      <c r="K1771" t="s">
        <v>6074</v>
      </c>
      <c r="L1771" t="s">
        <v>6074</v>
      </c>
      <c r="N1771" t="s">
        <v>7278</v>
      </c>
      <c r="O1771" t="s">
        <v>7306</v>
      </c>
      <c r="Q1771" t="s">
        <v>7322</v>
      </c>
      <c r="R1771" t="s">
        <v>6076</v>
      </c>
      <c r="S1771" t="s">
        <v>7324</v>
      </c>
      <c r="U1771" t="s">
        <v>261</v>
      </c>
      <c r="V1771">
        <v>1601.08</v>
      </c>
      <c r="W1771" t="s">
        <v>7365</v>
      </c>
      <c r="X1771" t="s">
        <v>7368</v>
      </c>
      <c r="Z1771" t="s">
        <v>8769</v>
      </c>
      <c r="AB1771" t="s">
        <v>11489</v>
      </c>
      <c r="AC1771">
        <v>69</v>
      </c>
      <c r="AD1771" t="s">
        <v>12422</v>
      </c>
      <c r="AE1771" t="s">
        <v>12441</v>
      </c>
      <c r="AF1771">
        <v>35</v>
      </c>
      <c r="AG1771">
        <v>1</v>
      </c>
      <c r="AH1771">
        <v>0</v>
      </c>
      <c r="AI1771">
        <v>109.05</v>
      </c>
      <c r="AL1771" t="s">
        <v>12460</v>
      </c>
      <c r="AM1771">
        <v>13620</v>
      </c>
      <c r="AS1771">
        <v>2.6</v>
      </c>
      <c r="AT1771" t="s">
        <v>259</v>
      </c>
      <c r="AU1771" t="s">
        <v>13106</v>
      </c>
    </row>
    <row r="1772" spans="1:48">
      <c r="A1772" s="1">
        <f>HYPERLINK("https://cms.ls-nyc.org/matter/dynamic-profile/view/1900574","19-1900574")</f>
        <v>0</v>
      </c>
      <c r="B1772" t="s">
        <v>175</v>
      </c>
      <c r="C1772" t="s">
        <v>260</v>
      </c>
      <c r="E1772" t="s">
        <v>945</v>
      </c>
      <c r="F1772" t="s">
        <v>2356</v>
      </c>
      <c r="G1772" t="s">
        <v>4589</v>
      </c>
      <c r="H1772" t="s">
        <v>5483</v>
      </c>
      <c r="I1772" t="s">
        <v>6049</v>
      </c>
      <c r="J1772">
        <v>10040</v>
      </c>
      <c r="K1772" t="s">
        <v>6074</v>
      </c>
      <c r="L1772" t="s">
        <v>6075</v>
      </c>
      <c r="N1772" t="s">
        <v>6104</v>
      </c>
      <c r="O1772" t="s">
        <v>7309</v>
      </c>
      <c r="Q1772" t="s">
        <v>7322</v>
      </c>
      <c r="R1772" t="s">
        <v>6076</v>
      </c>
      <c r="S1772" t="s">
        <v>7324</v>
      </c>
      <c r="U1772" t="s">
        <v>260</v>
      </c>
      <c r="V1772">
        <v>1230.2</v>
      </c>
      <c r="W1772" t="s">
        <v>7365</v>
      </c>
      <c r="X1772" t="s">
        <v>7368</v>
      </c>
      <c r="Z1772" t="s">
        <v>8770</v>
      </c>
      <c r="AB1772" t="s">
        <v>11490</v>
      </c>
      <c r="AC1772">
        <v>44</v>
      </c>
      <c r="AD1772" t="s">
        <v>12422</v>
      </c>
      <c r="AE1772" t="s">
        <v>12434</v>
      </c>
      <c r="AF1772">
        <v>23</v>
      </c>
      <c r="AG1772">
        <v>1</v>
      </c>
      <c r="AH1772">
        <v>0</v>
      </c>
      <c r="AI1772">
        <v>109.14</v>
      </c>
      <c r="AL1772" t="s">
        <v>12461</v>
      </c>
      <c r="AM1772">
        <v>13632</v>
      </c>
      <c r="AS1772">
        <v>0.7</v>
      </c>
      <c r="AT1772" t="s">
        <v>445</v>
      </c>
      <c r="AU1772" t="s">
        <v>13106</v>
      </c>
      <c r="AV1772" t="s">
        <v>13145</v>
      </c>
    </row>
    <row r="1773" spans="1:48">
      <c r="A1773" s="1">
        <f>HYPERLINK("https://cms.ls-nyc.org/matter/dynamic-profile/view/1885608","18-1885608")</f>
        <v>0</v>
      </c>
      <c r="B1773" t="s">
        <v>71</v>
      </c>
      <c r="C1773" t="s">
        <v>266</v>
      </c>
      <c r="D1773" t="s">
        <v>379</v>
      </c>
      <c r="E1773" t="s">
        <v>1505</v>
      </c>
      <c r="F1773" t="s">
        <v>2989</v>
      </c>
      <c r="G1773" t="s">
        <v>4708</v>
      </c>
      <c r="H1773" t="s">
        <v>5771</v>
      </c>
      <c r="I1773" t="s">
        <v>6043</v>
      </c>
      <c r="J1773">
        <v>11208</v>
      </c>
      <c r="K1773" t="s">
        <v>6074</v>
      </c>
      <c r="L1773" t="s">
        <v>6074</v>
      </c>
      <c r="M1773" t="s">
        <v>6822</v>
      </c>
      <c r="N1773" t="s">
        <v>7276</v>
      </c>
      <c r="O1773" t="s">
        <v>7307</v>
      </c>
      <c r="P1773" t="s">
        <v>7315</v>
      </c>
      <c r="Q1773" t="s">
        <v>7322</v>
      </c>
      <c r="R1773" t="s">
        <v>6076</v>
      </c>
      <c r="S1773" t="s">
        <v>7324</v>
      </c>
      <c r="U1773" t="s">
        <v>266</v>
      </c>
      <c r="V1773">
        <v>725</v>
      </c>
      <c r="W1773" t="s">
        <v>7362</v>
      </c>
      <c r="X1773" t="s">
        <v>7366</v>
      </c>
      <c r="Y1773" t="s">
        <v>7386</v>
      </c>
      <c r="Z1773" t="s">
        <v>8771</v>
      </c>
      <c r="AB1773" t="s">
        <v>11491</v>
      </c>
      <c r="AC1773">
        <v>3</v>
      </c>
      <c r="AD1773" t="s">
        <v>12419</v>
      </c>
      <c r="AF1773">
        <v>1</v>
      </c>
      <c r="AG1773">
        <v>1</v>
      </c>
      <c r="AH1773">
        <v>0</v>
      </c>
      <c r="AI1773">
        <v>109.23</v>
      </c>
      <c r="AL1773" t="s">
        <v>12460</v>
      </c>
      <c r="AM1773">
        <v>13260</v>
      </c>
      <c r="AS1773">
        <v>3.1</v>
      </c>
      <c r="AT1773" t="s">
        <v>272</v>
      </c>
      <c r="AU1773" t="s">
        <v>13085</v>
      </c>
    </row>
    <row r="1774" spans="1:48">
      <c r="A1774" s="1">
        <f>HYPERLINK("https://cms.ls-nyc.org/matter/dynamic-profile/view/1889603","19-1889603")</f>
        <v>0</v>
      </c>
      <c r="B1774" t="s">
        <v>136</v>
      </c>
      <c r="C1774" t="s">
        <v>285</v>
      </c>
      <c r="E1774" t="s">
        <v>1506</v>
      </c>
      <c r="F1774" t="s">
        <v>2990</v>
      </c>
      <c r="G1774" t="s">
        <v>4709</v>
      </c>
      <c r="H1774" t="s">
        <v>5357</v>
      </c>
      <c r="I1774" t="s">
        <v>6049</v>
      </c>
      <c r="J1774">
        <v>10035</v>
      </c>
      <c r="K1774" t="s">
        <v>6074</v>
      </c>
      <c r="L1774" t="s">
        <v>6074</v>
      </c>
      <c r="M1774" t="s">
        <v>6823</v>
      </c>
      <c r="N1774" t="s">
        <v>7276</v>
      </c>
      <c r="O1774" t="s">
        <v>7310</v>
      </c>
      <c r="Q1774" t="s">
        <v>7322</v>
      </c>
      <c r="R1774" t="s">
        <v>6076</v>
      </c>
      <c r="S1774" t="s">
        <v>7324</v>
      </c>
      <c r="T1774" t="s">
        <v>7336</v>
      </c>
      <c r="U1774" t="s">
        <v>278</v>
      </c>
      <c r="V1774">
        <v>3600</v>
      </c>
      <c r="W1774" t="s">
        <v>7365</v>
      </c>
      <c r="X1774" t="s">
        <v>7381</v>
      </c>
      <c r="Z1774" t="s">
        <v>8772</v>
      </c>
      <c r="AB1774" t="s">
        <v>11492</v>
      </c>
      <c r="AC1774">
        <v>48</v>
      </c>
      <c r="AD1774" t="s">
        <v>12426</v>
      </c>
      <c r="AE1774" t="s">
        <v>12439</v>
      </c>
      <c r="AF1774">
        <v>12</v>
      </c>
      <c r="AG1774">
        <v>4</v>
      </c>
      <c r="AH1774">
        <v>0</v>
      </c>
      <c r="AI1774">
        <v>109.28</v>
      </c>
      <c r="AL1774" t="s">
        <v>12460</v>
      </c>
      <c r="AM1774">
        <v>28140</v>
      </c>
      <c r="AS1774">
        <v>11.2</v>
      </c>
      <c r="AT1774" t="s">
        <v>381</v>
      </c>
      <c r="AU1774" t="s">
        <v>13079</v>
      </c>
    </row>
    <row r="1775" spans="1:48">
      <c r="A1775" s="1">
        <f>HYPERLINK("https://cms.ls-nyc.org/matter/dynamic-profile/view/1860318","18-1860318")</f>
        <v>0</v>
      </c>
      <c r="B1775" t="s">
        <v>78</v>
      </c>
      <c r="C1775" t="s">
        <v>514</v>
      </c>
      <c r="E1775" t="s">
        <v>784</v>
      </c>
      <c r="F1775" t="s">
        <v>2059</v>
      </c>
      <c r="G1775" t="s">
        <v>3866</v>
      </c>
      <c r="H1775" t="s">
        <v>5387</v>
      </c>
      <c r="I1775" t="s">
        <v>6043</v>
      </c>
      <c r="J1775">
        <v>11206</v>
      </c>
      <c r="K1775" t="s">
        <v>6074</v>
      </c>
      <c r="L1775" t="s">
        <v>6074</v>
      </c>
      <c r="M1775" t="s">
        <v>6824</v>
      </c>
      <c r="N1775" t="s">
        <v>7279</v>
      </c>
      <c r="O1775" t="s">
        <v>7311</v>
      </c>
      <c r="Q1775" t="s">
        <v>7322</v>
      </c>
      <c r="R1775" t="s">
        <v>6074</v>
      </c>
      <c r="S1775" t="s">
        <v>7324</v>
      </c>
      <c r="U1775" t="s">
        <v>7354</v>
      </c>
      <c r="V1775">
        <v>1245</v>
      </c>
      <c r="W1775" t="s">
        <v>7362</v>
      </c>
      <c r="X1775" t="s">
        <v>7375</v>
      </c>
      <c r="Z1775" t="s">
        <v>7642</v>
      </c>
      <c r="AA1775" t="s">
        <v>9895</v>
      </c>
      <c r="AC1775">
        <v>8</v>
      </c>
      <c r="AD1775" t="s">
        <v>12422</v>
      </c>
      <c r="AE1775" t="s">
        <v>12437</v>
      </c>
      <c r="AF1775">
        <v>1</v>
      </c>
      <c r="AG1775">
        <v>2</v>
      </c>
      <c r="AH1775">
        <v>0</v>
      </c>
      <c r="AI1775">
        <v>109.36</v>
      </c>
      <c r="AL1775" t="s">
        <v>12460</v>
      </c>
      <c r="AM1775">
        <v>18000</v>
      </c>
      <c r="AN1775" t="s">
        <v>12532</v>
      </c>
      <c r="AS1775">
        <v>0.1</v>
      </c>
      <c r="AT1775" t="s">
        <v>324</v>
      </c>
      <c r="AU1775" t="s">
        <v>218</v>
      </c>
      <c r="AV1775" t="s">
        <v>13145</v>
      </c>
    </row>
    <row r="1776" spans="1:48">
      <c r="A1776" s="1">
        <f>HYPERLINK("https://cms.ls-nyc.org/matter/dynamic-profile/view/1871413","18-1871413")</f>
        <v>0</v>
      </c>
      <c r="B1776" t="s">
        <v>96</v>
      </c>
      <c r="C1776" t="s">
        <v>342</v>
      </c>
      <c r="E1776" t="s">
        <v>1507</v>
      </c>
      <c r="F1776" t="s">
        <v>1977</v>
      </c>
      <c r="G1776" t="s">
        <v>3772</v>
      </c>
      <c r="H1776" t="s">
        <v>5564</v>
      </c>
      <c r="I1776" t="s">
        <v>6047</v>
      </c>
      <c r="J1776">
        <v>10468</v>
      </c>
      <c r="K1776" t="s">
        <v>6074</v>
      </c>
      <c r="L1776" t="s">
        <v>6074</v>
      </c>
      <c r="N1776" t="s">
        <v>7285</v>
      </c>
      <c r="O1776" t="s">
        <v>7309</v>
      </c>
      <c r="Q1776" t="s">
        <v>7322</v>
      </c>
      <c r="R1776" t="s">
        <v>6074</v>
      </c>
      <c r="S1776" t="s">
        <v>7324</v>
      </c>
      <c r="U1776" t="s">
        <v>502</v>
      </c>
      <c r="V1776">
        <v>1440.08</v>
      </c>
      <c r="W1776" t="s">
        <v>7363</v>
      </c>
      <c r="X1776" t="s">
        <v>7376</v>
      </c>
      <c r="Z1776" t="s">
        <v>8773</v>
      </c>
      <c r="AB1776" t="s">
        <v>11493</v>
      </c>
      <c r="AC1776">
        <v>58</v>
      </c>
      <c r="AD1776" t="s">
        <v>6322</v>
      </c>
      <c r="AE1776" t="s">
        <v>6110</v>
      </c>
      <c r="AF1776">
        <v>2</v>
      </c>
      <c r="AG1776">
        <v>1</v>
      </c>
      <c r="AH1776">
        <v>1</v>
      </c>
      <c r="AI1776">
        <v>109.36</v>
      </c>
      <c r="AL1776" t="s">
        <v>12461</v>
      </c>
      <c r="AM1776">
        <v>18000</v>
      </c>
      <c r="AS1776">
        <v>0.5</v>
      </c>
      <c r="AT1776" t="s">
        <v>342</v>
      </c>
      <c r="AU1776" t="s">
        <v>13092</v>
      </c>
    </row>
    <row r="1777" spans="1:48">
      <c r="A1777" s="1">
        <f>HYPERLINK("https://cms.ls-nyc.org/matter/dynamic-profile/view/1871411","18-1871411")</f>
        <v>0</v>
      </c>
      <c r="B1777" t="s">
        <v>97</v>
      </c>
      <c r="C1777" t="s">
        <v>342</v>
      </c>
      <c r="D1777" t="s">
        <v>472</v>
      </c>
      <c r="E1777" t="s">
        <v>1507</v>
      </c>
      <c r="F1777" t="s">
        <v>1977</v>
      </c>
      <c r="G1777" t="s">
        <v>3772</v>
      </c>
      <c r="H1777" t="s">
        <v>5564</v>
      </c>
      <c r="I1777" t="s">
        <v>6047</v>
      </c>
      <c r="J1777">
        <v>10468</v>
      </c>
      <c r="K1777" t="s">
        <v>6074</v>
      </c>
      <c r="L1777" t="s">
        <v>6074</v>
      </c>
      <c r="N1777" t="s">
        <v>7273</v>
      </c>
      <c r="O1777" t="s">
        <v>7306</v>
      </c>
      <c r="P1777" t="s">
        <v>7314</v>
      </c>
      <c r="Q1777" t="s">
        <v>7322</v>
      </c>
      <c r="R1777" t="s">
        <v>6074</v>
      </c>
      <c r="S1777" t="s">
        <v>7324</v>
      </c>
      <c r="U1777" t="s">
        <v>342</v>
      </c>
      <c r="V1777">
        <v>1440.08</v>
      </c>
      <c r="W1777" t="s">
        <v>7363</v>
      </c>
      <c r="X1777" t="s">
        <v>7376</v>
      </c>
      <c r="Y1777" t="s">
        <v>7386</v>
      </c>
      <c r="Z1777" t="s">
        <v>8773</v>
      </c>
      <c r="AB1777" t="s">
        <v>11493</v>
      </c>
      <c r="AC1777">
        <v>58</v>
      </c>
      <c r="AD1777" t="s">
        <v>6322</v>
      </c>
      <c r="AE1777" t="s">
        <v>6110</v>
      </c>
      <c r="AF1777">
        <v>2</v>
      </c>
      <c r="AG1777">
        <v>1</v>
      </c>
      <c r="AH1777">
        <v>1</v>
      </c>
      <c r="AI1777">
        <v>109.36</v>
      </c>
      <c r="AL1777" t="s">
        <v>12461</v>
      </c>
      <c r="AM1777">
        <v>18000</v>
      </c>
      <c r="AS1777">
        <v>0.7</v>
      </c>
      <c r="AT1777" t="s">
        <v>310</v>
      </c>
      <c r="AU1777" t="s">
        <v>13092</v>
      </c>
    </row>
    <row r="1778" spans="1:48">
      <c r="A1778" s="1">
        <f>HYPERLINK("https://cms.ls-nyc.org/matter/dynamic-profile/view/1876811","18-1876811")</f>
        <v>0</v>
      </c>
      <c r="B1778" t="s">
        <v>101</v>
      </c>
      <c r="C1778" t="s">
        <v>289</v>
      </c>
      <c r="E1778" t="s">
        <v>705</v>
      </c>
      <c r="F1778" t="s">
        <v>2991</v>
      </c>
      <c r="G1778" t="s">
        <v>3939</v>
      </c>
      <c r="H1778" t="s">
        <v>5522</v>
      </c>
      <c r="I1778" t="s">
        <v>6047</v>
      </c>
      <c r="J1778">
        <v>10456</v>
      </c>
      <c r="K1778" t="s">
        <v>6074</v>
      </c>
      <c r="L1778" t="s">
        <v>6074</v>
      </c>
      <c r="M1778" t="s">
        <v>6305</v>
      </c>
      <c r="N1778" t="s">
        <v>7279</v>
      </c>
      <c r="O1778" t="s">
        <v>7311</v>
      </c>
      <c r="Q1778" t="s">
        <v>7322</v>
      </c>
      <c r="R1778" t="s">
        <v>6074</v>
      </c>
      <c r="S1778" t="s">
        <v>7324</v>
      </c>
      <c r="U1778" t="s">
        <v>502</v>
      </c>
      <c r="V1778">
        <v>947.5</v>
      </c>
      <c r="W1778" t="s">
        <v>7363</v>
      </c>
      <c r="X1778" t="s">
        <v>7376</v>
      </c>
      <c r="Z1778" t="s">
        <v>8774</v>
      </c>
      <c r="AB1778" t="s">
        <v>11494</v>
      </c>
      <c r="AC1778">
        <v>131</v>
      </c>
      <c r="AD1778" t="s">
        <v>12422</v>
      </c>
      <c r="AE1778" t="s">
        <v>6110</v>
      </c>
      <c r="AF1778">
        <v>25</v>
      </c>
      <c r="AG1778">
        <v>2</v>
      </c>
      <c r="AH1778">
        <v>0</v>
      </c>
      <c r="AI1778">
        <v>109.36</v>
      </c>
      <c r="AL1778" t="s">
        <v>12460</v>
      </c>
      <c r="AM1778">
        <v>18000</v>
      </c>
      <c r="AS1778">
        <v>0</v>
      </c>
      <c r="AU1778" t="s">
        <v>13095</v>
      </c>
    </row>
    <row r="1779" spans="1:48">
      <c r="A1779" s="1">
        <f>HYPERLINK("https://cms.ls-nyc.org/matter/dynamic-profile/view/1886108","18-1886108")</f>
        <v>0</v>
      </c>
      <c r="B1779" t="s">
        <v>101</v>
      </c>
      <c r="C1779" t="s">
        <v>326</v>
      </c>
      <c r="E1779" t="s">
        <v>705</v>
      </c>
      <c r="F1779" t="s">
        <v>2991</v>
      </c>
      <c r="G1779" t="s">
        <v>3939</v>
      </c>
      <c r="H1779" t="s">
        <v>5522</v>
      </c>
      <c r="I1779" t="s">
        <v>6047</v>
      </c>
      <c r="J1779">
        <v>10456</v>
      </c>
      <c r="K1779" t="s">
        <v>6074</v>
      </c>
      <c r="L1779" t="s">
        <v>6074</v>
      </c>
      <c r="M1779" t="s">
        <v>6303</v>
      </c>
      <c r="N1779" t="s">
        <v>7279</v>
      </c>
      <c r="O1779" t="s">
        <v>7311</v>
      </c>
      <c r="Q1779" t="s">
        <v>7322</v>
      </c>
      <c r="R1779" t="s">
        <v>6074</v>
      </c>
      <c r="S1779" t="s">
        <v>7324</v>
      </c>
      <c r="U1779" t="s">
        <v>472</v>
      </c>
      <c r="V1779">
        <v>947.5</v>
      </c>
      <c r="W1779" t="s">
        <v>7363</v>
      </c>
      <c r="X1779" t="s">
        <v>7376</v>
      </c>
      <c r="Z1779" t="s">
        <v>8774</v>
      </c>
      <c r="AB1779" t="s">
        <v>11494</v>
      </c>
      <c r="AC1779">
        <v>131</v>
      </c>
      <c r="AD1779" t="s">
        <v>12422</v>
      </c>
      <c r="AE1779" t="s">
        <v>6110</v>
      </c>
      <c r="AF1779">
        <v>25</v>
      </c>
      <c r="AG1779">
        <v>2</v>
      </c>
      <c r="AH1779">
        <v>0</v>
      </c>
      <c r="AI1779">
        <v>109.36</v>
      </c>
      <c r="AL1779" t="s">
        <v>12460</v>
      </c>
      <c r="AM1779">
        <v>18000</v>
      </c>
      <c r="AS1779">
        <v>0</v>
      </c>
      <c r="AU1779" t="s">
        <v>13095</v>
      </c>
    </row>
    <row r="1780" spans="1:48">
      <c r="A1780" s="1">
        <f>HYPERLINK("https://cms.ls-nyc.org/matter/dynamic-profile/view/1876810","18-1876810")</f>
        <v>0</v>
      </c>
      <c r="B1780" t="s">
        <v>101</v>
      </c>
      <c r="C1780" t="s">
        <v>289</v>
      </c>
      <c r="E1780" t="s">
        <v>705</v>
      </c>
      <c r="F1780" t="s">
        <v>2991</v>
      </c>
      <c r="G1780" t="s">
        <v>3939</v>
      </c>
      <c r="H1780" t="s">
        <v>5522</v>
      </c>
      <c r="I1780" t="s">
        <v>6047</v>
      </c>
      <c r="J1780">
        <v>10456</v>
      </c>
      <c r="K1780" t="s">
        <v>6074</v>
      </c>
      <c r="L1780" t="s">
        <v>6074</v>
      </c>
      <c r="M1780" t="s">
        <v>6287</v>
      </c>
      <c r="N1780" t="s">
        <v>7273</v>
      </c>
      <c r="O1780" t="s">
        <v>7308</v>
      </c>
      <c r="Q1780" t="s">
        <v>7322</v>
      </c>
      <c r="R1780" t="s">
        <v>6074</v>
      </c>
      <c r="S1780" t="s">
        <v>7324</v>
      </c>
      <c r="U1780" t="s">
        <v>373</v>
      </c>
      <c r="V1780">
        <v>947.5</v>
      </c>
      <c r="W1780" t="s">
        <v>7363</v>
      </c>
      <c r="X1780" t="s">
        <v>7376</v>
      </c>
      <c r="Z1780" t="s">
        <v>8774</v>
      </c>
      <c r="AB1780" t="s">
        <v>11494</v>
      </c>
      <c r="AC1780">
        <v>131</v>
      </c>
      <c r="AD1780" t="s">
        <v>12422</v>
      </c>
      <c r="AE1780" t="s">
        <v>6110</v>
      </c>
      <c r="AF1780">
        <v>25</v>
      </c>
      <c r="AG1780">
        <v>2</v>
      </c>
      <c r="AH1780">
        <v>0</v>
      </c>
      <c r="AI1780">
        <v>109.36</v>
      </c>
      <c r="AL1780" t="s">
        <v>12460</v>
      </c>
      <c r="AM1780">
        <v>18000</v>
      </c>
      <c r="AS1780">
        <v>0</v>
      </c>
      <c r="AU1780" t="s">
        <v>13095</v>
      </c>
    </row>
    <row r="1781" spans="1:48">
      <c r="A1781" s="1">
        <f>HYPERLINK("https://cms.ls-nyc.org/matter/dynamic-profile/view/1885973","18-1885973")</f>
        <v>0</v>
      </c>
      <c r="B1781" t="s">
        <v>120</v>
      </c>
      <c r="C1781" t="s">
        <v>452</v>
      </c>
      <c r="D1781" t="s">
        <v>260</v>
      </c>
      <c r="E1781" t="s">
        <v>705</v>
      </c>
      <c r="F1781" t="s">
        <v>1977</v>
      </c>
      <c r="G1781" t="s">
        <v>4710</v>
      </c>
      <c r="H1781">
        <v>2</v>
      </c>
      <c r="I1781" t="s">
        <v>6048</v>
      </c>
      <c r="J1781">
        <v>10301</v>
      </c>
      <c r="K1781" t="s">
        <v>6074</v>
      </c>
      <c r="L1781" t="s">
        <v>6074</v>
      </c>
      <c r="M1781" t="s">
        <v>6825</v>
      </c>
      <c r="N1781" t="s">
        <v>7274</v>
      </c>
      <c r="O1781" t="s">
        <v>7309</v>
      </c>
      <c r="P1781" t="s">
        <v>7319</v>
      </c>
      <c r="Q1781" t="s">
        <v>7322</v>
      </c>
      <c r="S1781" t="s">
        <v>7324</v>
      </c>
      <c r="T1781" t="s">
        <v>7339</v>
      </c>
      <c r="U1781" t="s">
        <v>452</v>
      </c>
      <c r="V1781">
        <v>1400</v>
      </c>
      <c r="W1781" t="s">
        <v>7364</v>
      </c>
      <c r="Y1781" t="s">
        <v>7399</v>
      </c>
      <c r="Z1781" t="s">
        <v>8775</v>
      </c>
      <c r="AB1781" t="s">
        <v>11495</v>
      </c>
      <c r="AC1781">
        <v>0</v>
      </c>
      <c r="AE1781" t="s">
        <v>12434</v>
      </c>
      <c r="AF1781">
        <v>1</v>
      </c>
      <c r="AG1781">
        <v>1</v>
      </c>
      <c r="AH1781">
        <v>1</v>
      </c>
      <c r="AI1781">
        <v>109.36</v>
      </c>
      <c r="AL1781" t="s">
        <v>12460</v>
      </c>
      <c r="AM1781">
        <v>18000</v>
      </c>
      <c r="AS1781">
        <v>7.2</v>
      </c>
      <c r="AT1781" t="s">
        <v>276</v>
      </c>
      <c r="AU1781" t="s">
        <v>13103</v>
      </c>
    </row>
    <row r="1782" spans="1:48">
      <c r="A1782" s="1">
        <f>HYPERLINK("https://cms.ls-nyc.org/matter/dynamic-profile/view/1887304","19-1887304")</f>
        <v>0</v>
      </c>
      <c r="B1782" t="s">
        <v>128</v>
      </c>
      <c r="C1782" t="s">
        <v>267</v>
      </c>
      <c r="E1782" t="s">
        <v>1508</v>
      </c>
      <c r="F1782" t="s">
        <v>2474</v>
      </c>
      <c r="G1782" t="s">
        <v>4129</v>
      </c>
      <c r="H1782">
        <v>5</v>
      </c>
      <c r="I1782" t="s">
        <v>6049</v>
      </c>
      <c r="J1782">
        <v>10034</v>
      </c>
      <c r="K1782" t="s">
        <v>6074</v>
      </c>
      <c r="L1782" t="s">
        <v>6074</v>
      </c>
      <c r="N1782" t="s">
        <v>7275</v>
      </c>
      <c r="O1782" t="s">
        <v>7309</v>
      </c>
      <c r="Q1782" t="s">
        <v>7322</v>
      </c>
      <c r="R1782" t="s">
        <v>6076</v>
      </c>
      <c r="S1782" t="s">
        <v>7324</v>
      </c>
      <c r="U1782" t="s">
        <v>267</v>
      </c>
      <c r="V1782">
        <v>694.16</v>
      </c>
      <c r="W1782" t="s">
        <v>7365</v>
      </c>
      <c r="X1782" t="s">
        <v>7368</v>
      </c>
      <c r="Z1782" t="s">
        <v>8776</v>
      </c>
      <c r="AB1782" t="s">
        <v>11496</v>
      </c>
      <c r="AC1782">
        <v>25</v>
      </c>
      <c r="AD1782" t="s">
        <v>12422</v>
      </c>
      <c r="AE1782" t="s">
        <v>12441</v>
      </c>
      <c r="AF1782">
        <v>46</v>
      </c>
      <c r="AG1782">
        <v>2</v>
      </c>
      <c r="AH1782">
        <v>0</v>
      </c>
      <c r="AI1782">
        <v>109.36</v>
      </c>
      <c r="AL1782" t="s">
        <v>12460</v>
      </c>
      <c r="AM1782">
        <v>18000</v>
      </c>
      <c r="AS1782">
        <v>17.37</v>
      </c>
      <c r="AT1782" t="s">
        <v>417</v>
      </c>
      <c r="AU1782" t="s">
        <v>13106</v>
      </c>
    </row>
    <row r="1783" spans="1:48">
      <c r="A1783" s="1">
        <f>HYPERLINK("https://cms.ls-nyc.org/matter/dynamic-profile/view/1886359","18-1886359")</f>
        <v>0</v>
      </c>
      <c r="B1783" t="s">
        <v>171</v>
      </c>
      <c r="C1783" t="s">
        <v>443</v>
      </c>
      <c r="D1783" t="s">
        <v>492</v>
      </c>
      <c r="E1783" t="s">
        <v>891</v>
      </c>
      <c r="F1783" t="s">
        <v>2992</v>
      </c>
      <c r="G1783" t="s">
        <v>4711</v>
      </c>
      <c r="H1783" t="s">
        <v>5446</v>
      </c>
      <c r="I1783" t="s">
        <v>6043</v>
      </c>
      <c r="J1783">
        <v>11213</v>
      </c>
      <c r="K1783" t="s">
        <v>6074</v>
      </c>
      <c r="L1783" t="s">
        <v>6074</v>
      </c>
      <c r="M1783" t="s">
        <v>6826</v>
      </c>
      <c r="N1783" t="s">
        <v>7273</v>
      </c>
      <c r="O1783" t="s">
        <v>7307</v>
      </c>
      <c r="P1783" t="s">
        <v>7315</v>
      </c>
      <c r="Q1783" t="s">
        <v>7322</v>
      </c>
      <c r="R1783" t="s">
        <v>6076</v>
      </c>
      <c r="S1783" t="s">
        <v>7324</v>
      </c>
      <c r="U1783" t="s">
        <v>462</v>
      </c>
      <c r="V1783">
        <v>1500</v>
      </c>
      <c r="W1783" t="s">
        <v>7362</v>
      </c>
      <c r="X1783" t="s">
        <v>7375</v>
      </c>
      <c r="Y1783" t="s">
        <v>7386</v>
      </c>
      <c r="Z1783" t="s">
        <v>8777</v>
      </c>
      <c r="AC1783">
        <v>4</v>
      </c>
      <c r="AD1783" t="s">
        <v>12422</v>
      </c>
      <c r="AF1783">
        <v>0</v>
      </c>
      <c r="AG1783">
        <v>1</v>
      </c>
      <c r="AH1783">
        <v>0</v>
      </c>
      <c r="AI1783">
        <v>109.42</v>
      </c>
      <c r="AL1783" t="s">
        <v>12460</v>
      </c>
      <c r="AM1783">
        <v>13284</v>
      </c>
      <c r="AS1783">
        <v>4.2</v>
      </c>
      <c r="AT1783" t="s">
        <v>492</v>
      </c>
      <c r="AU1783" t="s">
        <v>180</v>
      </c>
    </row>
    <row r="1784" spans="1:48">
      <c r="A1784" s="1">
        <f>HYPERLINK("https://cms.ls-nyc.org/matter/dynamic-profile/view/1872469","18-1872469")</f>
        <v>0</v>
      </c>
      <c r="B1784" t="s">
        <v>139</v>
      </c>
      <c r="C1784" t="s">
        <v>376</v>
      </c>
      <c r="D1784" t="s">
        <v>237</v>
      </c>
      <c r="E1784" t="s">
        <v>586</v>
      </c>
      <c r="F1784" t="s">
        <v>2993</v>
      </c>
      <c r="G1784" t="s">
        <v>4712</v>
      </c>
      <c r="H1784" t="s">
        <v>5439</v>
      </c>
      <c r="I1784" t="s">
        <v>6049</v>
      </c>
      <c r="J1784">
        <v>10033</v>
      </c>
      <c r="K1784" t="s">
        <v>6074</v>
      </c>
      <c r="L1784" t="s">
        <v>6074</v>
      </c>
      <c r="M1784" t="s">
        <v>6827</v>
      </c>
      <c r="N1784" t="s">
        <v>7274</v>
      </c>
      <c r="O1784" t="s">
        <v>7306</v>
      </c>
      <c r="P1784" t="s">
        <v>7314</v>
      </c>
      <c r="Q1784" t="s">
        <v>7322</v>
      </c>
      <c r="R1784" t="s">
        <v>6076</v>
      </c>
      <c r="S1784" t="s">
        <v>7324</v>
      </c>
      <c r="U1784" t="s">
        <v>376</v>
      </c>
      <c r="V1784">
        <v>173</v>
      </c>
      <c r="W1784" t="s">
        <v>7365</v>
      </c>
      <c r="X1784" t="s">
        <v>7367</v>
      </c>
      <c r="Y1784" t="s">
        <v>7386</v>
      </c>
      <c r="Z1784" t="s">
        <v>8778</v>
      </c>
      <c r="AC1784">
        <v>35</v>
      </c>
      <c r="AD1784" t="s">
        <v>12420</v>
      </c>
      <c r="AE1784" t="s">
        <v>12434</v>
      </c>
      <c r="AF1784">
        <v>10</v>
      </c>
      <c r="AG1784">
        <v>1</v>
      </c>
      <c r="AH1784">
        <v>0</v>
      </c>
      <c r="AI1784">
        <v>109.42</v>
      </c>
      <c r="AL1784" t="s">
        <v>12461</v>
      </c>
      <c r="AM1784">
        <v>13284</v>
      </c>
      <c r="AS1784">
        <v>2.2</v>
      </c>
      <c r="AT1784" t="s">
        <v>237</v>
      </c>
      <c r="AU1784" t="s">
        <v>13106</v>
      </c>
    </row>
    <row r="1785" spans="1:48">
      <c r="A1785" s="1">
        <f>HYPERLINK("https://cms.ls-nyc.org/matter/dynamic-profile/view/1897803","19-1897803")</f>
        <v>0</v>
      </c>
      <c r="B1785" t="s">
        <v>132</v>
      </c>
      <c r="C1785" t="s">
        <v>263</v>
      </c>
      <c r="E1785" t="s">
        <v>1365</v>
      </c>
      <c r="F1785" t="s">
        <v>2073</v>
      </c>
      <c r="G1785" t="s">
        <v>4713</v>
      </c>
      <c r="H1785" t="s">
        <v>5772</v>
      </c>
      <c r="I1785" t="s">
        <v>6049</v>
      </c>
      <c r="J1785">
        <v>10032</v>
      </c>
      <c r="K1785" t="s">
        <v>6074</v>
      </c>
      <c r="L1785" t="s">
        <v>6074</v>
      </c>
      <c r="N1785" t="s">
        <v>7278</v>
      </c>
      <c r="O1785" t="s">
        <v>7308</v>
      </c>
      <c r="Q1785" t="s">
        <v>7322</v>
      </c>
      <c r="R1785" t="s">
        <v>6076</v>
      </c>
      <c r="S1785" t="s">
        <v>7324</v>
      </c>
      <c r="U1785" t="s">
        <v>263</v>
      </c>
      <c r="V1785">
        <v>370</v>
      </c>
      <c r="W1785" t="s">
        <v>7365</v>
      </c>
      <c r="X1785" t="s">
        <v>7367</v>
      </c>
      <c r="Z1785" t="s">
        <v>8779</v>
      </c>
      <c r="AB1785" t="s">
        <v>11497</v>
      </c>
      <c r="AC1785">
        <v>0</v>
      </c>
      <c r="AD1785" t="s">
        <v>12425</v>
      </c>
      <c r="AE1785" t="s">
        <v>6110</v>
      </c>
      <c r="AF1785">
        <v>9</v>
      </c>
      <c r="AG1785">
        <v>3</v>
      </c>
      <c r="AH1785">
        <v>0</v>
      </c>
      <c r="AI1785">
        <v>109.7</v>
      </c>
      <c r="AL1785" t="s">
        <v>12461</v>
      </c>
      <c r="AM1785">
        <v>23400</v>
      </c>
      <c r="AS1785">
        <v>6.7</v>
      </c>
      <c r="AT1785" t="s">
        <v>564</v>
      </c>
      <c r="AU1785" t="s">
        <v>13106</v>
      </c>
    </row>
    <row r="1786" spans="1:48">
      <c r="A1786" s="1">
        <f>HYPERLINK("https://cms.ls-nyc.org/matter/dynamic-profile/view/1874181","18-1874181")</f>
        <v>0</v>
      </c>
      <c r="B1786" t="s">
        <v>204</v>
      </c>
      <c r="C1786" t="s">
        <v>384</v>
      </c>
      <c r="D1786" t="s">
        <v>360</v>
      </c>
      <c r="E1786" t="s">
        <v>765</v>
      </c>
      <c r="F1786" t="s">
        <v>2994</v>
      </c>
      <c r="G1786" t="s">
        <v>4714</v>
      </c>
      <c r="H1786" t="s">
        <v>5447</v>
      </c>
      <c r="I1786" t="s">
        <v>6047</v>
      </c>
      <c r="J1786">
        <v>10459</v>
      </c>
      <c r="K1786" t="s">
        <v>6074</v>
      </c>
      <c r="L1786" t="s">
        <v>6074</v>
      </c>
      <c r="N1786" t="s">
        <v>7278</v>
      </c>
      <c r="O1786" t="s">
        <v>7307</v>
      </c>
      <c r="P1786" t="s">
        <v>7314</v>
      </c>
      <c r="Q1786" t="s">
        <v>7322</v>
      </c>
      <c r="R1786" t="s">
        <v>6076</v>
      </c>
      <c r="S1786" t="s">
        <v>7324</v>
      </c>
      <c r="U1786" t="s">
        <v>346</v>
      </c>
      <c r="V1786">
        <v>880</v>
      </c>
      <c r="W1786" t="s">
        <v>7363</v>
      </c>
      <c r="X1786" t="s">
        <v>7376</v>
      </c>
      <c r="Y1786" t="s">
        <v>7386</v>
      </c>
      <c r="Z1786" t="s">
        <v>8780</v>
      </c>
      <c r="AC1786">
        <v>0</v>
      </c>
      <c r="AD1786" t="s">
        <v>12422</v>
      </c>
      <c r="AF1786">
        <v>36</v>
      </c>
      <c r="AG1786">
        <v>2</v>
      </c>
      <c r="AH1786">
        <v>1</v>
      </c>
      <c r="AI1786">
        <v>109.72</v>
      </c>
      <c r="AL1786" t="s">
        <v>12461</v>
      </c>
      <c r="AM1786">
        <v>22800</v>
      </c>
      <c r="AS1786">
        <v>0.2</v>
      </c>
      <c r="AT1786" t="s">
        <v>346</v>
      </c>
      <c r="AU1786" t="s">
        <v>204</v>
      </c>
    </row>
    <row r="1787" spans="1:48">
      <c r="A1787" s="1">
        <f>HYPERLINK("https://cms.ls-nyc.org/matter/dynamic-profile/view/1896760","19-1896760")</f>
        <v>0</v>
      </c>
      <c r="B1787" t="s">
        <v>80</v>
      </c>
      <c r="C1787" t="s">
        <v>459</v>
      </c>
      <c r="E1787" t="s">
        <v>1002</v>
      </c>
      <c r="F1787" t="s">
        <v>2995</v>
      </c>
      <c r="G1787" t="s">
        <v>4147</v>
      </c>
      <c r="H1787" t="s">
        <v>5376</v>
      </c>
      <c r="I1787" t="s">
        <v>6043</v>
      </c>
      <c r="J1787">
        <v>11213</v>
      </c>
      <c r="K1787" t="s">
        <v>6074</v>
      </c>
      <c r="L1787" t="s">
        <v>6076</v>
      </c>
      <c r="M1787" t="s">
        <v>6439</v>
      </c>
      <c r="N1787" t="s">
        <v>7279</v>
      </c>
      <c r="O1787" t="s">
        <v>7311</v>
      </c>
      <c r="Q1787" t="s">
        <v>7322</v>
      </c>
      <c r="R1787" t="s">
        <v>6074</v>
      </c>
      <c r="S1787" t="s">
        <v>7324</v>
      </c>
      <c r="U1787" t="s">
        <v>337</v>
      </c>
      <c r="V1787">
        <v>719</v>
      </c>
      <c r="W1787" t="s">
        <v>7362</v>
      </c>
      <c r="X1787" t="s">
        <v>7376</v>
      </c>
      <c r="Z1787" t="s">
        <v>8781</v>
      </c>
      <c r="AB1787" t="s">
        <v>11498</v>
      </c>
      <c r="AC1787">
        <v>6</v>
      </c>
      <c r="AD1787" t="s">
        <v>12422</v>
      </c>
      <c r="AE1787" t="s">
        <v>6110</v>
      </c>
      <c r="AF1787">
        <v>22</v>
      </c>
      <c r="AG1787">
        <v>5</v>
      </c>
      <c r="AH1787">
        <v>1</v>
      </c>
      <c r="AI1787">
        <v>109.86</v>
      </c>
      <c r="AL1787" t="s">
        <v>12460</v>
      </c>
      <c r="AM1787">
        <v>38000</v>
      </c>
      <c r="AN1787" t="s">
        <v>12646</v>
      </c>
      <c r="AS1787">
        <v>0</v>
      </c>
      <c r="AU1787" t="s">
        <v>180</v>
      </c>
    </row>
    <row r="1788" spans="1:48">
      <c r="A1788" s="1">
        <f>HYPERLINK("https://cms.ls-nyc.org/matter/dynamic-profile/view/1896764","19-1896764")</f>
        <v>0</v>
      </c>
      <c r="B1788" t="s">
        <v>80</v>
      </c>
      <c r="C1788" t="s">
        <v>459</v>
      </c>
      <c r="E1788" t="s">
        <v>1002</v>
      </c>
      <c r="F1788" t="s">
        <v>2995</v>
      </c>
      <c r="G1788" t="s">
        <v>4147</v>
      </c>
      <c r="H1788" t="s">
        <v>5376</v>
      </c>
      <c r="I1788" t="s">
        <v>6043</v>
      </c>
      <c r="J1788">
        <v>11213</v>
      </c>
      <c r="K1788" t="s">
        <v>6074</v>
      </c>
      <c r="L1788" t="s">
        <v>6076</v>
      </c>
      <c r="M1788" t="s">
        <v>6440</v>
      </c>
      <c r="N1788" t="s">
        <v>7273</v>
      </c>
      <c r="O1788" t="s">
        <v>7308</v>
      </c>
      <c r="Q1788" t="s">
        <v>7322</v>
      </c>
      <c r="R1788" t="s">
        <v>6074</v>
      </c>
      <c r="S1788" t="s">
        <v>7324</v>
      </c>
      <c r="U1788" t="s">
        <v>337</v>
      </c>
      <c r="V1788">
        <v>719</v>
      </c>
      <c r="W1788" t="s">
        <v>7362</v>
      </c>
      <c r="X1788" t="s">
        <v>7376</v>
      </c>
      <c r="Z1788" t="s">
        <v>8781</v>
      </c>
      <c r="AB1788" t="s">
        <v>11498</v>
      </c>
      <c r="AC1788">
        <v>6</v>
      </c>
      <c r="AD1788" t="s">
        <v>12422</v>
      </c>
      <c r="AE1788" t="s">
        <v>6110</v>
      </c>
      <c r="AF1788">
        <v>22</v>
      </c>
      <c r="AG1788">
        <v>5</v>
      </c>
      <c r="AH1788">
        <v>1</v>
      </c>
      <c r="AI1788">
        <v>109.86</v>
      </c>
      <c r="AL1788" t="s">
        <v>12460</v>
      </c>
      <c r="AM1788">
        <v>38000</v>
      </c>
      <c r="AN1788" t="s">
        <v>12647</v>
      </c>
      <c r="AS1788">
        <v>0</v>
      </c>
      <c r="AU1788" t="s">
        <v>180</v>
      </c>
    </row>
    <row r="1789" spans="1:48">
      <c r="A1789" s="1">
        <f>HYPERLINK("https://cms.ls-nyc.org/matter/dynamic-profile/view/1896750","19-1896750")</f>
        <v>0</v>
      </c>
      <c r="B1789" t="s">
        <v>80</v>
      </c>
      <c r="C1789" t="s">
        <v>459</v>
      </c>
      <c r="E1789" t="s">
        <v>1002</v>
      </c>
      <c r="F1789" t="s">
        <v>2995</v>
      </c>
      <c r="G1789" t="s">
        <v>4147</v>
      </c>
      <c r="H1789" t="s">
        <v>5376</v>
      </c>
      <c r="I1789" t="s">
        <v>6043</v>
      </c>
      <c r="J1789">
        <v>11213</v>
      </c>
      <c r="K1789" t="s">
        <v>6074</v>
      </c>
      <c r="L1789" t="s">
        <v>6076</v>
      </c>
      <c r="M1789" t="s">
        <v>6104</v>
      </c>
      <c r="N1789" t="s">
        <v>7275</v>
      </c>
      <c r="O1789" t="s">
        <v>7307</v>
      </c>
      <c r="Q1789" t="s">
        <v>7322</v>
      </c>
      <c r="R1789" t="s">
        <v>6074</v>
      </c>
      <c r="S1789" t="s">
        <v>7324</v>
      </c>
      <c r="U1789" t="s">
        <v>305</v>
      </c>
      <c r="V1789">
        <v>719</v>
      </c>
      <c r="W1789" t="s">
        <v>7362</v>
      </c>
      <c r="X1789" t="s">
        <v>7376</v>
      </c>
      <c r="Z1789" t="s">
        <v>8781</v>
      </c>
      <c r="AB1789" t="s">
        <v>11498</v>
      </c>
      <c r="AC1789">
        <v>6</v>
      </c>
      <c r="AD1789" t="s">
        <v>12422</v>
      </c>
      <c r="AE1789" t="s">
        <v>6110</v>
      </c>
      <c r="AF1789">
        <v>22</v>
      </c>
      <c r="AG1789">
        <v>5</v>
      </c>
      <c r="AH1789">
        <v>1</v>
      </c>
      <c r="AI1789">
        <v>109.86</v>
      </c>
      <c r="AL1789" t="s">
        <v>12460</v>
      </c>
      <c r="AM1789">
        <v>38000</v>
      </c>
      <c r="AS1789">
        <v>0</v>
      </c>
      <c r="AU1789" t="s">
        <v>180</v>
      </c>
      <c r="AV1789" t="s">
        <v>6110</v>
      </c>
    </row>
    <row r="1790" spans="1:48">
      <c r="A1790" s="1">
        <f>HYPERLINK("https://cms.ls-nyc.org/matter/dynamic-profile/view/1896757","19-1896757")</f>
        <v>0</v>
      </c>
      <c r="B1790" t="s">
        <v>80</v>
      </c>
      <c r="C1790" t="s">
        <v>459</v>
      </c>
      <c r="E1790" t="s">
        <v>1002</v>
      </c>
      <c r="F1790" t="s">
        <v>2995</v>
      </c>
      <c r="G1790" t="s">
        <v>4147</v>
      </c>
      <c r="H1790" t="s">
        <v>5376</v>
      </c>
      <c r="I1790" t="s">
        <v>6043</v>
      </c>
      <c r="J1790">
        <v>11213</v>
      </c>
      <c r="K1790" t="s">
        <v>6074</v>
      </c>
      <c r="L1790" t="s">
        <v>6076</v>
      </c>
      <c r="N1790" t="s">
        <v>7275</v>
      </c>
      <c r="O1790" t="s">
        <v>7307</v>
      </c>
      <c r="Q1790" t="s">
        <v>7322</v>
      </c>
      <c r="R1790" t="s">
        <v>6074</v>
      </c>
      <c r="S1790" t="s">
        <v>7324</v>
      </c>
      <c r="U1790" t="s">
        <v>322</v>
      </c>
      <c r="V1790">
        <v>719</v>
      </c>
      <c r="W1790" t="s">
        <v>7362</v>
      </c>
      <c r="X1790" t="s">
        <v>7376</v>
      </c>
      <c r="Z1790" t="s">
        <v>8781</v>
      </c>
      <c r="AB1790" t="s">
        <v>11498</v>
      </c>
      <c r="AC1790">
        <v>6</v>
      </c>
      <c r="AD1790" t="s">
        <v>12422</v>
      </c>
      <c r="AE1790" t="s">
        <v>6110</v>
      </c>
      <c r="AF1790">
        <v>22</v>
      </c>
      <c r="AG1790">
        <v>5</v>
      </c>
      <c r="AH1790">
        <v>1</v>
      </c>
      <c r="AI1790">
        <v>109.86</v>
      </c>
      <c r="AL1790" t="s">
        <v>12460</v>
      </c>
      <c r="AM1790">
        <v>38000</v>
      </c>
      <c r="AN1790" t="s">
        <v>12646</v>
      </c>
      <c r="AS1790">
        <v>0</v>
      </c>
      <c r="AU1790" t="s">
        <v>180</v>
      </c>
    </row>
    <row r="1791" spans="1:48">
      <c r="A1791" s="1">
        <f>HYPERLINK("https://cms.ls-nyc.org/matter/dynamic-profile/view/1895557","19-1895557")</f>
        <v>0</v>
      </c>
      <c r="B1791" t="s">
        <v>83</v>
      </c>
      <c r="C1791" t="s">
        <v>457</v>
      </c>
      <c r="E1791" t="s">
        <v>808</v>
      </c>
      <c r="F1791" t="s">
        <v>1344</v>
      </c>
      <c r="G1791" t="s">
        <v>4715</v>
      </c>
      <c r="H1791" t="s">
        <v>5691</v>
      </c>
      <c r="I1791" t="s">
        <v>6043</v>
      </c>
      <c r="J1791">
        <v>11203</v>
      </c>
      <c r="K1791" t="s">
        <v>6074</v>
      </c>
      <c r="L1791" t="s">
        <v>6074</v>
      </c>
      <c r="M1791" t="s">
        <v>6828</v>
      </c>
      <c r="N1791" t="s">
        <v>7274</v>
      </c>
      <c r="O1791" t="s">
        <v>7308</v>
      </c>
      <c r="Q1791" t="s">
        <v>7322</v>
      </c>
      <c r="R1791" t="s">
        <v>6076</v>
      </c>
      <c r="S1791" t="s">
        <v>7324</v>
      </c>
      <c r="T1791" t="s">
        <v>7341</v>
      </c>
      <c r="U1791" t="s">
        <v>457</v>
      </c>
      <c r="V1791">
        <v>921</v>
      </c>
      <c r="W1791" t="s">
        <v>7362</v>
      </c>
      <c r="Z1791" t="s">
        <v>7541</v>
      </c>
      <c r="AB1791" t="s">
        <v>11499</v>
      </c>
      <c r="AC1791">
        <v>90</v>
      </c>
      <c r="AD1791" t="s">
        <v>12422</v>
      </c>
      <c r="AF1791">
        <v>7</v>
      </c>
      <c r="AG1791">
        <v>1</v>
      </c>
      <c r="AH1791">
        <v>0</v>
      </c>
      <c r="AI1791">
        <v>110.02</v>
      </c>
      <c r="AL1791" t="s">
        <v>12460</v>
      </c>
      <c r="AM1791">
        <v>13741</v>
      </c>
      <c r="AO1791" t="s">
        <v>12847</v>
      </c>
      <c r="AS1791">
        <v>57.2</v>
      </c>
      <c r="AT1791" t="s">
        <v>460</v>
      </c>
      <c r="AU1791" t="s">
        <v>69</v>
      </c>
    </row>
    <row r="1792" spans="1:48">
      <c r="A1792" s="1">
        <f>HYPERLINK("https://cms.ls-nyc.org/matter/dynamic-profile/view/1885393","18-1885393")</f>
        <v>0</v>
      </c>
      <c r="B1792" t="s">
        <v>76</v>
      </c>
      <c r="C1792" t="s">
        <v>250</v>
      </c>
      <c r="E1792" t="s">
        <v>1509</v>
      </c>
      <c r="F1792" t="s">
        <v>2996</v>
      </c>
      <c r="G1792" t="s">
        <v>4716</v>
      </c>
      <c r="H1792">
        <v>2</v>
      </c>
      <c r="I1792" t="s">
        <v>6043</v>
      </c>
      <c r="J1792">
        <v>11233</v>
      </c>
      <c r="K1792" t="s">
        <v>6074</v>
      </c>
      <c r="L1792" t="s">
        <v>6074</v>
      </c>
      <c r="M1792" t="s">
        <v>6829</v>
      </c>
      <c r="N1792" t="s">
        <v>7274</v>
      </c>
      <c r="O1792" t="s">
        <v>7310</v>
      </c>
      <c r="Q1792" t="s">
        <v>7322</v>
      </c>
      <c r="R1792" t="s">
        <v>6076</v>
      </c>
      <c r="S1792" t="s">
        <v>7324</v>
      </c>
      <c r="T1792" t="s">
        <v>7336</v>
      </c>
      <c r="U1792" t="s">
        <v>337</v>
      </c>
      <c r="V1792">
        <v>0</v>
      </c>
      <c r="W1792" t="s">
        <v>7362</v>
      </c>
      <c r="X1792" t="s">
        <v>7366</v>
      </c>
      <c r="Z1792" t="s">
        <v>8782</v>
      </c>
      <c r="AA1792" t="s">
        <v>10197</v>
      </c>
      <c r="AB1792" t="s">
        <v>11500</v>
      </c>
      <c r="AC1792">
        <v>2</v>
      </c>
      <c r="AD1792" t="s">
        <v>12419</v>
      </c>
      <c r="AE1792" t="s">
        <v>6110</v>
      </c>
      <c r="AF1792">
        <v>5</v>
      </c>
      <c r="AG1792">
        <v>1</v>
      </c>
      <c r="AH1792">
        <v>1</v>
      </c>
      <c r="AI1792">
        <v>110.57</v>
      </c>
      <c r="AM1792">
        <v>18200</v>
      </c>
      <c r="AS1792">
        <v>4.3</v>
      </c>
      <c r="AT1792" t="s">
        <v>278</v>
      </c>
      <c r="AU1792" t="s">
        <v>13082</v>
      </c>
    </row>
    <row r="1793" spans="1:48">
      <c r="A1793" s="1">
        <f>HYPERLINK("https://cms.ls-nyc.org/matter/dynamic-profile/view/1885656","18-1885656")</f>
        <v>0</v>
      </c>
      <c r="B1793" t="s">
        <v>115</v>
      </c>
      <c r="C1793" t="s">
        <v>266</v>
      </c>
      <c r="E1793" t="s">
        <v>1510</v>
      </c>
      <c r="F1793" t="s">
        <v>2079</v>
      </c>
      <c r="G1793" t="s">
        <v>4132</v>
      </c>
      <c r="H1793" t="s">
        <v>5373</v>
      </c>
      <c r="I1793" t="s">
        <v>6047</v>
      </c>
      <c r="J1793">
        <v>10463</v>
      </c>
      <c r="K1793" t="s">
        <v>6074</v>
      </c>
      <c r="L1793" t="s">
        <v>6074</v>
      </c>
      <c r="M1793" t="s">
        <v>6566</v>
      </c>
      <c r="N1793" t="s">
        <v>7273</v>
      </c>
      <c r="O1793" t="s">
        <v>7308</v>
      </c>
      <c r="Q1793" t="s">
        <v>7322</v>
      </c>
      <c r="R1793" t="s">
        <v>6074</v>
      </c>
      <c r="S1793" t="s">
        <v>7324</v>
      </c>
      <c r="U1793" t="s">
        <v>472</v>
      </c>
      <c r="V1793">
        <v>1250</v>
      </c>
      <c r="W1793" t="s">
        <v>7363</v>
      </c>
      <c r="X1793" t="s">
        <v>7376</v>
      </c>
      <c r="Z1793" t="s">
        <v>8783</v>
      </c>
      <c r="AB1793" t="s">
        <v>11501</v>
      </c>
      <c r="AC1793">
        <v>55</v>
      </c>
      <c r="AD1793" t="s">
        <v>12422</v>
      </c>
      <c r="AE1793" t="s">
        <v>6110</v>
      </c>
      <c r="AF1793">
        <v>1</v>
      </c>
      <c r="AG1793">
        <v>1</v>
      </c>
      <c r="AH1793">
        <v>1</v>
      </c>
      <c r="AI1793">
        <v>110.57</v>
      </c>
      <c r="AL1793" t="s">
        <v>12461</v>
      </c>
      <c r="AM1793">
        <v>18200</v>
      </c>
      <c r="AS1793">
        <v>0</v>
      </c>
      <c r="AU1793" t="s">
        <v>13099</v>
      </c>
    </row>
    <row r="1794" spans="1:48">
      <c r="A1794" s="1">
        <f>HYPERLINK("https://cms.ls-nyc.org/matter/dynamic-profile/view/1883104","18-1883104")</f>
        <v>0</v>
      </c>
      <c r="B1794" t="s">
        <v>113</v>
      </c>
      <c r="C1794" t="s">
        <v>331</v>
      </c>
      <c r="E1794" t="s">
        <v>1071</v>
      </c>
      <c r="F1794" t="s">
        <v>2207</v>
      </c>
      <c r="G1794" t="s">
        <v>4717</v>
      </c>
      <c r="H1794" t="s">
        <v>5465</v>
      </c>
      <c r="I1794" t="s">
        <v>6047</v>
      </c>
      <c r="J1794">
        <v>10455</v>
      </c>
      <c r="K1794" t="s">
        <v>6074</v>
      </c>
      <c r="L1794" t="s">
        <v>6074</v>
      </c>
      <c r="M1794" t="s">
        <v>6830</v>
      </c>
      <c r="N1794" t="s">
        <v>7276</v>
      </c>
      <c r="O1794" t="s">
        <v>7308</v>
      </c>
      <c r="Q1794" t="s">
        <v>7322</v>
      </c>
      <c r="R1794" t="s">
        <v>6076</v>
      </c>
      <c r="S1794" t="s">
        <v>7324</v>
      </c>
      <c r="U1794" t="s">
        <v>331</v>
      </c>
      <c r="V1794">
        <v>1360</v>
      </c>
      <c r="W1794" t="s">
        <v>7363</v>
      </c>
      <c r="X1794" t="s">
        <v>7305</v>
      </c>
      <c r="Z1794" t="s">
        <v>8784</v>
      </c>
      <c r="AA1794" t="s">
        <v>10198</v>
      </c>
      <c r="AC1794">
        <v>16</v>
      </c>
      <c r="AD1794" t="s">
        <v>6322</v>
      </c>
      <c r="AE1794" t="s">
        <v>6110</v>
      </c>
      <c r="AF1794">
        <v>2</v>
      </c>
      <c r="AG1794">
        <v>1</v>
      </c>
      <c r="AH1794">
        <v>1</v>
      </c>
      <c r="AI1794">
        <v>110.57</v>
      </c>
      <c r="AL1794" t="s">
        <v>12461</v>
      </c>
      <c r="AM1794">
        <v>18200</v>
      </c>
      <c r="AS1794">
        <v>25.1</v>
      </c>
      <c r="AT1794" t="s">
        <v>386</v>
      </c>
      <c r="AU1794" t="s">
        <v>13095</v>
      </c>
    </row>
    <row r="1795" spans="1:48">
      <c r="A1795" s="1">
        <f>HYPERLINK("https://cms.ls-nyc.org/matter/dynamic-profile/view/1883362","18-1883362")</f>
        <v>0</v>
      </c>
      <c r="B1795" t="s">
        <v>109</v>
      </c>
      <c r="C1795" t="s">
        <v>403</v>
      </c>
      <c r="D1795" t="s">
        <v>305</v>
      </c>
      <c r="E1795" t="s">
        <v>599</v>
      </c>
      <c r="F1795" t="s">
        <v>2997</v>
      </c>
      <c r="G1795" t="s">
        <v>4718</v>
      </c>
      <c r="H1795" t="s">
        <v>5390</v>
      </c>
      <c r="I1795" t="s">
        <v>6047</v>
      </c>
      <c r="J1795">
        <v>10452</v>
      </c>
      <c r="K1795" t="s">
        <v>6074</v>
      </c>
      <c r="L1795" t="s">
        <v>6074</v>
      </c>
      <c r="M1795" t="s">
        <v>6104</v>
      </c>
      <c r="N1795" t="s">
        <v>7278</v>
      </c>
      <c r="O1795" t="s">
        <v>7306</v>
      </c>
      <c r="P1795" t="s">
        <v>7314</v>
      </c>
      <c r="Q1795" t="s">
        <v>7322</v>
      </c>
      <c r="R1795" t="s">
        <v>6076</v>
      </c>
      <c r="S1795" t="s">
        <v>7324</v>
      </c>
      <c r="U1795" t="s">
        <v>403</v>
      </c>
      <c r="V1795">
        <v>900</v>
      </c>
      <c r="W1795" t="s">
        <v>7363</v>
      </c>
      <c r="X1795" t="s">
        <v>7376</v>
      </c>
      <c r="Y1795" t="s">
        <v>7386</v>
      </c>
      <c r="Z1795" t="s">
        <v>8785</v>
      </c>
      <c r="AB1795" t="s">
        <v>11502</v>
      </c>
      <c r="AC1795">
        <v>0</v>
      </c>
      <c r="AD1795" t="s">
        <v>12425</v>
      </c>
      <c r="AE1795" t="s">
        <v>6110</v>
      </c>
      <c r="AF1795">
        <v>12</v>
      </c>
      <c r="AG1795">
        <v>1</v>
      </c>
      <c r="AH1795">
        <v>1</v>
      </c>
      <c r="AI1795">
        <v>110.57</v>
      </c>
      <c r="AL1795" t="s">
        <v>12461</v>
      </c>
      <c r="AM1795">
        <v>18200</v>
      </c>
      <c r="AS1795">
        <v>1</v>
      </c>
      <c r="AT1795" t="s">
        <v>331</v>
      </c>
      <c r="AU1795" t="s">
        <v>13092</v>
      </c>
    </row>
    <row r="1796" spans="1:48">
      <c r="A1796" s="1">
        <f>HYPERLINK("https://cms.ls-nyc.org/matter/dynamic-profile/view/1877225","18-1877225")</f>
        <v>0</v>
      </c>
      <c r="B1796" t="s">
        <v>103</v>
      </c>
      <c r="C1796" t="s">
        <v>273</v>
      </c>
      <c r="E1796" t="s">
        <v>1511</v>
      </c>
      <c r="F1796" t="s">
        <v>2587</v>
      </c>
      <c r="G1796" t="s">
        <v>4719</v>
      </c>
      <c r="H1796" t="s">
        <v>5372</v>
      </c>
      <c r="I1796" t="s">
        <v>6047</v>
      </c>
      <c r="J1796">
        <v>10460</v>
      </c>
      <c r="K1796" t="s">
        <v>6074</v>
      </c>
      <c r="L1796" t="s">
        <v>6074</v>
      </c>
      <c r="M1796" t="s">
        <v>6831</v>
      </c>
      <c r="N1796" t="s">
        <v>7276</v>
      </c>
      <c r="O1796" t="s">
        <v>7308</v>
      </c>
      <c r="Q1796" t="s">
        <v>7322</v>
      </c>
      <c r="R1796" t="s">
        <v>6076</v>
      </c>
      <c r="S1796" t="s">
        <v>7324</v>
      </c>
      <c r="U1796" t="s">
        <v>373</v>
      </c>
      <c r="V1796">
        <v>1025</v>
      </c>
      <c r="W1796" t="s">
        <v>7363</v>
      </c>
      <c r="Z1796" t="s">
        <v>8786</v>
      </c>
      <c r="AB1796" t="s">
        <v>11503</v>
      </c>
      <c r="AC1796">
        <v>10</v>
      </c>
      <c r="AD1796" t="s">
        <v>12422</v>
      </c>
      <c r="AE1796" t="s">
        <v>12441</v>
      </c>
      <c r="AF1796">
        <v>0</v>
      </c>
      <c r="AG1796">
        <v>2</v>
      </c>
      <c r="AH1796">
        <v>0</v>
      </c>
      <c r="AI1796">
        <v>110.74</v>
      </c>
      <c r="AL1796" t="s">
        <v>12460</v>
      </c>
      <c r="AM1796">
        <v>18228</v>
      </c>
      <c r="AN1796" t="s">
        <v>12521</v>
      </c>
      <c r="AS1796">
        <v>12.9</v>
      </c>
      <c r="AT1796" t="s">
        <v>445</v>
      </c>
      <c r="AU1796" t="s">
        <v>13092</v>
      </c>
    </row>
    <row r="1797" spans="1:48">
      <c r="A1797" s="1">
        <f>HYPERLINK("https://cms.ls-nyc.org/matter/dynamic-profile/view/1860309","18-1860309")</f>
        <v>0</v>
      </c>
      <c r="B1797" t="s">
        <v>92</v>
      </c>
      <c r="C1797" t="s">
        <v>514</v>
      </c>
      <c r="D1797" t="s">
        <v>324</v>
      </c>
      <c r="E1797" t="s">
        <v>784</v>
      </c>
      <c r="F1797" t="s">
        <v>2059</v>
      </c>
      <c r="G1797" t="s">
        <v>3866</v>
      </c>
      <c r="H1797" t="s">
        <v>5387</v>
      </c>
      <c r="I1797" t="s">
        <v>6043</v>
      </c>
      <c r="J1797">
        <v>11206</v>
      </c>
      <c r="K1797" t="s">
        <v>6074</v>
      </c>
      <c r="L1797" t="s">
        <v>6074</v>
      </c>
      <c r="M1797" t="s">
        <v>6832</v>
      </c>
      <c r="N1797" t="s">
        <v>7273</v>
      </c>
      <c r="O1797" t="s">
        <v>7308</v>
      </c>
      <c r="P1797" t="s">
        <v>7316</v>
      </c>
      <c r="Q1797" t="s">
        <v>7322</v>
      </c>
      <c r="R1797" t="s">
        <v>6074</v>
      </c>
      <c r="S1797" t="s">
        <v>7324</v>
      </c>
      <c r="U1797" t="s">
        <v>7354</v>
      </c>
      <c r="V1797">
        <v>1245</v>
      </c>
      <c r="W1797" t="s">
        <v>7362</v>
      </c>
      <c r="X1797" t="s">
        <v>7375</v>
      </c>
      <c r="Y1797" t="s">
        <v>7394</v>
      </c>
      <c r="Z1797" t="s">
        <v>7642</v>
      </c>
      <c r="AA1797" t="s">
        <v>9895</v>
      </c>
      <c r="AC1797">
        <v>8</v>
      </c>
      <c r="AD1797" t="s">
        <v>12422</v>
      </c>
      <c r="AE1797" t="s">
        <v>12437</v>
      </c>
      <c r="AF1797">
        <v>1</v>
      </c>
      <c r="AG1797">
        <v>2</v>
      </c>
      <c r="AH1797">
        <v>0</v>
      </c>
      <c r="AI1797">
        <v>110.84</v>
      </c>
      <c r="AL1797" t="s">
        <v>12460</v>
      </c>
      <c r="AM1797">
        <v>18000</v>
      </c>
      <c r="AN1797" t="s">
        <v>12532</v>
      </c>
      <c r="AP1797" t="s">
        <v>12894</v>
      </c>
      <c r="AS1797">
        <v>3.2</v>
      </c>
      <c r="AT1797" t="s">
        <v>382</v>
      </c>
      <c r="AU1797" t="s">
        <v>218</v>
      </c>
      <c r="AV1797" t="s">
        <v>13145</v>
      </c>
    </row>
    <row r="1798" spans="1:48">
      <c r="A1798" s="1">
        <f>HYPERLINK("https://cms.ls-nyc.org/matter/dynamic-profile/view/1874714","18-1874714")</f>
        <v>0</v>
      </c>
      <c r="B1798" t="s">
        <v>128</v>
      </c>
      <c r="C1798" t="s">
        <v>378</v>
      </c>
      <c r="D1798" t="s">
        <v>561</v>
      </c>
      <c r="E1798" t="s">
        <v>1063</v>
      </c>
      <c r="F1798" t="s">
        <v>2522</v>
      </c>
      <c r="G1798" t="s">
        <v>4129</v>
      </c>
      <c r="H1798">
        <v>2</v>
      </c>
      <c r="I1798" t="s">
        <v>6049</v>
      </c>
      <c r="J1798">
        <v>10034</v>
      </c>
      <c r="K1798" t="s">
        <v>6074</v>
      </c>
      <c r="L1798" t="s">
        <v>6074</v>
      </c>
      <c r="N1798" t="s">
        <v>7283</v>
      </c>
      <c r="O1798" t="s">
        <v>7307</v>
      </c>
      <c r="P1798" t="s">
        <v>7315</v>
      </c>
      <c r="Q1798" t="s">
        <v>7322</v>
      </c>
      <c r="R1798" t="s">
        <v>6076</v>
      </c>
      <c r="S1798" t="s">
        <v>7324</v>
      </c>
      <c r="U1798" t="s">
        <v>378</v>
      </c>
      <c r="V1798">
        <v>817.5700000000001</v>
      </c>
      <c r="W1798" t="s">
        <v>7365</v>
      </c>
      <c r="X1798" t="s">
        <v>7368</v>
      </c>
      <c r="Y1798" t="s">
        <v>7390</v>
      </c>
      <c r="Z1798" t="s">
        <v>8011</v>
      </c>
      <c r="AA1798" t="s">
        <v>10199</v>
      </c>
      <c r="AB1798" t="s">
        <v>10809</v>
      </c>
      <c r="AC1798">
        <v>25</v>
      </c>
      <c r="AD1798" t="s">
        <v>12422</v>
      </c>
      <c r="AE1798" t="s">
        <v>12441</v>
      </c>
      <c r="AF1798">
        <v>12</v>
      </c>
      <c r="AG1798">
        <v>1</v>
      </c>
      <c r="AH1798">
        <v>1</v>
      </c>
      <c r="AI1798">
        <v>111.26</v>
      </c>
      <c r="AL1798" t="s">
        <v>12461</v>
      </c>
      <c r="AM1798">
        <v>18312.78</v>
      </c>
      <c r="AS1798">
        <v>2.5</v>
      </c>
      <c r="AT1798" t="s">
        <v>561</v>
      </c>
      <c r="AU1798" t="s">
        <v>13106</v>
      </c>
    </row>
    <row r="1799" spans="1:48">
      <c r="A1799" s="1">
        <f>HYPERLINK("https://cms.ls-nyc.org/matter/dynamic-profile/view/1883424","18-1883424")</f>
        <v>0</v>
      </c>
      <c r="B1799" t="s">
        <v>109</v>
      </c>
      <c r="C1799" t="s">
        <v>411</v>
      </c>
      <c r="E1799" t="s">
        <v>586</v>
      </c>
      <c r="F1799" t="s">
        <v>2467</v>
      </c>
      <c r="G1799" t="s">
        <v>3927</v>
      </c>
      <c r="H1799" t="s">
        <v>5393</v>
      </c>
      <c r="I1799" t="s">
        <v>6047</v>
      </c>
      <c r="J1799">
        <v>10452</v>
      </c>
      <c r="K1799" t="s">
        <v>6074</v>
      </c>
      <c r="L1799" t="s">
        <v>6074</v>
      </c>
      <c r="M1799" t="s">
        <v>6658</v>
      </c>
      <c r="N1799" t="s">
        <v>7273</v>
      </c>
      <c r="O1799" t="s">
        <v>7308</v>
      </c>
      <c r="Q1799" t="s">
        <v>7322</v>
      </c>
      <c r="R1799" t="s">
        <v>6074</v>
      </c>
      <c r="S1799" t="s">
        <v>7324</v>
      </c>
      <c r="U1799" t="s">
        <v>472</v>
      </c>
      <c r="V1799">
        <v>1481</v>
      </c>
      <c r="W1799" t="s">
        <v>7363</v>
      </c>
      <c r="X1799" t="s">
        <v>7375</v>
      </c>
      <c r="Z1799" t="s">
        <v>8762</v>
      </c>
      <c r="AB1799" t="s">
        <v>11481</v>
      </c>
      <c r="AC1799">
        <v>41</v>
      </c>
      <c r="AD1799" t="s">
        <v>6322</v>
      </c>
      <c r="AE1799" t="s">
        <v>6110</v>
      </c>
      <c r="AF1799">
        <v>10</v>
      </c>
      <c r="AG1799">
        <v>1</v>
      </c>
      <c r="AH1799">
        <v>0</v>
      </c>
      <c r="AI1799">
        <v>111.3</v>
      </c>
      <c r="AL1799" t="s">
        <v>12460</v>
      </c>
      <c r="AM1799">
        <v>13512</v>
      </c>
      <c r="AS1799">
        <v>0.5</v>
      </c>
      <c r="AT1799" t="s">
        <v>456</v>
      </c>
      <c r="AU1799" t="s">
        <v>13092</v>
      </c>
    </row>
    <row r="1800" spans="1:48">
      <c r="A1800" s="1">
        <f>HYPERLINK("https://cms.ls-nyc.org/matter/dynamic-profile/view/1872494","18-1872494")</f>
        <v>0</v>
      </c>
      <c r="B1800" t="s">
        <v>131</v>
      </c>
      <c r="C1800" t="s">
        <v>376</v>
      </c>
      <c r="D1800" t="s">
        <v>365</v>
      </c>
      <c r="E1800" t="s">
        <v>1442</v>
      </c>
      <c r="F1800" t="s">
        <v>2284</v>
      </c>
      <c r="G1800" t="s">
        <v>4720</v>
      </c>
      <c r="H1800" t="s">
        <v>5417</v>
      </c>
      <c r="I1800" t="s">
        <v>6049</v>
      </c>
      <c r="J1800">
        <v>10034</v>
      </c>
      <c r="K1800" t="s">
        <v>6074</v>
      </c>
      <c r="L1800" t="s">
        <v>6074</v>
      </c>
      <c r="O1800" t="s">
        <v>7307</v>
      </c>
      <c r="P1800" t="s">
        <v>7315</v>
      </c>
      <c r="Q1800" t="s">
        <v>7322</v>
      </c>
      <c r="R1800" t="s">
        <v>6076</v>
      </c>
      <c r="S1800" t="s">
        <v>7324</v>
      </c>
      <c r="U1800" t="s">
        <v>376</v>
      </c>
      <c r="V1800">
        <v>687.12</v>
      </c>
      <c r="W1800" t="s">
        <v>7365</v>
      </c>
      <c r="X1800" t="s">
        <v>7367</v>
      </c>
      <c r="Y1800" t="s">
        <v>7387</v>
      </c>
      <c r="Z1800" t="s">
        <v>8787</v>
      </c>
      <c r="AB1800" t="s">
        <v>11504</v>
      </c>
      <c r="AC1800">
        <v>26</v>
      </c>
      <c r="AD1800" t="s">
        <v>12422</v>
      </c>
      <c r="AE1800" t="s">
        <v>6110</v>
      </c>
      <c r="AF1800">
        <v>53</v>
      </c>
      <c r="AG1800">
        <v>1</v>
      </c>
      <c r="AH1800">
        <v>0</v>
      </c>
      <c r="AI1800">
        <v>111.4</v>
      </c>
      <c r="AL1800" t="s">
        <v>12461</v>
      </c>
      <c r="AM1800">
        <v>13524</v>
      </c>
      <c r="AS1800">
        <v>0.1</v>
      </c>
      <c r="AT1800" t="s">
        <v>365</v>
      </c>
      <c r="AU1800" t="s">
        <v>13106</v>
      </c>
    </row>
    <row r="1801" spans="1:48">
      <c r="A1801" s="1">
        <f>HYPERLINK("https://cms.ls-nyc.org/matter/dynamic-profile/view/1898707","19-1898707")</f>
        <v>0</v>
      </c>
      <c r="B1801" t="s">
        <v>135</v>
      </c>
      <c r="C1801" t="s">
        <v>309</v>
      </c>
      <c r="D1801" t="s">
        <v>317</v>
      </c>
      <c r="E1801" t="s">
        <v>667</v>
      </c>
      <c r="F1801" t="s">
        <v>2998</v>
      </c>
      <c r="G1801" t="s">
        <v>4721</v>
      </c>
      <c r="H1801" t="s">
        <v>5773</v>
      </c>
      <c r="I1801" t="s">
        <v>6049</v>
      </c>
      <c r="J1801">
        <v>10035</v>
      </c>
      <c r="K1801" t="s">
        <v>6074</v>
      </c>
      <c r="L1801" t="s">
        <v>6074</v>
      </c>
      <c r="N1801" t="s">
        <v>7275</v>
      </c>
      <c r="O1801" t="s">
        <v>7306</v>
      </c>
      <c r="P1801" t="s">
        <v>7314</v>
      </c>
      <c r="Q1801" t="s">
        <v>7322</v>
      </c>
      <c r="R1801" t="s">
        <v>6076</v>
      </c>
      <c r="S1801" t="s">
        <v>7324</v>
      </c>
      <c r="T1801" t="s">
        <v>7336</v>
      </c>
      <c r="U1801" t="s">
        <v>294</v>
      </c>
      <c r="V1801">
        <v>677.1</v>
      </c>
      <c r="W1801" t="s">
        <v>7365</v>
      </c>
      <c r="X1801" t="s">
        <v>7375</v>
      </c>
      <c r="Y1801" t="s">
        <v>7386</v>
      </c>
      <c r="Z1801" t="s">
        <v>8788</v>
      </c>
      <c r="AB1801" t="s">
        <v>11505</v>
      </c>
      <c r="AC1801">
        <v>0</v>
      </c>
      <c r="AD1801" t="s">
        <v>12422</v>
      </c>
      <c r="AE1801" t="s">
        <v>6110</v>
      </c>
      <c r="AF1801">
        <v>10</v>
      </c>
      <c r="AG1801">
        <v>1</v>
      </c>
      <c r="AH1801">
        <v>0</v>
      </c>
      <c r="AI1801">
        <v>111.45</v>
      </c>
      <c r="AL1801" t="s">
        <v>12460</v>
      </c>
      <c r="AM1801">
        <v>13920</v>
      </c>
      <c r="AS1801">
        <v>1</v>
      </c>
      <c r="AT1801" t="s">
        <v>294</v>
      </c>
      <c r="AU1801" t="s">
        <v>13109</v>
      </c>
    </row>
    <row r="1802" spans="1:48">
      <c r="A1802" s="1">
        <f>HYPERLINK("https://cms.ls-nyc.org/matter/dynamic-profile/view/1889861","19-1889861")</f>
        <v>0</v>
      </c>
      <c r="B1802" t="s">
        <v>175</v>
      </c>
      <c r="C1802" t="s">
        <v>286</v>
      </c>
      <c r="D1802" t="s">
        <v>286</v>
      </c>
      <c r="E1802" t="s">
        <v>791</v>
      </c>
      <c r="F1802" t="s">
        <v>2088</v>
      </c>
      <c r="G1802" t="s">
        <v>4722</v>
      </c>
      <c r="H1802" t="s">
        <v>5418</v>
      </c>
      <c r="I1802" t="s">
        <v>6049</v>
      </c>
      <c r="J1802">
        <v>10034</v>
      </c>
      <c r="K1802" t="s">
        <v>6074</v>
      </c>
      <c r="L1802" t="s">
        <v>6075</v>
      </c>
      <c r="N1802" t="s">
        <v>7279</v>
      </c>
      <c r="O1802" t="s">
        <v>7307</v>
      </c>
      <c r="P1802" t="s">
        <v>7315</v>
      </c>
      <c r="Q1802" t="s">
        <v>7322</v>
      </c>
      <c r="R1802" t="s">
        <v>6076</v>
      </c>
      <c r="S1802" t="s">
        <v>7326</v>
      </c>
      <c r="U1802" t="s">
        <v>286</v>
      </c>
      <c r="V1802">
        <v>1231.92</v>
      </c>
      <c r="W1802" t="s">
        <v>7365</v>
      </c>
      <c r="X1802" t="s">
        <v>7367</v>
      </c>
      <c r="Y1802" t="s">
        <v>7387</v>
      </c>
      <c r="Z1802" t="s">
        <v>8789</v>
      </c>
      <c r="AB1802" t="s">
        <v>11506</v>
      </c>
      <c r="AC1802">
        <v>42</v>
      </c>
      <c r="AD1802" t="s">
        <v>12422</v>
      </c>
      <c r="AE1802" t="s">
        <v>12441</v>
      </c>
      <c r="AF1802">
        <v>14</v>
      </c>
      <c r="AG1802">
        <v>1</v>
      </c>
      <c r="AH1802">
        <v>0</v>
      </c>
      <c r="AI1802">
        <v>111.45</v>
      </c>
      <c r="AL1802" t="s">
        <v>12461</v>
      </c>
      <c r="AM1802">
        <v>13920</v>
      </c>
      <c r="AS1802">
        <v>1.3</v>
      </c>
      <c r="AT1802" t="s">
        <v>286</v>
      </c>
      <c r="AU1802" t="s">
        <v>175</v>
      </c>
      <c r="AV1802" t="s">
        <v>13145</v>
      </c>
    </row>
    <row r="1803" spans="1:48">
      <c r="A1803" s="1">
        <f>HYPERLINK("https://cms.ls-nyc.org/matter/dynamic-profile/view/1889917","19-1889917")</f>
        <v>0</v>
      </c>
      <c r="B1803" t="s">
        <v>175</v>
      </c>
      <c r="C1803" t="s">
        <v>351</v>
      </c>
      <c r="E1803" t="s">
        <v>791</v>
      </c>
      <c r="F1803" t="s">
        <v>2088</v>
      </c>
      <c r="G1803" t="s">
        <v>4722</v>
      </c>
      <c r="H1803" t="s">
        <v>5418</v>
      </c>
      <c r="I1803" t="s">
        <v>6049</v>
      </c>
      <c r="J1803">
        <v>10034</v>
      </c>
      <c r="K1803" t="s">
        <v>6074</v>
      </c>
      <c r="L1803" t="s">
        <v>6075</v>
      </c>
      <c r="N1803" t="s">
        <v>7279</v>
      </c>
      <c r="O1803" t="s">
        <v>7307</v>
      </c>
      <c r="Q1803" t="s">
        <v>7322</v>
      </c>
      <c r="R1803" t="s">
        <v>6076</v>
      </c>
      <c r="S1803" t="s">
        <v>7324</v>
      </c>
      <c r="U1803" t="s">
        <v>351</v>
      </c>
      <c r="V1803">
        <v>1231.92</v>
      </c>
      <c r="W1803" t="s">
        <v>7365</v>
      </c>
      <c r="X1803" t="s">
        <v>7367</v>
      </c>
      <c r="Z1803" t="s">
        <v>8789</v>
      </c>
      <c r="AB1803" t="s">
        <v>11507</v>
      </c>
      <c r="AC1803">
        <v>42</v>
      </c>
      <c r="AD1803" t="s">
        <v>12422</v>
      </c>
      <c r="AE1803" t="s">
        <v>12441</v>
      </c>
      <c r="AF1803">
        <v>14</v>
      </c>
      <c r="AG1803">
        <v>1</v>
      </c>
      <c r="AH1803">
        <v>0</v>
      </c>
      <c r="AI1803">
        <v>111.45</v>
      </c>
      <c r="AL1803" t="s">
        <v>12461</v>
      </c>
      <c r="AM1803">
        <v>13920</v>
      </c>
      <c r="AS1803">
        <v>8.9</v>
      </c>
      <c r="AT1803" t="s">
        <v>316</v>
      </c>
      <c r="AU1803" t="s">
        <v>175</v>
      </c>
      <c r="AV1803" t="s">
        <v>13145</v>
      </c>
    </row>
    <row r="1804" spans="1:48">
      <c r="A1804" s="1">
        <f>HYPERLINK("https://cms.ls-nyc.org/matter/dynamic-profile/view/1880608","18-1880608")</f>
        <v>0</v>
      </c>
      <c r="B1804" t="s">
        <v>96</v>
      </c>
      <c r="C1804" t="s">
        <v>360</v>
      </c>
      <c r="E1804" t="s">
        <v>1512</v>
      </c>
      <c r="F1804" t="s">
        <v>2999</v>
      </c>
      <c r="G1804" t="s">
        <v>4152</v>
      </c>
      <c r="H1804" t="s">
        <v>5358</v>
      </c>
      <c r="I1804" t="s">
        <v>6047</v>
      </c>
      <c r="J1804">
        <v>10456</v>
      </c>
      <c r="K1804" t="s">
        <v>6074</v>
      </c>
      <c r="L1804" t="s">
        <v>6074</v>
      </c>
      <c r="M1804" t="s">
        <v>6498</v>
      </c>
      <c r="N1804" t="s">
        <v>7279</v>
      </c>
      <c r="O1804" t="s">
        <v>7311</v>
      </c>
      <c r="Q1804" t="s">
        <v>7322</v>
      </c>
      <c r="R1804" t="s">
        <v>6074</v>
      </c>
      <c r="S1804" t="s">
        <v>7324</v>
      </c>
      <c r="U1804" t="s">
        <v>424</v>
      </c>
      <c r="V1804">
        <v>966.71</v>
      </c>
      <c r="W1804" t="s">
        <v>7363</v>
      </c>
      <c r="X1804" t="s">
        <v>7376</v>
      </c>
      <c r="Z1804" t="s">
        <v>8790</v>
      </c>
      <c r="AB1804" t="s">
        <v>11508</v>
      </c>
      <c r="AC1804">
        <v>61</v>
      </c>
      <c r="AD1804" t="s">
        <v>12422</v>
      </c>
      <c r="AE1804" t="s">
        <v>6110</v>
      </c>
      <c r="AF1804">
        <v>27</v>
      </c>
      <c r="AG1804">
        <v>2</v>
      </c>
      <c r="AH1804">
        <v>2</v>
      </c>
      <c r="AI1804">
        <v>111.55</v>
      </c>
      <c r="AL1804" t="s">
        <v>12460</v>
      </c>
      <c r="AM1804">
        <v>28000</v>
      </c>
      <c r="AS1804">
        <v>0</v>
      </c>
      <c r="AU1804" t="s">
        <v>13092</v>
      </c>
    </row>
    <row r="1805" spans="1:48">
      <c r="A1805" s="1">
        <f>HYPERLINK("https://cms.ls-nyc.org/matter/dynamic-profile/view/1897238","19-1897238")</f>
        <v>0</v>
      </c>
      <c r="B1805" t="s">
        <v>54</v>
      </c>
      <c r="C1805" t="s">
        <v>347</v>
      </c>
      <c r="E1805" t="s">
        <v>1223</v>
      </c>
      <c r="F1805" t="s">
        <v>2669</v>
      </c>
      <c r="G1805" t="s">
        <v>3900</v>
      </c>
      <c r="H1805" t="s">
        <v>5483</v>
      </c>
      <c r="I1805" t="s">
        <v>6025</v>
      </c>
      <c r="J1805">
        <v>11691</v>
      </c>
      <c r="K1805" t="s">
        <v>6074</v>
      </c>
      <c r="L1805" t="s">
        <v>6074</v>
      </c>
      <c r="N1805" t="s">
        <v>7278</v>
      </c>
      <c r="O1805" t="s">
        <v>7307</v>
      </c>
      <c r="Q1805" t="s">
        <v>7322</v>
      </c>
      <c r="R1805" t="s">
        <v>6074</v>
      </c>
      <c r="S1805" t="s">
        <v>7324</v>
      </c>
      <c r="U1805" t="s">
        <v>347</v>
      </c>
      <c r="V1805">
        <v>819</v>
      </c>
      <c r="W1805" t="s">
        <v>7361</v>
      </c>
      <c r="X1805" t="s">
        <v>7375</v>
      </c>
      <c r="Z1805" t="s">
        <v>8236</v>
      </c>
      <c r="AB1805" t="s">
        <v>11010</v>
      </c>
      <c r="AC1805">
        <v>43</v>
      </c>
      <c r="AD1805" t="s">
        <v>12422</v>
      </c>
      <c r="AE1805" t="s">
        <v>6110</v>
      </c>
      <c r="AF1805">
        <v>15</v>
      </c>
      <c r="AG1805">
        <v>2</v>
      </c>
      <c r="AH1805">
        <v>3</v>
      </c>
      <c r="AI1805">
        <v>112.03</v>
      </c>
      <c r="AL1805" t="s">
        <v>12461</v>
      </c>
      <c r="AM1805">
        <v>33800</v>
      </c>
      <c r="AS1805">
        <v>0</v>
      </c>
      <c r="AU1805" t="s">
        <v>189</v>
      </c>
    </row>
    <row r="1806" spans="1:48">
      <c r="A1806" s="1">
        <f>HYPERLINK("https://cms.ls-nyc.org/matter/dynamic-profile/view/1892967","19-1892967")</f>
        <v>0</v>
      </c>
      <c r="B1806" t="s">
        <v>205</v>
      </c>
      <c r="C1806" t="s">
        <v>332</v>
      </c>
      <c r="E1806" t="s">
        <v>871</v>
      </c>
      <c r="F1806" t="s">
        <v>3000</v>
      </c>
      <c r="G1806" t="s">
        <v>4723</v>
      </c>
      <c r="H1806" t="s">
        <v>5774</v>
      </c>
      <c r="I1806" t="s">
        <v>6043</v>
      </c>
      <c r="J1806">
        <v>11208</v>
      </c>
      <c r="K1806" t="s">
        <v>6074</v>
      </c>
      <c r="L1806" t="s">
        <v>6074</v>
      </c>
      <c r="M1806" t="s">
        <v>6833</v>
      </c>
      <c r="N1806" t="s">
        <v>7276</v>
      </c>
      <c r="O1806" t="s">
        <v>7306</v>
      </c>
      <c r="Q1806" t="s">
        <v>7322</v>
      </c>
      <c r="S1806" t="s">
        <v>7324</v>
      </c>
      <c r="U1806" t="s">
        <v>337</v>
      </c>
      <c r="V1806">
        <v>1400</v>
      </c>
      <c r="W1806" t="s">
        <v>7362</v>
      </c>
      <c r="X1806" t="s">
        <v>7366</v>
      </c>
      <c r="Z1806" t="s">
        <v>7767</v>
      </c>
      <c r="AB1806" t="s">
        <v>11509</v>
      </c>
      <c r="AC1806">
        <v>40</v>
      </c>
      <c r="AE1806" t="s">
        <v>6110</v>
      </c>
      <c r="AF1806">
        <v>12</v>
      </c>
      <c r="AG1806">
        <v>1</v>
      </c>
      <c r="AH1806">
        <v>0</v>
      </c>
      <c r="AI1806">
        <v>112.09</v>
      </c>
      <c r="AL1806" t="s">
        <v>12460</v>
      </c>
      <c r="AM1806">
        <v>14000</v>
      </c>
      <c r="AS1806">
        <v>0.9</v>
      </c>
      <c r="AT1806" t="s">
        <v>313</v>
      </c>
      <c r="AU1806" t="s">
        <v>13083</v>
      </c>
    </row>
    <row r="1807" spans="1:48">
      <c r="A1807" s="1">
        <f>HYPERLINK("https://cms.ls-nyc.org/matter/dynamic-profile/view/1893440","19-1893440")</f>
        <v>0</v>
      </c>
      <c r="B1807" t="s">
        <v>116</v>
      </c>
      <c r="C1807" t="s">
        <v>332</v>
      </c>
      <c r="D1807" t="s">
        <v>361</v>
      </c>
      <c r="E1807" t="s">
        <v>1513</v>
      </c>
      <c r="F1807" t="s">
        <v>3001</v>
      </c>
      <c r="G1807" t="s">
        <v>4724</v>
      </c>
      <c r="H1807">
        <v>9</v>
      </c>
      <c r="I1807" t="s">
        <v>6047</v>
      </c>
      <c r="J1807">
        <v>10452</v>
      </c>
      <c r="K1807" t="s">
        <v>6074</v>
      </c>
      <c r="L1807" t="s">
        <v>6074</v>
      </c>
      <c r="N1807" t="s">
        <v>7278</v>
      </c>
      <c r="O1807" t="s">
        <v>7307</v>
      </c>
      <c r="P1807" t="s">
        <v>7314</v>
      </c>
      <c r="Q1807" t="s">
        <v>7322</v>
      </c>
      <c r="S1807" t="s">
        <v>7324</v>
      </c>
      <c r="U1807" t="s">
        <v>332</v>
      </c>
      <c r="V1807">
        <v>0</v>
      </c>
      <c r="W1807" t="s">
        <v>7363</v>
      </c>
      <c r="Y1807" t="s">
        <v>7386</v>
      </c>
      <c r="Z1807" t="s">
        <v>8791</v>
      </c>
      <c r="AC1807">
        <v>0</v>
      </c>
      <c r="AF1807">
        <v>0</v>
      </c>
      <c r="AG1807">
        <v>1</v>
      </c>
      <c r="AH1807">
        <v>0</v>
      </c>
      <c r="AI1807">
        <v>112.09</v>
      </c>
      <c r="AL1807" t="s">
        <v>12460</v>
      </c>
      <c r="AM1807">
        <v>14000</v>
      </c>
      <c r="AS1807">
        <v>1</v>
      </c>
      <c r="AT1807" t="s">
        <v>332</v>
      </c>
      <c r="AU1807" t="s">
        <v>116</v>
      </c>
    </row>
    <row r="1808" spans="1:48">
      <c r="A1808" s="1">
        <f>HYPERLINK("https://cms.ls-nyc.org/matter/dynamic-profile/view/1886947","19-1886947")</f>
        <v>0</v>
      </c>
      <c r="B1808" t="s">
        <v>136</v>
      </c>
      <c r="C1808" t="s">
        <v>410</v>
      </c>
      <c r="E1808" t="s">
        <v>1514</v>
      </c>
      <c r="F1808" t="s">
        <v>2258</v>
      </c>
      <c r="G1808" t="s">
        <v>4725</v>
      </c>
      <c r="H1808" t="s">
        <v>5775</v>
      </c>
      <c r="I1808" t="s">
        <v>6049</v>
      </c>
      <c r="J1808">
        <v>10023</v>
      </c>
      <c r="K1808" t="s">
        <v>6074</v>
      </c>
      <c r="L1808" t="s">
        <v>6074</v>
      </c>
      <c r="N1808" t="s">
        <v>6104</v>
      </c>
      <c r="O1808" t="s">
        <v>7310</v>
      </c>
      <c r="Q1808" t="s">
        <v>7322</v>
      </c>
      <c r="R1808" t="s">
        <v>6076</v>
      </c>
      <c r="S1808" t="s">
        <v>7324</v>
      </c>
      <c r="T1808" t="s">
        <v>7340</v>
      </c>
      <c r="U1808" t="s">
        <v>410</v>
      </c>
      <c r="V1808">
        <v>675</v>
      </c>
      <c r="W1808" t="s">
        <v>7365</v>
      </c>
      <c r="X1808" t="s">
        <v>7378</v>
      </c>
      <c r="Z1808" t="s">
        <v>8792</v>
      </c>
      <c r="AB1808" t="s">
        <v>11510</v>
      </c>
      <c r="AC1808">
        <v>20</v>
      </c>
      <c r="AD1808" t="s">
        <v>12422</v>
      </c>
      <c r="AE1808" t="s">
        <v>6110</v>
      </c>
      <c r="AF1808">
        <v>30</v>
      </c>
      <c r="AG1808">
        <v>1</v>
      </c>
      <c r="AH1808">
        <v>0</v>
      </c>
      <c r="AI1808">
        <v>112.19</v>
      </c>
      <c r="AL1808" t="s">
        <v>12460</v>
      </c>
      <c r="AM1808">
        <v>13620</v>
      </c>
      <c r="AS1808">
        <v>4.9</v>
      </c>
      <c r="AT1808" t="s">
        <v>279</v>
      </c>
      <c r="AU1808" t="s">
        <v>13107</v>
      </c>
    </row>
    <row r="1809" spans="1:48">
      <c r="A1809" s="1">
        <f>HYPERLINK("https://cms.ls-nyc.org/matter/dynamic-profile/view/1895215","19-1895215")</f>
        <v>0</v>
      </c>
      <c r="B1809" t="s">
        <v>74</v>
      </c>
      <c r="C1809" t="s">
        <v>322</v>
      </c>
      <c r="D1809" t="s">
        <v>496</v>
      </c>
      <c r="E1809" t="s">
        <v>1515</v>
      </c>
      <c r="F1809" t="s">
        <v>2604</v>
      </c>
      <c r="G1809" t="s">
        <v>4726</v>
      </c>
      <c r="H1809" t="s">
        <v>5347</v>
      </c>
      <c r="I1809" t="s">
        <v>6043</v>
      </c>
      <c r="J1809">
        <v>11208</v>
      </c>
      <c r="K1809" t="s">
        <v>6074</v>
      </c>
      <c r="L1809" t="s">
        <v>6075</v>
      </c>
      <c r="M1809" t="s">
        <v>6834</v>
      </c>
      <c r="N1809" t="s">
        <v>7274</v>
      </c>
      <c r="O1809" t="s">
        <v>7310</v>
      </c>
      <c r="P1809" t="s">
        <v>7314</v>
      </c>
      <c r="Q1809" t="s">
        <v>7322</v>
      </c>
      <c r="S1809" t="s">
        <v>7324</v>
      </c>
      <c r="U1809" t="s">
        <v>322</v>
      </c>
      <c r="V1809">
        <v>2100</v>
      </c>
      <c r="W1809" t="s">
        <v>7362</v>
      </c>
      <c r="X1809" t="s">
        <v>7373</v>
      </c>
      <c r="Y1809" t="s">
        <v>7386</v>
      </c>
      <c r="Z1809" t="s">
        <v>8793</v>
      </c>
      <c r="AA1809">
        <v>375657841</v>
      </c>
      <c r="AB1809" t="s">
        <v>11511</v>
      </c>
      <c r="AC1809">
        <v>4</v>
      </c>
      <c r="AD1809" t="s">
        <v>6322</v>
      </c>
      <c r="AF1809">
        <v>8</v>
      </c>
      <c r="AG1809">
        <v>1</v>
      </c>
      <c r="AH1809">
        <v>1</v>
      </c>
      <c r="AI1809">
        <v>112.36</v>
      </c>
      <c r="AL1809" t="s">
        <v>12460</v>
      </c>
      <c r="AM1809">
        <v>19000</v>
      </c>
      <c r="AS1809">
        <v>0.7</v>
      </c>
      <c r="AT1809" t="s">
        <v>322</v>
      </c>
      <c r="AU1809" t="s">
        <v>13084</v>
      </c>
    </row>
    <row r="1810" spans="1:48">
      <c r="A1810" s="1">
        <f>HYPERLINK("https://cms.ls-nyc.org/matter/dynamic-profile/view/1885366","18-1885366")</f>
        <v>0</v>
      </c>
      <c r="B1810" t="s">
        <v>125</v>
      </c>
      <c r="C1810" t="s">
        <v>250</v>
      </c>
      <c r="D1810" t="s">
        <v>339</v>
      </c>
      <c r="E1810" t="s">
        <v>1516</v>
      </c>
      <c r="F1810" t="s">
        <v>2924</v>
      </c>
      <c r="G1810" t="s">
        <v>4727</v>
      </c>
      <c r="H1810" t="s">
        <v>5373</v>
      </c>
      <c r="I1810" t="s">
        <v>6049</v>
      </c>
      <c r="J1810">
        <v>10033</v>
      </c>
      <c r="K1810" t="s">
        <v>6074</v>
      </c>
      <c r="L1810" t="s">
        <v>6074</v>
      </c>
      <c r="N1810" t="s">
        <v>6104</v>
      </c>
      <c r="O1810" t="s">
        <v>7306</v>
      </c>
      <c r="P1810" t="s">
        <v>7314</v>
      </c>
      <c r="Q1810" t="s">
        <v>7322</v>
      </c>
      <c r="R1810" t="s">
        <v>6076</v>
      </c>
      <c r="S1810" t="s">
        <v>7324</v>
      </c>
      <c r="U1810" t="s">
        <v>250</v>
      </c>
      <c r="V1810">
        <v>390</v>
      </c>
      <c r="W1810" t="s">
        <v>7365</v>
      </c>
      <c r="X1810" t="s">
        <v>7367</v>
      </c>
      <c r="Y1810" t="s">
        <v>7386</v>
      </c>
      <c r="Z1810" t="s">
        <v>8794</v>
      </c>
      <c r="AB1810" t="s">
        <v>11512</v>
      </c>
      <c r="AC1810">
        <v>0</v>
      </c>
      <c r="AD1810" t="s">
        <v>12422</v>
      </c>
      <c r="AE1810" t="s">
        <v>6110</v>
      </c>
      <c r="AF1810">
        <v>4</v>
      </c>
      <c r="AG1810">
        <v>1</v>
      </c>
      <c r="AH1810">
        <v>2</v>
      </c>
      <c r="AI1810">
        <v>112.49</v>
      </c>
      <c r="AL1810" t="s">
        <v>12460</v>
      </c>
      <c r="AM1810">
        <v>23376</v>
      </c>
      <c r="AS1810">
        <v>1.3</v>
      </c>
      <c r="AT1810" t="s">
        <v>344</v>
      </c>
      <c r="AU1810" t="s">
        <v>13106</v>
      </c>
    </row>
    <row r="1811" spans="1:48">
      <c r="A1811" s="1">
        <f>HYPERLINK("https://cms.ls-nyc.org/matter/dynamic-profile/view/1898967","19-1898967")</f>
        <v>0</v>
      </c>
      <c r="B1811" t="s">
        <v>51</v>
      </c>
      <c r="C1811" t="s">
        <v>276</v>
      </c>
      <c r="D1811" t="s">
        <v>317</v>
      </c>
      <c r="E1811" t="s">
        <v>620</v>
      </c>
      <c r="F1811" t="s">
        <v>3002</v>
      </c>
      <c r="G1811" t="s">
        <v>4728</v>
      </c>
      <c r="H1811" t="s">
        <v>5362</v>
      </c>
      <c r="I1811" t="s">
        <v>6026</v>
      </c>
      <c r="J1811">
        <v>11434</v>
      </c>
      <c r="K1811" t="s">
        <v>6074</v>
      </c>
      <c r="L1811" t="s">
        <v>6075</v>
      </c>
      <c r="M1811" t="s">
        <v>6835</v>
      </c>
      <c r="N1811" t="s">
        <v>7273</v>
      </c>
      <c r="O1811" t="s">
        <v>7306</v>
      </c>
      <c r="P1811" t="s">
        <v>7314</v>
      </c>
      <c r="Q1811" t="s">
        <v>7322</v>
      </c>
      <c r="R1811" t="s">
        <v>6076</v>
      </c>
      <c r="S1811" t="s">
        <v>7324</v>
      </c>
      <c r="T1811" t="s">
        <v>7336</v>
      </c>
      <c r="U1811" t="s">
        <v>276</v>
      </c>
      <c r="V1811">
        <v>2175</v>
      </c>
      <c r="W1811" t="s">
        <v>7361</v>
      </c>
      <c r="X1811" t="s">
        <v>7366</v>
      </c>
      <c r="Y1811" t="s">
        <v>7386</v>
      </c>
      <c r="Z1811" t="s">
        <v>8795</v>
      </c>
      <c r="AA1811" t="s">
        <v>10200</v>
      </c>
      <c r="AB1811" t="s">
        <v>11513</v>
      </c>
      <c r="AC1811">
        <v>2</v>
      </c>
      <c r="AD1811" t="s">
        <v>12419</v>
      </c>
      <c r="AE1811" t="s">
        <v>6110</v>
      </c>
      <c r="AF1811">
        <v>2</v>
      </c>
      <c r="AG1811">
        <v>3</v>
      </c>
      <c r="AH1811">
        <v>0</v>
      </c>
      <c r="AI1811">
        <v>112.52</v>
      </c>
      <c r="AM1811">
        <v>24000</v>
      </c>
      <c r="AS1811">
        <v>0.5</v>
      </c>
      <c r="AT1811" t="s">
        <v>317</v>
      </c>
      <c r="AU1811" t="s">
        <v>51</v>
      </c>
      <c r="AV1811" t="s">
        <v>13145</v>
      </c>
    </row>
    <row r="1812" spans="1:48">
      <c r="A1812" s="1">
        <f>HYPERLINK("https://cms.ls-nyc.org/matter/dynamic-profile/view/1893763","19-1893763")</f>
        <v>0</v>
      </c>
      <c r="B1812" t="s">
        <v>69</v>
      </c>
      <c r="C1812" t="s">
        <v>275</v>
      </c>
      <c r="D1812" t="s">
        <v>247</v>
      </c>
      <c r="E1812" t="s">
        <v>1203</v>
      </c>
      <c r="F1812" t="s">
        <v>1344</v>
      </c>
      <c r="G1812" t="s">
        <v>4729</v>
      </c>
      <c r="H1812" t="s">
        <v>5517</v>
      </c>
      <c r="I1812" t="s">
        <v>6043</v>
      </c>
      <c r="J1812">
        <v>11210</v>
      </c>
      <c r="K1812" t="s">
        <v>6075</v>
      </c>
      <c r="L1812" t="s">
        <v>6075</v>
      </c>
      <c r="O1812" t="s">
        <v>7306</v>
      </c>
      <c r="P1812" t="s">
        <v>7314</v>
      </c>
      <c r="Q1812" t="s">
        <v>7322</v>
      </c>
      <c r="S1812" t="s">
        <v>7324</v>
      </c>
      <c r="U1812" t="s">
        <v>275</v>
      </c>
      <c r="V1812">
        <v>0</v>
      </c>
      <c r="W1812" t="s">
        <v>7362</v>
      </c>
      <c r="Y1812" t="s">
        <v>7386</v>
      </c>
      <c r="Z1812" t="s">
        <v>8796</v>
      </c>
      <c r="AC1812">
        <v>0</v>
      </c>
      <c r="AF1812">
        <v>0</v>
      </c>
      <c r="AG1812">
        <v>3</v>
      </c>
      <c r="AH1812">
        <v>0</v>
      </c>
      <c r="AI1812">
        <v>112.52</v>
      </c>
      <c r="AL1812" t="s">
        <v>12460</v>
      </c>
      <c r="AM1812">
        <v>24000</v>
      </c>
      <c r="AS1812">
        <v>3.4</v>
      </c>
      <c r="AT1812" t="s">
        <v>247</v>
      </c>
      <c r="AU1812" t="s">
        <v>69</v>
      </c>
    </row>
    <row r="1813" spans="1:48">
      <c r="A1813" s="1">
        <f>HYPERLINK("https://cms.ls-nyc.org/matter/dynamic-profile/view/1889638","19-1889638")</f>
        <v>0</v>
      </c>
      <c r="B1813" t="s">
        <v>131</v>
      </c>
      <c r="C1813" t="s">
        <v>365</v>
      </c>
      <c r="E1813" t="s">
        <v>618</v>
      </c>
      <c r="F1813" t="s">
        <v>2536</v>
      </c>
      <c r="G1813" t="s">
        <v>4730</v>
      </c>
      <c r="H1813">
        <v>65</v>
      </c>
      <c r="I1813" t="s">
        <v>6049</v>
      </c>
      <c r="J1813">
        <v>10034</v>
      </c>
      <c r="K1813" t="s">
        <v>6074</v>
      </c>
      <c r="L1813" t="s">
        <v>6074</v>
      </c>
      <c r="M1813" t="s">
        <v>6836</v>
      </c>
      <c r="N1813" t="s">
        <v>7274</v>
      </c>
      <c r="O1813" t="s">
        <v>7308</v>
      </c>
      <c r="Q1813" t="s">
        <v>7322</v>
      </c>
      <c r="R1813" t="s">
        <v>6076</v>
      </c>
      <c r="S1813" t="s">
        <v>7324</v>
      </c>
      <c r="U1813" t="s">
        <v>365</v>
      </c>
      <c r="V1813">
        <v>1313</v>
      </c>
      <c r="W1813" t="s">
        <v>7365</v>
      </c>
      <c r="X1813" t="s">
        <v>7367</v>
      </c>
      <c r="Z1813" t="s">
        <v>8797</v>
      </c>
      <c r="AB1813" t="s">
        <v>11514</v>
      </c>
      <c r="AC1813">
        <v>100</v>
      </c>
      <c r="AD1813" t="s">
        <v>12422</v>
      </c>
      <c r="AE1813" t="s">
        <v>6110</v>
      </c>
      <c r="AF1813">
        <v>5</v>
      </c>
      <c r="AG1813">
        <v>2</v>
      </c>
      <c r="AH1813">
        <v>1</v>
      </c>
      <c r="AI1813">
        <v>112.52</v>
      </c>
      <c r="AL1813" t="s">
        <v>12461</v>
      </c>
      <c r="AM1813">
        <v>24000</v>
      </c>
      <c r="AS1813">
        <v>13.4</v>
      </c>
      <c r="AT1813" t="s">
        <v>263</v>
      </c>
      <c r="AU1813" t="s">
        <v>13106</v>
      </c>
    </row>
    <row r="1814" spans="1:48">
      <c r="A1814" s="1">
        <f>HYPERLINK("https://cms.ls-nyc.org/matter/dynamic-profile/view/1866406","18-1866406")</f>
        <v>0</v>
      </c>
      <c r="B1814" t="s">
        <v>148</v>
      </c>
      <c r="C1814" t="s">
        <v>515</v>
      </c>
      <c r="D1814" t="s">
        <v>407</v>
      </c>
      <c r="E1814" t="s">
        <v>1517</v>
      </c>
      <c r="F1814" t="s">
        <v>3003</v>
      </c>
      <c r="G1814" t="s">
        <v>4731</v>
      </c>
      <c r="H1814">
        <v>1</v>
      </c>
      <c r="I1814" t="s">
        <v>6043</v>
      </c>
      <c r="J1814">
        <v>11208</v>
      </c>
      <c r="K1814" t="s">
        <v>6074</v>
      </c>
      <c r="L1814" t="s">
        <v>6074</v>
      </c>
      <c r="M1814" t="s">
        <v>6837</v>
      </c>
      <c r="N1814" t="s">
        <v>7274</v>
      </c>
      <c r="O1814" t="s">
        <v>7308</v>
      </c>
      <c r="P1814" t="s">
        <v>7320</v>
      </c>
      <c r="Q1814" t="s">
        <v>7322</v>
      </c>
      <c r="R1814" t="s">
        <v>6076</v>
      </c>
      <c r="S1814" t="s">
        <v>7324</v>
      </c>
      <c r="U1814" t="s">
        <v>502</v>
      </c>
      <c r="V1814">
        <v>1550</v>
      </c>
      <c r="W1814" t="s">
        <v>7362</v>
      </c>
      <c r="X1814" t="s">
        <v>7377</v>
      </c>
      <c r="Y1814" t="s">
        <v>7388</v>
      </c>
      <c r="Z1814" t="s">
        <v>8798</v>
      </c>
      <c r="AA1814" t="s">
        <v>10201</v>
      </c>
      <c r="AB1814" t="s">
        <v>11515</v>
      </c>
      <c r="AC1814">
        <v>4</v>
      </c>
      <c r="AD1814" t="s">
        <v>12419</v>
      </c>
      <c r="AE1814" t="s">
        <v>12433</v>
      </c>
      <c r="AF1814">
        <v>3</v>
      </c>
      <c r="AG1814">
        <v>1</v>
      </c>
      <c r="AH1814">
        <v>2</v>
      </c>
      <c r="AI1814">
        <v>112.61</v>
      </c>
      <c r="AL1814" t="s">
        <v>12460</v>
      </c>
      <c r="AM1814">
        <v>23400</v>
      </c>
      <c r="AN1814" t="s">
        <v>12491</v>
      </c>
      <c r="AO1814" t="s">
        <v>12846</v>
      </c>
      <c r="AP1814" t="s">
        <v>12863</v>
      </c>
      <c r="AQ1814" t="s">
        <v>12909</v>
      </c>
      <c r="AR1814" t="s">
        <v>12966</v>
      </c>
      <c r="AS1814">
        <v>18</v>
      </c>
      <c r="AT1814" t="s">
        <v>407</v>
      </c>
      <c r="AU1814" t="s">
        <v>13087</v>
      </c>
    </row>
    <row r="1815" spans="1:48">
      <c r="A1815" s="1">
        <f>HYPERLINK("https://cms.ls-nyc.org/matter/dynamic-profile/view/1900879","19-1900879")</f>
        <v>0</v>
      </c>
      <c r="B1815" t="s">
        <v>51</v>
      </c>
      <c r="C1815" t="s">
        <v>423</v>
      </c>
      <c r="E1815" t="s">
        <v>944</v>
      </c>
      <c r="F1815" t="s">
        <v>3004</v>
      </c>
      <c r="G1815" t="s">
        <v>4732</v>
      </c>
      <c r="H1815" t="s">
        <v>5776</v>
      </c>
      <c r="I1815" t="s">
        <v>6026</v>
      </c>
      <c r="J1815">
        <v>11434</v>
      </c>
      <c r="K1815" t="s">
        <v>6074</v>
      </c>
      <c r="L1815" t="s">
        <v>6075</v>
      </c>
      <c r="M1815" t="s">
        <v>6838</v>
      </c>
      <c r="N1815" t="s">
        <v>7273</v>
      </c>
      <c r="O1815" t="s">
        <v>7307</v>
      </c>
      <c r="Q1815" t="s">
        <v>7322</v>
      </c>
      <c r="S1815" t="s">
        <v>7324</v>
      </c>
      <c r="U1815" t="s">
        <v>423</v>
      </c>
      <c r="V1815">
        <v>800</v>
      </c>
      <c r="W1815" t="s">
        <v>7361</v>
      </c>
      <c r="X1815" t="s">
        <v>7366</v>
      </c>
      <c r="Z1815" t="s">
        <v>8799</v>
      </c>
      <c r="AB1815" t="s">
        <v>11516</v>
      </c>
      <c r="AC1815">
        <v>40</v>
      </c>
      <c r="AD1815" t="s">
        <v>12422</v>
      </c>
      <c r="AE1815" t="s">
        <v>7305</v>
      </c>
      <c r="AF1815">
        <v>10</v>
      </c>
      <c r="AG1815">
        <v>3</v>
      </c>
      <c r="AH1815">
        <v>1</v>
      </c>
      <c r="AI1815">
        <v>112.62</v>
      </c>
      <c r="AL1815" t="s">
        <v>12460</v>
      </c>
      <c r="AM1815">
        <v>29000</v>
      </c>
      <c r="AS1815">
        <v>0</v>
      </c>
      <c r="AU1815" t="s">
        <v>51</v>
      </c>
    </row>
    <row r="1816" spans="1:48">
      <c r="A1816" s="1">
        <f>HYPERLINK("https://cms.ls-nyc.org/matter/dynamic-profile/view/1873845","18-1873845")</f>
        <v>0</v>
      </c>
      <c r="B1816" t="s">
        <v>130</v>
      </c>
      <c r="C1816" t="s">
        <v>402</v>
      </c>
      <c r="E1816" t="s">
        <v>1518</v>
      </c>
      <c r="F1816" t="s">
        <v>2174</v>
      </c>
      <c r="G1816" t="s">
        <v>3842</v>
      </c>
      <c r="H1816" t="s">
        <v>5444</v>
      </c>
      <c r="I1816" t="s">
        <v>6049</v>
      </c>
      <c r="J1816">
        <v>10033</v>
      </c>
      <c r="K1816" t="s">
        <v>6074</v>
      </c>
      <c r="L1816" t="s">
        <v>6074</v>
      </c>
      <c r="N1816" t="s">
        <v>7273</v>
      </c>
      <c r="O1816" t="s">
        <v>7307</v>
      </c>
      <c r="Q1816" t="s">
        <v>7322</v>
      </c>
      <c r="R1816" t="s">
        <v>6074</v>
      </c>
      <c r="S1816" t="s">
        <v>7324</v>
      </c>
      <c r="U1816" t="s">
        <v>402</v>
      </c>
      <c r="V1816">
        <v>1096.72</v>
      </c>
      <c r="W1816" t="s">
        <v>7365</v>
      </c>
      <c r="X1816" t="s">
        <v>7375</v>
      </c>
      <c r="Z1816" t="s">
        <v>8800</v>
      </c>
      <c r="AB1816" t="s">
        <v>11517</v>
      </c>
      <c r="AC1816">
        <v>232</v>
      </c>
      <c r="AD1816" t="s">
        <v>12422</v>
      </c>
      <c r="AE1816" t="s">
        <v>6110</v>
      </c>
      <c r="AF1816">
        <v>27</v>
      </c>
      <c r="AG1816">
        <v>2</v>
      </c>
      <c r="AH1816">
        <v>0</v>
      </c>
      <c r="AI1816">
        <v>112.73</v>
      </c>
      <c r="AL1816" t="s">
        <v>12461</v>
      </c>
      <c r="AM1816">
        <v>18556</v>
      </c>
      <c r="AS1816">
        <v>0.3</v>
      </c>
      <c r="AT1816" t="s">
        <v>316</v>
      </c>
      <c r="AU1816" t="s">
        <v>13106</v>
      </c>
    </row>
    <row r="1817" spans="1:48">
      <c r="A1817" s="1">
        <f>HYPERLINK("https://cms.ls-nyc.org/matter/dynamic-profile/view/1891140","19-1891140")</f>
        <v>0</v>
      </c>
      <c r="B1817" t="s">
        <v>88</v>
      </c>
      <c r="C1817" t="s">
        <v>491</v>
      </c>
      <c r="E1817" t="s">
        <v>891</v>
      </c>
      <c r="F1817" t="s">
        <v>3005</v>
      </c>
      <c r="G1817" t="s">
        <v>4434</v>
      </c>
      <c r="H1817" t="s">
        <v>5777</v>
      </c>
      <c r="I1817" t="s">
        <v>6043</v>
      </c>
      <c r="J1817">
        <v>11226</v>
      </c>
      <c r="K1817" t="s">
        <v>6074</v>
      </c>
      <c r="L1817" t="s">
        <v>6074</v>
      </c>
      <c r="O1817" t="s">
        <v>7307</v>
      </c>
      <c r="Q1817" t="s">
        <v>7322</v>
      </c>
      <c r="S1817" t="s">
        <v>7324</v>
      </c>
      <c r="U1817" t="s">
        <v>378</v>
      </c>
      <c r="V1817">
        <v>835.4299999999999</v>
      </c>
      <c r="W1817" t="s">
        <v>7362</v>
      </c>
      <c r="Z1817" t="s">
        <v>8801</v>
      </c>
      <c r="AB1817" t="s">
        <v>11518</v>
      </c>
      <c r="AC1817">
        <v>0</v>
      </c>
      <c r="AF1817">
        <v>38</v>
      </c>
      <c r="AG1817">
        <v>1</v>
      </c>
      <c r="AH1817">
        <v>0</v>
      </c>
      <c r="AI1817">
        <v>112.89</v>
      </c>
      <c r="AM1817">
        <v>14100</v>
      </c>
      <c r="AS1817">
        <v>0</v>
      </c>
      <c r="AU1817" t="s">
        <v>88</v>
      </c>
    </row>
    <row r="1818" spans="1:48">
      <c r="A1818" s="1">
        <f>HYPERLINK("https://cms.ls-nyc.org/matter/dynamic-profile/view/1900473","19-1900473")</f>
        <v>0</v>
      </c>
      <c r="B1818" t="s">
        <v>74</v>
      </c>
      <c r="C1818" t="s">
        <v>241</v>
      </c>
      <c r="E1818" t="s">
        <v>1002</v>
      </c>
      <c r="F1818" t="s">
        <v>2995</v>
      </c>
      <c r="G1818" t="s">
        <v>4147</v>
      </c>
      <c r="H1818" t="s">
        <v>5376</v>
      </c>
      <c r="I1818" t="s">
        <v>6043</v>
      </c>
      <c r="J1818">
        <v>11213</v>
      </c>
      <c r="K1818" t="s">
        <v>6076</v>
      </c>
      <c r="L1818" t="s">
        <v>6075</v>
      </c>
      <c r="M1818" t="s">
        <v>6839</v>
      </c>
      <c r="N1818" t="s">
        <v>7276</v>
      </c>
      <c r="O1818" t="s">
        <v>7308</v>
      </c>
      <c r="Q1818" t="s">
        <v>7322</v>
      </c>
      <c r="R1818" t="s">
        <v>6076</v>
      </c>
      <c r="S1818" t="s">
        <v>7324</v>
      </c>
      <c r="T1818" t="s">
        <v>7336</v>
      </c>
      <c r="U1818" t="s">
        <v>397</v>
      </c>
      <c r="V1818">
        <v>719</v>
      </c>
      <c r="W1818" t="s">
        <v>7362</v>
      </c>
      <c r="X1818" t="s">
        <v>7368</v>
      </c>
      <c r="Z1818" t="s">
        <v>8781</v>
      </c>
      <c r="AA1818" t="s">
        <v>10142</v>
      </c>
      <c r="AB1818" t="s">
        <v>11498</v>
      </c>
      <c r="AC1818">
        <v>6</v>
      </c>
      <c r="AD1818" t="s">
        <v>12422</v>
      </c>
      <c r="AE1818" t="s">
        <v>12438</v>
      </c>
      <c r="AF1818">
        <v>22</v>
      </c>
      <c r="AG1818">
        <v>5</v>
      </c>
      <c r="AH1818">
        <v>1</v>
      </c>
      <c r="AI1818">
        <v>112.94</v>
      </c>
      <c r="AL1818" t="s">
        <v>12460</v>
      </c>
      <c r="AM1818">
        <v>39066</v>
      </c>
      <c r="AS1818">
        <v>6.7</v>
      </c>
      <c r="AT1818" t="s">
        <v>260</v>
      </c>
      <c r="AU1818" t="s">
        <v>218</v>
      </c>
      <c r="AV1818" t="s">
        <v>6110</v>
      </c>
    </row>
    <row r="1819" spans="1:48">
      <c r="A1819" s="1">
        <f>HYPERLINK("https://cms.ls-nyc.org/matter/dynamic-profile/view/1888376","19-1888376")</f>
        <v>0</v>
      </c>
      <c r="B1819" t="s">
        <v>96</v>
      </c>
      <c r="C1819" t="s">
        <v>292</v>
      </c>
      <c r="E1819" t="s">
        <v>1484</v>
      </c>
      <c r="F1819" t="s">
        <v>2429</v>
      </c>
      <c r="G1819" t="s">
        <v>3792</v>
      </c>
      <c r="H1819" t="s">
        <v>5426</v>
      </c>
      <c r="I1819" t="s">
        <v>6047</v>
      </c>
      <c r="J1819">
        <v>10453</v>
      </c>
      <c r="K1819" t="s">
        <v>6074</v>
      </c>
      <c r="L1819" t="s">
        <v>6074</v>
      </c>
      <c r="N1819" t="s">
        <v>7279</v>
      </c>
      <c r="O1819" t="s">
        <v>7311</v>
      </c>
      <c r="Q1819" t="s">
        <v>7322</v>
      </c>
      <c r="R1819" t="s">
        <v>6074</v>
      </c>
      <c r="S1819" t="s">
        <v>7324</v>
      </c>
      <c r="U1819" t="s">
        <v>457</v>
      </c>
      <c r="V1819">
        <v>1152.67</v>
      </c>
      <c r="W1819" t="s">
        <v>7363</v>
      </c>
      <c r="X1819" t="s">
        <v>7368</v>
      </c>
      <c r="Z1819" t="s">
        <v>8725</v>
      </c>
      <c r="AB1819" t="s">
        <v>11444</v>
      </c>
      <c r="AC1819">
        <v>170</v>
      </c>
      <c r="AD1819" t="s">
        <v>12422</v>
      </c>
      <c r="AE1819" t="s">
        <v>12441</v>
      </c>
      <c r="AF1819">
        <v>14</v>
      </c>
      <c r="AG1819">
        <v>1</v>
      </c>
      <c r="AH1819">
        <v>0</v>
      </c>
      <c r="AI1819">
        <v>113.18</v>
      </c>
      <c r="AL1819" t="s">
        <v>12460</v>
      </c>
      <c r="AM1819">
        <v>13740</v>
      </c>
      <c r="AS1819">
        <v>9.199999999999999</v>
      </c>
      <c r="AT1819" t="s">
        <v>382</v>
      </c>
      <c r="AU1819" t="s">
        <v>97</v>
      </c>
    </row>
    <row r="1820" spans="1:48">
      <c r="A1820" s="1">
        <f>HYPERLINK("https://cms.ls-nyc.org/matter/dynamic-profile/view/1875390","18-1875390")</f>
        <v>0</v>
      </c>
      <c r="B1820" t="s">
        <v>71</v>
      </c>
      <c r="C1820" t="s">
        <v>406</v>
      </c>
      <c r="D1820" t="s">
        <v>456</v>
      </c>
      <c r="E1820" t="s">
        <v>1039</v>
      </c>
      <c r="F1820" t="s">
        <v>2486</v>
      </c>
      <c r="G1820" t="s">
        <v>4733</v>
      </c>
      <c r="H1820">
        <v>1</v>
      </c>
      <c r="I1820" t="s">
        <v>6043</v>
      </c>
      <c r="J1820">
        <v>11208</v>
      </c>
      <c r="K1820" t="s">
        <v>6074</v>
      </c>
      <c r="L1820" t="s">
        <v>6074</v>
      </c>
      <c r="M1820" t="s">
        <v>6840</v>
      </c>
      <c r="N1820" t="s">
        <v>7276</v>
      </c>
      <c r="O1820" t="s">
        <v>7308</v>
      </c>
      <c r="P1820" t="s">
        <v>7316</v>
      </c>
      <c r="Q1820" t="s">
        <v>7322</v>
      </c>
      <c r="S1820" t="s">
        <v>7324</v>
      </c>
      <c r="U1820" t="s">
        <v>312</v>
      </c>
      <c r="V1820">
        <v>1600</v>
      </c>
      <c r="W1820" t="s">
        <v>7362</v>
      </c>
      <c r="X1820" t="s">
        <v>7366</v>
      </c>
      <c r="Y1820" t="s">
        <v>7394</v>
      </c>
      <c r="Z1820" t="s">
        <v>8802</v>
      </c>
      <c r="AA1820" t="s">
        <v>10202</v>
      </c>
      <c r="AB1820" t="s">
        <v>11519</v>
      </c>
      <c r="AC1820">
        <v>2</v>
      </c>
      <c r="AF1820">
        <v>4</v>
      </c>
      <c r="AG1820">
        <v>2</v>
      </c>
      <c r="AH1820">
        <v>2</v>
      </c>
      <c r="AI1820">
        <v>113.25</v>
      </c>
      <c r="AL1820" t="s">
        <v>12460</v>
      </c>
      <c r="AM1820">
        <v>28426.6</v>
      </c>
      <c r="AS1820">
        <v>24.1</v>
      </c>
      <c r="AT1820" t="s">
        <v>456</v>
      </c>
      <c r="AU1820" t="s">
        <v>13082</v>
      </c>
    </row>
    <row r="1821" spans="1:48">
      <c r="A1821" s="1">
        <f>HYPERLINK("https://cms.ls-nyc.org/matter/dynamic-profile/view/1889539","19-1889539")</f>
        <v>0</v>
      </c>
      <c r="B1821" t="s">
        <v>82</v>
      </c>
      <c r="C1821" t="s">
        <v>516</v>
      </c>
      <c r="E1821" t="s">
        <v>1519</v>
      </c>
      <c r="F1821" t="s">
        <v>2473</v>
      </c>
      <c r="G1821" t="s">
        <v>4734</v>
      </c>
      <c r="H1821" t="s">
        <v>5656</v>
      </c>
      <c r="I1821" t="s">
        <v>6043</v>
      </c>
      <c r="J1821">
        <v>11235</v>
      </c>
      <c r="K1821" t="s">
        <v>6074</v>
      </c>
      <c r="L1821" t="s">
        <v>6074</v>
      </c>
      <c r="N1821" t="s">
        <v>7293</v>
      </c>
      <c r="O1821" t="s">
        <v>7312</v>
      </c>
      <c r="Q1821" t="s">
        <v>7322</v>
      </c>
      <c r="S1821" t="s">
        <v>7324</v>
      </c>
      <c r="U1821" t="s">
        <v>365</v>
      </c>
      <c r="V1821">
        <v>0</v>
      </c>
      <c r="W1821" t="s">
        <v>7362</v>
      </c>
      <c r="Z1821" t="s">
        <v>8803</v>
      </c>
      <c r="AB1821" t="s">
        <v>11520</v>
      </c>
      <c r="AC1821">
        <v>0</v>
      </c>
      <c r="AD1821" t="s">
        <v>12425</v>
      </c>
      <c r="AF1821">
        <v>0</v>
      </c>
      <c r="AG1821">
        <v>2</v>
      </c>
      <c r="AH1821">
        <v>0</v>
      </c>
      <c r="AI1821">
        <v>113.54</v>
      </c>
      <c r="AL1821" t="s">
        <v>12460</v>
      </c>
      <c r="AM1821">
        <v>19200</v>
      </c>
      <c r="AS1821">
        <v>12.05</v>
      </c>
      <c r="AT1821" t="s">
        <v>277</v>
      </c>
      <c r="AU1821" t="s">
        <v>88</v>
      </c>
    </row>
    <row r="1822" spans="1:48">
      <c r="A1822" s="1">
        <f>HYPERLINK("https://cms.ls-nyc.org/matter/dynamic-profile/view/1890798","19-1890798")</f>
        <v>0</v>
      </c>
      <c r="B1822" t="s">
        <v>82</v>
      </c>
      <c r="C1822" t="s">
        <v>420</v>
      </c>
      <c r="E1822" t="s">
        <v>1519</v>
      </c>
      <c r="F1822" t="s">
        <v>2473</v>
      </c>
      <c r="G1822" t="s">
        <v>4734</v>
      </c>
      <c r="H1822" t="s">
        <v>5656</v>
      </c>
      <c r="I1822" t="s">
        <v>6043</v>
      </c>
      <c r="J1822">
        <v>11235</v>
      </c>
      <c r="K1822" t="s">
        <v>6074</v>
      </c>
      <c r="L1822" t="s">
        <v>6074</v>
      </c>
      <c r="N1822" t="s">
        <v>7279</v>
      </c>
      <c r="O1822" t="s">
        <v>7311</v>
      </c>
      <c r="Q1822" t="s">
        <v>7322</v>
      </c>
      <c r="R1822" t="s">
        <v>6076</v>
      </c>
      <c r="S1822" t="s">
        <v>7324</v>
      </c>
      <c r="U1822" t="s">
        <v>259</v>
      </c>
      <c r="V1822">
        <v>93</v>
      </c>
      <c r="W1822" t="s">
        <v>7362</v>
      </c>
      <c r="Z1822" t="s">
        <v>8803</v>
      </c>
      <c r="AB1822" t="s">
        <v>11520</v>
      </c>
      <c r="AC1822">
        <v>0</v>
      </c>
      <c r="AF1822">
        <v>0</v>
      </c>
      <c r="AG1822">
        <v>2</v>
      </c>
      <c r="AH1822">
        <v>0</v>
      </c>
      <c r="AI1822">
        <v>113.54</v>
      </c>
      <c r="AL1822" t="s">
        <v>12460</v>
      </c>
      <c r="AM1822">
        <v>19200</v>
      </c>
      <c r="AS1822">
        <v>11</v>
      </c>
      <c r="AT1822" t="s">
        <v>279</v>
      </c>
      <c r="AU1822" t="s">
        <v>88</v>
      </c>
    </row>
    <row r="1823" spans="1:48">
      <c r="A1823" s="1">
        <f>HYPERLINK("https://cms.ls-nyc.org/matter/dynamic-profile/view/1890807","19-1890807")</f>
        <v>0</v>
      </c>
      <c r="B1823" t="s">
        <v>82</v>
      </c>
      <c r="C1823" t="s">
        <v>420</v>
      </c>
      <c r="E1823" t="s">
        <v>1519</v>
      </c>
      <c r="F1823" t="s">
        <v>2473</v>
      </c>
      <c r="G1823" t="s">
        <v>4734</v>
      </c>
      <c r="H1823" t="s">
        <v>5656</v>
      </c>
      <c r="I1823" t="s">
        <v>6043</v>
      </c>
      <c r="J1823">
        <v>11235</v>
      </c>
      <c r="K1823" t="s">
        <v>6074</v>
      </c>
      <c r="L1823" t="s">
        <v>6074</v>
      </c>
      <c r="N1823" t="s">
        <v>7279</v>
      </c>
      <c r="O1823" t="s">
        <v>7311</v>
      </c>
      <c r="Q1823" t="s">
        <v>7322</v>
      </c>
      <c r="R1823" t="s">
        <v>6076</v>
      </c>
      <c r="S1823" t="s">
        <v>7324</v>
      </c>
      <c r="U1823" t="s">
        <v>367</v>
      </c>
      <c r="V1823">
        <v>930</v>
      </c>
      <c r="W1823" t="s">
        <v>7362</v>
      </c>
      <c r="Z1823" t="s">
        <v>8803</v>
      </c>
      <c r="AB1823" t="s">
        <v>11520</v>
      </c>
      <c r="AC1823">
        <v>0</v>
      </c>
      <c r="AF1823">
        <v>0</v>
      </c>
      <c r="AG1823">
        <v>2</v>
      </c>
      <c r="AH1823">
        <v>0</v>
      </c>
      <c r="AI1823">
        <v>113.54</v>
      </c>
      <c r="AL1823" t="s">
        <v>12460</v>
      </c>
      <c r="AM1823">
        <v>19200</v>
      </c>
      <c r="AS1823">
        <v>0.75</v>
      </c>
      <c r="AT1823" t="s">
        <v>322</v>
      </c>
      <c r="AU1823" t="s">
        <v>88</v>
      </c>
    </row>
    <row r="1824" spans="1:48">
      <c r="A1824" s="1">
        <f>HYPERLINK("https://cms.ls-nyc.org/matter/dynamic-profile/view/1890810","19-1890810")</f>
        <v>0</v>
      </c>
      <c r="B1824" t="s">
        <v>82</v>
      </c>
      <c r="C1824" t="s">
        <v>420</v>
      </c>
      <c r="E1824" t="s">
        <v>1519</v>
      </c>
      <c r="F1824" t="s">
        <v>2473</v>
      </c>
      <c r="G1824" t="s">
        <v>4734</v>
      </c>
      <c r="H1824" t="s">
        <v>5656</v>
      </c>
      <c r="I1824" t="s">
        <v>6043</v>
      </c>
      <c r="J1824">
        <v>11235</v>
      </c>
      <c r="K1824" t="s">
        <v>6074</v>
      </c>
      <c r="L1824" t="s">
        <v>6074</v>
      </c>
      <c r="O1824" t="s">
        <v>7309</v>
      </c>
      <c r="Q1824" t="s">
        <v>7322</v>
      </c>
      <c r="R1824" t="s">
        <v>6076</v>
      </c>
      <c r="S1824" t="s">
        <v>7324</v>
      </c>
      <c r="U1824" t="s">
        <v>367</v>
      </c>
      <c r="V1824">
        <v>930</v>
      </c>
      <c r="W1824" t="s">
        <v>7362</v>
      </c>
      <c r="Z1824" t="s">
        <v>8803</v>
      </c>
      <c r="AB1824" t="s">
        <v>11520</v>
      </c>
      <c r="AC1824">
        <v>0</v>
      </c>
      <c r="AF1824">
        <v>0</v>
      </c>
      <c r="AG1824">
        <v>2</v>
      </c>
      <c r="AH1824">
        <v>0</v>
      </c>
      <c r="AI1824">
        <v>113.54</v>
      </c>
      <c r="AL1824" t="s">
        <v>12460</v>
      </c>
      <c r="AM1824">
        <v>19200</v>
      </c>
      <c r="AS1824">
        <v>3.5</v>
      </c>
      <c r="AT1824" t="s">
        <v>496</v>
      </c>
      <c r="AU1824" t="s">
        <v>88</v>
      </c>
    </row>
    <row r="1825" spans="1:47">
      <c r="A1825" s="1">
        <f>HYPERLINK("https://cms.ls-nyc.org/matter/dynamic-profile/view/1892080","19-1892080")</f>
        <v>0</v>
      </c>
      <c r="B1825" t="s">
        <v>72</v>
      </c>
      <c r="C1825" t="s">
        <v>405</v>
      </c>
      <c r="E1825" t="s">
        <v>575</v>
      </c>
      <c r="F1825" t="s">
        <v>3006</v>
      </c>
      <c r="G1825" t="s">
        <v>3702</v>
      </c>
      <c r="H1825" t="s">
        <v>5778</v>
      </c>
      <c r="I1825" t="s">
        <v>6043</v>
      </c>
      <c r="J1825">
        <v>11233</v>
      </c>
      <c r="K1825" t="s">
        <v>6074</v>
      </c>
      <c r="L1825" t="s">
        <v>6076</v>
      </c>
      <c r="N1825" t="s">
        <v>7279</v>
      </c>
      <c r="O1825" t="s">
        <v>7311</v>
      </c>
      <c r="Q1825" t="s">
        <v>7322</v>
      </c>
      <c r="R1825" t="s">
        <v>6074</v>
      </c>
      <c r="S1825" t="s">
        <v>7324</v>
      </c>
      <c r="T1825" t="s">
        <v>7336</v>
      </c>
      <c r="U1825" t="s">
        <v>330</v>
      </c>
      <c r="V1825">
        <v>1150</v>
      </c>
      <c r="W1825" t="s">
        <v>7362</v>
      </c>
      <c r="X1825" t="s">
        <v>7305</v>
      </c>
      <c r="Z1825" t="s">
        <v>8804</v>
      </c>
      <c r="AC1825">
        <v>359</v>
      </c>
      <c r="AD1825" t="s">
        <v>12422</v>
      </c>
      <c r="AF1825">
        <v>45</v>
      </c>
      <c r="AG1825">
        <v>1</v>
      </c>
      <c r="AH1825">
        <v>0</v>
      </c>
      <c r="AI1825">
        <v>113.66</v>
      </c>
      <c r="AL1825" t="s">
        <v>12460</v>
      </c>
      <c r="AM1825">
        <v>14196</v>
      </c>
      <c r="AN1825" t="s">
        <v>12601</v>
      </c>
      <c r="AS1825">
        <v>0</v>
      </c>
      <c r="AU1825" t="s">
        <v>180</v>
      </c>
    </row>
    <row r="1826" spans="1:47">
      <c r="A1826" s="1">
        <f>HYPERLINK("https://cms.ls-nyc.org/matter/dynamic-profile/view/1892085","19-1892085")</f>
        <v>0</v>
      </c>
      <c r="B1826" t="s">
        <v>72</v>
      </c>
      <c r="C1826" t="s">
        <v>405</v>
      </c>
      <c r="E1826" t="s">
        <v>575</v>
      </c>
      <c r="F1826" t="s">
        <v>3006</v>
      </c>
      <c r="G1826" t="s">
        <v>3702</v>
      </c>
      <c r="H1826" t="s">
        <v>5778</v>
      </c>
      <c r="I1826" t="s">
        <v>6043</v>
      </c>
      <c r="J1826">
        <v>11233</v>
      </c>
      <c r="K1826" t="s">
        <v>6074</v>
      </c>
      <c r="L1826" t="s">
        <v>6076</v>
      </c>
      <c r="N1826" t="s">
        <v>7275</v>
      </c>
      <c r="O1826" t="s">
        <v>7307</v>
      </c>
      <c r="Q1826" t="s">
        <v>7322</v>
      </c>
      <c r="R1826" t="s">
        <v>6074</v>
      </c>
      <c r="S1826" t="s">
        <v>7324</v>
      </c>
      <c r="T1826" t="s">
        <v>7336</v>
      </c>
      <c r="U1826" t="s">
        <v>287</v>
      </c>
      <c r="V1826">
        <v>1150</v>
      </c>
      <c r="W1826" t="s">
        <v>7362</v>
      </c>
      <c r="X1826" t="s">
        <v>7305</v>
      </c>
      <c r="Z1826" t="s">
        <v>8804</v>
      </c>
      <c r="AC1826">
        <v>359</v>
      </c>
      <c r="AD1826" t="s">
        <v>12422</v>
      </c>
      <c r="AF1826">
        <v>45</v>
      </c>
      <c r="AG1826">
        <v>1</v>
      </c>
      <c r="AH1826">
        <v>0</v>
      </c>
      <c r="AI1826">
        <v>113.66</v>
      </c>
      <c r="AL1826" t="s">
        <v>12460</v>
      </c>
      <c r="AM1826">
        <v>14196</v>
      </c>
      <c r="AN1826" t="s">
        <v>12648</v>
      </c>
      <c r="AS1826">
        <v>0</v>
      </c>
      <c r="AU1826" t="s">
        <v>180</v>
      </c>
    </row>
    <row r="1827" spans="1:47">
      <c r="A1827" s="1">
        <f>HYPERLINK("https://cms.ls-nyc.org/matter/dynamic-profile/view/1887065","19-1887065")</f>
        <v>0</v>
      </c>
      <c r="B1827" t="s">
        <v>112</v>
      </c>
      <c r="C1827" t="s">
        <v>272</v>
      </c>
      <c r="E1827" t="s">
        <v>651</v>
      </c>
      <c r="F1827" t="s">
        <v>2546</v>
      </c>
      <c r="G1827" t="s">
        <v>3793</v>
      </c>
      <c r="H1827" t="s">
        <v>5444</v>
      </c>
      <c r="I1827" t="s">
        <v>6047</v>
      </c>
      <c r="J1827">
        <v>10453</v>
      </c>
      <c r="K1827" t="s">
        <v>6074</v>
      </c>
      <c r="L1827" t="s">
        <v>6074</v>
      </c>
      <c r="N1827" t="s">
        <v>7279</v>
      </c>
      <c r="O1827" t="s">
        <v>7309</v>
      </c>
      <c r="Q1827" t="s">
        <v>7322</v>
      </c>
      <c r="R1827" t="s">
        <v>6074</v>
      </c>
      <c r="S1827" t="s">
        <v>7324</v>
      </c>
      <c r="U1827" t="s">
        <v>457</v>
      </c>
      <c r="V1827">
        <v>1585</v>
      </c>
      <c r="W1827" t="s">
        <v>7363</v>
      </c>
      <c r="X1827" t="s">
        <v>7376</v>
      </c>
      <c r="Z1827" t="s">
        <v>8805</v>
      </c>
      <c r="AB1827" t="s">
        <v>11521</v>
      </c>
      <c r="AC1827">
        <v>49</v>
      </c>
      <c r="AD1827" t="s">
        <v>12422</v>
      </c>
      <c r="AE1827" t="s">
        <v>12434</v>
      </c>
      <c r="AF1827">
        <v>9</v>
      </c>
      <c r="AG1827">
        <v>2</v>
      </c>
      <c r="AH1827">
        <v>0</v>
      </c>
      <c r="AI1827">
        <v>113.73</v>
      </c>
      <c r="AL1827" t="s">
        <v>12460</v>
      </c>
      <c r="AM1827">
        <v>18720</v>
      </c>
      <c r="AS1827">
        <v>0</v>
      </c>
      <c r="AU1827" t="s">
        <v>13092</v>
      </c>
    </row>
    <row r="1828" spans="1:47">
      <c r="A1828" s="1">
        <f>HYPERLINK("https://cms.ls-nyc.org/matter/dynamic-profile/view/1887063","19-1887063")</f>
        <v>0</v>
      </c>
      <c r="B1828" t="s">
        <v>112</v>
      </c>
      <c r="C1828" t="s">
        <v>272</v>
      </c>
      <c r="E1828" t="s">
        <v>651</v>
      </c>
      <c r="F1828" t="s">
        <v>2546</v>
      </c>
      <c r="G1828" t="s">
        <v>3793</v>
      </c>
      <c r="H1828" t="s">
        <v>5444</v>
      </c>
      <c r="I1828" t="s">
        <v>6047</v>
      </c>
      <c r="J1828">
        <v>10453</v>
      </c>
      <c r="K1828" t="s">
        <v>6074</v>
      </c>
      <c r="L1828" t="s">
        <v>6074</v>
      </c>
      <c r="M1828" t="s">
        <v>6194</v>
      </c>
      <c r="N1828" t="s">
        <v>7273</v>
      </c>
      <c r="O1828" t="s">
        <v>7308</v>
      </c>
      <c r="Q1828" t="s">
        <v>7322</v>
      </c>
      <c r="R1828" t="s">
        <v>6074</v>
      </c>
      <c r="S1828" t="s">
        <v>7324</v>
      </c>
      <c r="U1828" t="s">
        <v>457</v>
      </c>
      <c r="V1828">
        <v>1585</v>
      </c>
      <c r="W1828" t="s">
        <v>7363</v>
      </c>
      <c r="X1828" t="s">
        <v>7376</v>
      </c>
      <c r="Z1828" t="s">
        <v>8805</v>
      </c>
      <c r="AB1828" t="s">
        <v>11521</v>
      </c>
      <c r="AC1828">
        <v>49</v>
      </c>
      <c r="AD1828" t="s">
        <v>12422</v>
      </c>
      <c r="AE1828" t="s">
        <v>12434</v>
      </c>
      <c r="AF1828">
        <v>9</v>
      </c>
      <c r="AG1828">
        <v>2</v>
      </c>
      <c r="AH1828">
        <v>0</v>
      </c>
      <c r="AI1828">
        <v>113.73</v>
      </c>
      <c r="AL1828" t="s">
        <v>12460</v>
      </c>
      <c r="AM1828">
        <v>18720</v>
      </c>
      <c r="AS1828">
        <v>0</v>
      </c>
      <c r="AU1828" t="s">
        <v>13092</v>
      </c>
    </row>
    <row r="1829" spans="1:47">
      <c r="A1829" s="1">
        <f>HYPERLINK("https://cms.ls-nyc.org/matter/dynamic-profile/view/1887069","19-1887069")</f>
        <v>0</v>
      </c>
      <c r="B1829" t="s">
        <v>112</v>
      </c>
      <c r="C1829" t="s">
        <v>272</v>
      </c>
      <c r="E1829" t="s">
        <v>651</v>
      </c>
      <c r="F1829" t="s">
        <v>2546</v>
      </c>
      <c r="G1829" t="s">
        <v>3793</v>
      </c>
      <c r="H1829" t="s">
        <v>5444</v>
      </c>
      <c r="I1829" t="s">
        <v>6047</v>
      </c>
      <c r="J1829">
        <v>10453</v>
      </c>
      <c r="K1829" t="s">
        <v>6074</v>
      </c>
      <c r="L1829" t="s">
        <v>6074</v>
      </c>
      <c r="N1829" t="s">
        <v>6104</v>
      </c>
      <c r="O1829" t="s">
        <v>7309</v>
      </c>
      <c r="Q1829" t="s">
        <v>7322</v>
      </c>
      <c r="R1829" t="s">
        <v>6074</v>
      </c>
      <c r="S1829" t="s">
        <v>7324</v>
      </c>
      <c r="U1829" t="s">
        <v>457</v>
      </c>
      <c r="V1829">
        <v>1585</v>
      </c>
      <c r="W1829" t="s">
        <v>7363</v>
      </c>
      <c r="X1829" t="s">
        <v>7376</v>
      </c>
      <c r="Z1829" t="s">
        <v>8805</v>
      </c>
      <c r="AB1829" t="s">
        <v>11521</v>
      </c>
      <c r="AC1829">
        <v>49</v>
      </c>
      <c r="AD1829" t="s">
        <v>12422</v>
      </c>
      <c r="AE1829" t="s">
        <v>12434</v>
      </c>
      <c r="AF1829">
        <v>9</v>
      </c>
      <c r="AG1829">
        <v>2</v>
      </c>
      <c r="AH1829">
        <v>0</v>
      </c>
      <c r="AI1829">
        <v>113.73</v>
      </c>
      <c r="AL1829" t="s">
        <v>12460</v>
      </c>
      <c r="AM1829">
        <v>18720</v>
      </c>
      <c r="AS1829">
        <v>0</v>
      </c>
      <c r="AU1829" t="s">
        <v>13092</v>
      </c>
    </row>
    <row r="1830" spans="1:47">
      <c r="A1830" s="1">
        <f>HYPERLINK("https://cms.ls-nyc.org/matter/dynamic-profile/view/1894609","19-1894609")</f>
        <v>0</v>
      </c>
      <c r="B1830" t="s">
        <v>97</v>
      </c>
      <c r="C1830" t="s">
        <v>338</v>
      </c>
      <c r="E1830" t="s">
        <v>1520</v>
      </c>
      <c r="F1830" t="s">
        <v>3007</v>
      </c>
      <c r="G1830" t="s">
        <v>4382</v>
      </c>
      <c r="H1830" t="s">
        <v>5348</v>
      </c>
      <c r="I1830" t="s">
        <v>6047</v>
      </c>
      <c r="J1830">
        <v>10457</v>
      </c>
      <c r="K1830" t="s">
        <v>6074</v>
      </c>
      <c r="L1830" t="s">
        <v>6074</v>
      </c>
      <c r="N1830" t="s">
        <v>6104</v>
      </c>
      <c r="O1830" t="s">
        <v>7306</v>
      </c>
      <c r="Q1830" t="s">
        <v>7322</v>
      </c>
      <c r="R1830" t="s">
        <v>6076</v>
      </c>
      <c r="S1830" t="s">
        <v>7324</v>
      </c>
      <c r="U1830" t="s">
        <v>338</v>
      </c>
      <c r="V1830">
        <v>796.51</v>
      </c>
      <c r="W1830" t="s">
        <v>7363</v>
      </c>
      <c r="X1830" t="s">
        <v>7376</v>
      </c>
      <c r="Z1830" t="s">
        <v>8806</v>
      </c>
      <c r="AC1830">
        <v>55</v>
      </c>
      <c r="AD1830" t="s">
        <v>12422</v>
      </c>
      <c r="AE1830" t="s">
        <v>6110</v>
      </c>
      <c r="AF1830">
        <v>30</v>
      </c>
      <c r="AG1830">
        <v>2</v>
      </c>
      <c r="AH1830">
        <v>0</v>
      </c>
      <c r="AI1830">
        <v>113.78</v>
      </c>
      <c r="AL1830" t="s">
        <v>12460</v>
      </c>
      <c r="AM1830">
        <v>19240</v>
      </c>
      <c r="AS1830">
        <v>1.2</v>
      </c>
      <c r="AT1830" t="s">
        <v>235</v>
      </c>
      <c r="AU1830" t="s">
        <v>97</v>
      </c>
    </row>
    <row r="1831" spans="1:47">
      <c r="A1831" s="1">
        <f>HYPERLINK("https://cms.ls-nyc.org/matter/dynamic-profile/view/1897148","19-1897148")</f>
        <v>0</v>
      </c>
      <c r="B1831" t="s">
        <v>118</v>
      </c>
      <c r="C1831" t="s">
        <v>418</v>
      </c>
      <c r="E1831" t="s">
        <v>748</v>
      </c>
      <c r="F1831" t="s">
        <v>2220</v>
      </c>
      <c r="G1831" t="s">
        <v>4735</v>
      </c>
      <c r="I1831" t="s">
        <v>6047</v>
      </c>
      <c r="J1831">
        <v>10454</v>
      </c>
      <c r="K1831" t="s">
        <v>6074</v>
      </c>
      <c r="L1831" t="s">
        <v>6074</v>
      </c>
      <c r="M1831" t="s">
        <v>6841</v>
      </c>
      <c r="N1831" t="s">
        <v>7287</v>
      </c>
      <c r="O1831" t="s">
        <v>7308</v>
      </c>
      <c r="Q1831" t="s">
        <v>7323</v>
      </c>
      <c r="R1831" t="s">
        <v>6076</v>
      </c>
      <c r="S1831" t="s">
        <v>7324</v>
      </c>
      <c r="T1831" t="s">
        <v>7336</v>
      </c>
      <c r="U1831" t="s">
        <v>418</v>
      </c>
      <c r="V1831">
        <v>1200</v>
      </c>
      <c r="W1831" t="s">
        <v>7364</v>
      </c>
      <c r="X1831" t="s">
        <v>7369</v>
      </c>
      <c r="Z1831" t="s">
        <v>7597</v>
      </c>
      <c r="AB1831" t="s">
        <v>10436</v>
      </c>
      <c r="AC1831">
        <v>2</v>
      </c>
      <c r="AD1831" t="s">
        <v>12419</v>
      </c>
      <c r="AE1831" t="s">
        <v>6110</v>
      </c>
      <c r="AF1831">
        <v>-1</v>
      </c>
      <c r="AG1831">
        <v>2</v>
      </c>
      <c r="AH1831">
        <v>0</v>
      </c>
      <c r="AI1831">
        <v>113.78</v>
      </c>
      <c r="AJ1831" t="s">
        <v>12443</v>
      </c>
      <c r="AK1831" t="s">
        <v>12455</v>
      </c>
      <c r="AL1831" t="s">
        <v>12460</v>
      </c>
      <c r="AM1831">
        <v>19240</v>
      </c>
      <c r="AS1831">
        <v>2.8</v>
      </c>
      <c r="AT1831" t="s">
        <v>564</v>
      </c>
      <c r="AU1831" t="s">
        <v>13101</v>
      </c>
    </row>
    <row r="1832" spans="1:47">
      <c r="A1832" s="1">
        <f>HYPERLINK("https://cms.ls-nyc.org/matter/dynamic-profile/view/1882553","18-1882553")</f>
        <v>0</v>
      </c>
      <c r="B1832" t="s">
        <v>159</v>
      </c>
      <c r="C1832" t="s">
        <v>283</v>
      </c>
      <c r="D1832" t="s">
        <v>362</v>
      </c>
      <c r="E1832" t="s">
        <v>1327</v>
      </c>
      <c r="F1832" t="s">
        <v>2285</v>
      </c>
      <c r="G1832" t="s">
        <v>4495</v>
      </c>
      <c r="H1832">
        <v>314</v>
      </c>
      <c r="I1832" t="s">
        <v>6049</v>
      </c>
      <c r="J1832">
        <v>10029</v>
      </c>
      <c r="K1832" t="s">
        <v>6074</v>
      </c>
      <c r="L1832" t="s">
        <v>6074</v>
      </c>
      <c r="N1832" t="s">
        <v>6104</v>
      </c>
      <c r="O1832" t="s">
        <v>7307</v>
      </c>
      <c r="P1832" t="s">
        <v>7315</v>
      </c>
      <c r="Q1832" t="s">
        <v>7322</v>
      </c>
      <c r="R1832" t="s">
        <v>6076</v>
      </c>
      <c r="S1832" t="s">
        <v>7324</v>
      </c>
      <c r="T1832" t="s">
        <v>7336</v>
      </c>
      <c r="U1832" t="s">
        <v>283</v>
      </c>
      <c r="V1832">
        <v>356</v>
      </c>
      <c r="W1832" t="s">
        <v>7365</v>
      </c>
      <c r="X1832" t="s">
        <v>7368</v>
      </c>
      <c r="Y1832" t="s">
        <v>7387</v>
      </c>
      <c r="Z1832" t="s">
        <v>8807</v>
      </c>
      <c r="AB1832" t="s">
        <v>11522</v>
      </c>
      <c r="AC1832">
        <v>108</v>
      </c>
      <c r="AD1832" t="s">
        <v>12422</v>
      </c>
      <c r="AE1832" t="s">
        <v>6110</v>
      </c>
      <c r="AF1832">
        <v>3</v>
      </c>
      <c r="AG1832">
        <v>2</v>
      </c>
      <c r="AH1832">
        <v>0</v>
      </c>
      <c r="AI1832">
        <v>114.17</v>
      </c>
      <c r="AL1832" t="s">
        <v>12461</v>
      </c>
      <c r="AM1832">
        <v>18792</v>
      </c>
      <c r="AS1832">
        <v>5.4</v>
      </c>
      <c r="AT1832" t="s">
        <v>306</v>
      </c>
      <c r="AU1832" t="s">
        <v>13107</v>
      </c>
    </row>
    <row r="1833" spans="1:47">
      <c r="A1833" s="1">
        <f>HYPERLINK("https://cms.ls-nyc.org/matter/dynamic-profile/view/1889682","19-1889682")</f>
        <v>0</v>
      </c>
      <c r="B1833" t="s">
        <v>104</v>
      </c>
      <c r="C1833" t="s">
        <v>259</v>
      </c>
      <c r="D1833" t="s">
        <v>418</v>
      </c>
      <c r="E1833" t="s">
        <v>861</v>
      </c>
      <c r="F1833" t="s">
        <v>2913</v>
      </c>
      <c r="G1833" t="s">
        <v>4161</v>
      </c>
      <c r="H1833" t="s">
        <v>5653</v>
      </c>
      <c r="I1833" t="s">
        <v>6047</v>
      </c>
      <c r="J1833">
        <v>10452</v>
      </c>
      <c r="K1833" t="s">
        <v>6074</v>
      </c>
      <c r="L1833" t="s">
        <v>6074</v>
      </c>
      <c r="N1833" t="s">
        <v>6104</v>
      </c>
      <c r="O1833" t="s">
        <v>7309</v>
      </c>
      <c r="P1833" t="s">
        <v>7317</v>
      </c>
      <c r="Q1833" t="s">
        <v>7322</v>
      </c>
      <c r="R1833" t="s">
        <v>6076</v>
      </c>
      <c r="S1833" t="s">
        <v>7324</v>
      </c>
      <c r="U1833" t="s">
        <v>259</v>
      </c>
      <c r="V1833">
        <v>1129.77</v>
      </c>
      <c r="W1833" t="s">
        <v>7363</v>
      </c>
      <c r="X1833" t="s">
        <v>7367</v>
      </c>
      <c r="Y1833" t="s">
        <v>7387</v>
      </c>
      <c r="Z1833" t="s">
        <v>8644</v>
      </c>
      <c r="AB1833" t="s">
        <v>11375</v>
      </c>
      <c r="AC1833">
        <v>121</v>
      </c>
      <c r="AD1833" t="s">
        <v>12422</v>
      </c>
      <c r="AE1833" t="s">
        <v>6110</v>
      </c>
      <c r="AF1833">
        <v>4</v>
      </c>
      <c r="AG1833">
        <v>2</v>
      </c>
      <c r="AH1833">
        <v>4</v>
      </c>
      <c r="AI1833">
        <v>114.19</v>
      </c>
      <c r="AL1833" t="s">
        <v>12460</v>
      </c>
      <c r="AM1833">
        <v>39500</v>
      </c>
      <c r="AS1833">
        <v>1</v>
      </c>
      <c r="AT1833" t="s">
        <v>259</v>
      </c>
      <c r="AU1833" t="s">
        <v>13095</v>
      </c>
    </row>
    <row r="1834" spans="1:47">
      <c r="A1834" s="1">
        <f>HYPERLINK("https://cms.ls-nyc.org/matter/dynamic-profile/view/1890808","19-1890808")</f>
        <v>0</v>
      </c>
      <c r="B1834" t="s">
        <v>82</v>
      </c>
      <c r="C1834" t="s">
        <v>420</v>
      </c>
      <c r="E1834" t="s">
        <v>1519</v>
      </c>
      <c r="F1834" t="s">
        <v>2473</v>
      </c>
      <c r="G1834" t="s">
        <v>4734</v>
      </c>
      <c r="H1834" t="s">
        <v>5656</v>
      </c>
      <c r="I1834" t="s">
        <v>6043</v>
      </c>
      <c r="J1834">
        <v>11235</v>
      </c>
      <c r="K1834" t="s">
        <v>6074</v>
      </c>
      <c r="L1834" t="s">
        <v>6074</v>
      </c>
      <c r="N1834" t="s">
        <v>7279</v>
      </c>
      <c r="O1834" t="s">
        <v>7309</v>
      </c>
      <c r="Q1834" t="s">
        <v>7322</v>
      </c>
      <c r="R1834" t="s">
        <v>6076</v>
      </c>
      <c r="S1834" t="s">
        <v>7324</v>
      </c>
      <c r="U1834" t="s">
        <v>367</v>
      </c>
      <c r="V1834">
        <v>0</v>
      </c>
      <c r="W1834" t="s">
        <v>7362</v>
      </c>
      <c r="Z1834" t="s">
        <v>8803</v>
      </c>
      <c r="AB1834" t="s">
        <v>11520</v>
      </c>
      <c r="AC1834">
        <v>0</v>
      </c>
      <c r="AF1834">
        <v>0</v>
      </c>
      <c r="AG1834">
        <v>2</v>
      </c>
      <c r="AH1834">
        <v>0</v>
      </c>
      <c r="AI1834">
        <v>114.25</v>
      </c>
      <c r="AL1834" t="s">
        <v>12460</v>
      </c>
      <c r="AM1834">
        <v>19320</v>
      </c>
      <c r="AS1834">
        <v>0.5</v>
      </c>
      <c r="AT1834" t="s">
        <v>278</v>
      </c>
      <c r="AU1834" t="s">
        <v>88</v>
      </c>
    </row>
    <row r="1835" spans="1:47">
      <c r="A1835" s="1">
        <f>HYPERLINK("https://cms.ls-nyc.org/matter/dynamic-profile/view/1892395","19-1892395")</f>
        <v>0</v>
      </c>
      <c r="B1835" t="s">
        <v>81</v>
      </c>
      <c r="C1835" t="s">
        <v>337</v>
      </c>
      <c r="E1835" t="s">
        <v>1521</v>
      </c>
      <c r="F1835" t="s">
        <v>3008</v>
      </c>
      <c r="G1835" t="s">
        <v>4534</v>
      </c>
      <c r="H1835" t="s">
        <v>5427</v>
      </c>
      <c r="I1835" t="s">
        <v>6043</v>
      </c>
      <c r="J1835">
        <v>11225</v>
      </c>
      <c r="K1835" t="s">
        <v>6074</v>
      </c>
      <c r="L1835" t="s">
        <v>6074</v>
      </c>
      <c r="N1835" t="s">
        <v>7282</v>
      </c>
      <c r="O1835" t="s">
        <v>7308</v>
      </c>
      <c r="Q1835" t="s">
        <v>7322</v>
      </c>
      <c r="S1835" t="s">
        <v>7324</v>
      </c>
      <c r="U1835" t="s">
        <v>477</v>
      </c>
      <c r="V1835">
        <v>0</v>
      </c>
      <c r="W1835" t="s">
        <v>7362</v>
      </c>
      <c r="Z1835" t="s">
        <v>8808</v>
      </c>
      <c r="AB1835" t="s">
        <v>11523</v>
      </c>
      <c r="AC1835">
        <v>0</v>
      </c>
      <c r="AF1835">
        <v>0</v>
      </c>
      <c r="AG1835">
        <v>1</v>
      </c>
      <c r="AH1835">
        <v>1</v>
      </c>
      <c r="AI1835">
        <v>114.25</v>
      </c>
      <c r="AL1835" t="s">
        <v>12460</v>
      </c>
      <c r="AM1835">
        <v>19320</v>
      </c>
      <c r="AS1835">
        <v>0.5</v>
      </c>
      <c r="AT1835" t="s">
        <v>501</v>
      </c>
      <c r="AU1835" t="s">
        <v>88</v>
      </c>
    </row>
    <row r="1836" spans="1:47">
      <c r="A1836" s="1">
        <f>HYPERLINK("https://cms.ls-nyc.org/matter/dynamic-profile/view/1873505","18-1873505")</f>
        <v>0</v>
      </c>
      <c r="B1836" t="s">
        <v>146</v>
      </c>
      <c r="C1836" t="s">
        <v>447</v>
      </c>
      <c r="D1836" t="s">
        <v>237</v>
      </c>
      <c r="E1836" t="s">
        <v>1457</v>
      </c>
      <c r="F1836" t="s">
        <v>3009</v>
      </c>
      <c r="G1836" t="s">
        <v>4736</v>
      </c>
      <c r="H1836" t="s">
        <v>5671</v>
      </c>
      <c r="I1836" t="s">
        <v>6049</v>
      </c>
      <c r="J1836">
        <v>10030</v>
      </c>
      <c r="K1836" t="s">
        <v>6076</v>
      </c>
      <c r="L1836" t="s">
        <v>6075</v>
      </c>
      <c r="M1836" t="s">
        <v>6842</v>
      </c>
      <c r="N1836" t="s">
        <v>7276</v>
      </c>
      <c r="O1836" t="s">
        <v>7306</v>
      </c>
      <c r="P1836" t="s">
        <v>7314</v>
      </c>
      <c r="Q1836" t="s">
        <v>7322</v>
      </c>
      <c r="R1836" t="s">
        <v>6076</v>
      </c>
      <c r="S1836" t="s">
        <v>7324</v>
      </c>
      <c r="U1836" t="s">
        <v>447</v>
      </c>
      <c r="V1836">
        <v>0</v>
      </c>
      <c r="W1836" t="s">
        <v>7365</v>
      </c>
      <c r="X1836" t="s">
        <v>7367</v>
      </c>
      <c r="Y1836" t="s">
        <v>7386</v>
      </c>
      <c r="Z1836" t="s">
        <v>8809</v>
      </c>
      <c r="AB1836" t="s">
        <v>11524</v>
      </c>
      <c r="AC1836">
        <v>0</v>
      </c>
      <c r="AD1836" t="s">
        <v>12428</v>
      </c>
      <c r="AE1836" t="s">
        <v>7305</v>
      </c>
      <c r="AF1836">
        <v>7</v>
      </c>
      <c r="AG1836">
        <v>1</v>
      </c>
      <c r="AH1836">
        <v>0</v>
      </c>
      <c r="AI1836">
        <v>114.27</v>
      </c>
      <c r="AL1836" t="s">
        <v>12460</v>
      </c>
      <c r="AM1836">
        <v>13872</v>
      </c>
      <c r="AS1836">
        <v>1.45</v>
      </c>
      <c r="AT1836" t="s">
        <v>237</v>
      </c>
      <c r="AU1836" t="s">
        <v>13108</v>
      </c>
    </row>
    <row r="1837" spans="1:47">
      <c r="A1837" s="1">
        <f>HYPERLINK("https://cms.ls-nyc.org/matter/dynamic-profile/view/1896960","19-1896960")</f>
        <v>0</v>
      </c>
      <c r="B1837" t="s">
        <v>148</v>
      </c>
      <c r="C1837" t="s">
        <v>397</v>
      </c>
      <c r="E1837" t="s">
        <v>1522</v>
      </c>
      <c r="F1837" t="s">
        <v>3010</v>
      </c>
      <c r="G1837" t="s">
        <v>4737</v>
      </c>
      <c r="I1837" t="s">
        <v>6043</v>
      </c>
      <c r="J1837">
        <v>11208</v>
      </c>
      <c r="K1837" t="s">
        <v>6076</v>
      </c>
      <c r="L1837" t="s">
        <v>6076</v>
      </c>
      <c r="O1837" t="s">
        <v>7306</v>
      </c>
      <c r="Q1837" t="s">
        <v>7322</v>
      </c>
      <c r="S1837" t="s">
        <v>7324</v>
      </c>
      <c r="U1837" t="s">
        <v>397</v>
      </c>
      <c r="V1837">
        <v>700</v>
      </c>
      <c r="W1837" t="s">
        <v>7362</v>
      </c>
      <c r="X1837" t="s">
        <v>7368</v>
      </c>
      <c r="Z1837" t="s">
        <v>8810</v>
      </c>
      <c r="AB1837" t="s">
        <v>11525</v>
      </c>
      <c r="AC1837">
        <v>4</v>
      </c>
      <c r="AD1837" t="s">
        <v>12419</v>
      </c>
      <c r="AF1837">
        <v>1</v>
      </c>
      <c r="AG1837">
        <v>1</v>
      </c>
      <c r="AH1837">
        <v>0</v>
      </c>
      <c r="AI1837">
        <v>114.43</v>
      </c>
      <c r="AL1837" t="s">
        <v>12460</v>
      </c>
      <c r="AM1837">
        <v>14292</v>
      </c>
      <c r="AS1837">
        <v>0.6</v>
      </c>
      <c r="AT1837" t="s">
        <v>397</v>
      </c>
      <c r="AU1837" t="s">
        <v>148</v>
      </c>
    </row>
    <row r="1838" spans="1:47">
      <c r="A1838" s="1">
        <f>HYPERLINK("https://cms.ls-nyc.org/matter/dynamic-profile/view/1885141","18-1885141")</f>
        <v>0</v>
      </c>
      <c r="B1838" t="s">
        <v>125</v>
      </c>
      <c r="C1838" t="s">
        <v>435</v>
      </c>
      <c r="E1838" t="s">
        <v>791</v>
      </c>
      <c r="F1838" t="s">
        <v>2088</v>
      </c>
      <c r="G1838" t="s">
        <v>4738</v>
      </c>
      <c r="H1838" t="s">
        <v>5418</v>
      </c>
      <c r="I1838" t="s">
        <v>6049</v>
      </c>
      <c r="J1838">
        <v>10034</v>
      </c>
      <c r="K1838" t="s">
        <v>6074</v>
      </c>
      <c r="L1838" t="s">
        <v>6074</v>
      </c>
      <c r="O1838" t="s">
        <v>7309</v>
      </c>
      <c r="Q1838" t="s">
        <v>7322</v>
      </c>
      <c r="R1838" t="s">
        <v>6076</v>
      </c>
      <c r="S1838" t="s">
        <v>7324</v>
      </c>
      <c r="U1838" t="s">
        <v>435</v>
      </c>
      <c r="V1838">
        <v>1231.91</v>
      </c>
      <c r="W1838" t="s">
        <v>7365</v>
      </c>
      <c r="X1838" t="s">
        <v>7367</v>
      </c>
      <c r="Z1838" t="s">
        <v>8789</v>
      </c>
      <c r="AB1838" t="s">
        <v>11506</v>
      </c>
      <c r="AC1838">
        <v>0</v>
      </c>
      <c r="AD1838" t="s">
        <v>12422</v>
      </c>
      <c r="AE1838" t="s">
        <v>6110</v>
      </c>
      <c r="AF1838">
        <v>14</v>
      </c>
      <c r="AG1838">
        <v>1</v>
      </c>
      <c r="AH1838">
        <v>0</v>
      </c>
      <c r="AI1838">
        <v>114.66</v>
      </c>
      <c r="AL1838" t="s">
        <v>12461</v>
      </c>
      <c r="AM1838">
        <v>13920</v>
      </c>
      <c r="AS1838">
        <v>19.9</v>
      </c>
      <c r="AT1838" t="s">
        <v>254</v>
      </c>
      <c r="AU1838" t="s">
        <v>13106</v>
      </c>
    </row>
    <row r="1839" spans="1:47">
      <c r="A1839" s="1">
        <f>HYPERLINK("https://cms.ls-nyc.org/matter/dynamic-profile/view/1860590","18-1860590")</f>
        <v>0</v>
      </c>
      <c r="B1839" t="s">
        <v>130</v>
      </c>
      <c r="C1839" t="s">
        <v>517</v>
      </c>
      <c r="E1839" t="s">
        <v>737</v>
      </c>
      <c r="F1839" t="s">
        <v>3011</v>
      </c>
      <c r="G1839" t="s">
        <v>4635</v>
      </c>
      <c r="H1839" t="s">
        <v>5438</v>
      </c>
      <c r="I1839" t="s">
        <v>6049</v>
      </c>
      <c r="J1839">
        <v>10040</v>
      </c>
      <c r="K1839" t="s">
        <v>6074</v>
      </c>
      <c r="L1839" t="s">
        <v>6075</v>
      </c>
      <c r="N1839" t="s">
        <v>6104</v>
      </c>
      <c r="O1839" t="s">
        <v>7306</v>
      </c>
      <c r="Q1839" t="s">
        <v>7322</v>
      </c>
      <c r="R1839" t="s">
        <v>6076</v>
      </c>
      <c r="S1839" t="s">
        <v>7324</v>
      </c>
      <c r="U1839" t="s">
        <v>7344</v>
      </c>
      <c r="V1839">
        <v>862</v>
      </c>
      <c r="W1839" t="s">
        <v>7365</v>
      </c>
      <c r="X1839" t="s">
        <v>7367</v>
      </c>
      <c r="Z1839" t="s">
        <v>8811</v>
      </c>
      <c r="AB1839" t="s">
        <v>11526</v>
      </c>
      <c r="AC1839">
        <v>60</v>
      </c>
      <c r="AD1839" t="s">
        <v>12422</v>
      </c>
      <c r="AE1839" t="s">
        <v>12434</v>
      </c>
      <c r="AF1839">
        <v>40</v>
      </c>
      <c r="AG1839">
        <v>2</v>
      </c>
      <c r="AH1839">
        <v>0</v>
      </c>
      <c r="AI1839">
        <v>114.68</v>
      </c>
      <c r="AL1839" t="s">
        <v>12461</v>
      </c>
      <c r="AM1839">
        <v>18876</v>
      </c>
      <c r="AS1839">
        <v>8.6</v>
      </c>
      <c r="AT1839" t="s">
        <v>13068</v>
      </c>
      <c r="AU1839" t="s">
        <v>13137</v>
      </c>
    </row>
    <row r="1840" spans="1:47">
      <c r="A1840" s="1">
        <f>HYPERLINK("https://cms.ls-nyc.org/matter/dynamic-profile/view/1881390","18-1881390")</f>
        <v>0</v>
      </c>
      <c r="B1840" t="s">
        <v>126</v>
      </c>
      <c r="C1840" t="s">
        <v>414</v>
      </c>
      <c r="E1840" t="s">
        <v>586</v>
      </c>
      <c r="F1840" t="s">
        <v>1647</v>
      </c>
      <c r="G1840" t="s">
        <v>4436</v>
      </c>
      <c r="H1840" t="s">
        <v>5455</v>
      </c>
      <c r="I1840" t="s">
        <v>6049</v>
      </c>
      <c r="J1840">
        <v>10031</v>
      </c>
      <c r="K1840" t="s">
        <v>6074</v>
      </c>
      <c r="L1840" t="s">
        <v>6074</v>
      </c>
      <c r="M1840" t="s">
        <v>6843</v>
      </c>
      <c r="N1840" t="s">
        <v>7273</v>
      </c>
      <c r="O1840" t="s">
        <v>7308</v>
      </c>
      <c r="Q1840" t="s">
        <v>7322</v>
      </c>
      <c r="R1840" t="s">
        <v>6074</v>
      </c>
      <c r="S1840" t="s">
        <v>7324</v>
      </c>
      <c r="T1840" t="s">
        <v>7336</v>
      </c>
      <c r="U1840" t="s">
        <v>256</v>
      </c>
      <c r="V1840">
        <v>2126</v>
      </c>
      <c r="W1840" t="s">
        <v>7365</v>
      </c>
      <c r="X1840" t="s">
        <v>7375</v>
      </c>
      <c r="Z1840" t="s">
        <v>8812</v>
      </c>
      <c r="AB1840" t="s">
        <v>11527</v>
      </c>
      <c r="AC1840">
        <v>42</v>
      </c>
      <c r="AD1840" t="s">
        <v>12422</v>
      </c>
      <c r="AE1840" t="s">
        <v>12434</v>
      </c>
      <c r="AF1840">
        <v>20</v>
      </c>
      <c r="AG1840">
        <v>2</v>
      </c>
      <c r="AH1840">
        <v>0</v>
      </c>
      <c r="AI1840">
        <v>114.68</v>
      </c>
      <c r="AL1840" t="s">
        <v>12461</v>
      </c>
      <c r="AM1840">
        <v>18876</v>
      </c>
      <c r="AS1840">
        <v>1.95</v>
      </c>
      <c r="AT1840" t="s">
        <v>564</v>
      </c>
      <c r="AU1840" t="s">
        <v>13107</v>
      </c>
    </row>
    <row r="1841" spans="1:48">
      <c r="A1841" s="1">
        <f>HYPERLINK("https://cms.ls-nyc.org/matter/dynamic-profile/view/1891772","19-1891772")</f>
        <v>0</v>
      </c>
      <c r="B1841" t="s">
        <v>98</v>
      </c>
      <c r="C1841" t="s">
        <v>318</v>
      </c>
      <c r="D1841" t="s">
        <v>315</v>
      </c>
      <c r="E1841" t="s">
        <v>855</v>
      </c>
      <c r="F1841" t="s">
        <v>3012</v>
      </c>
      <c r="G1841" t="s">
        <v>4739</v>
      </c>
      <c r="I1841" t="s">
        <v>6047</v>
      </c>
      <c r="J1841">
        <v>10459</v>
      </c>
      <c r="K1841" t="s">
        <v>6074</v>
      </c>
      <c r="L1841" t="s">
        <v>6074</v>
      </c>
      <c r="M1841" t="s">
        <v>6844</v>
      </c>
      <c r="N1841" t="s">
        <v>7276</v>
      </c>
      <c r="O1841" t="s">
        <v>7308</v>
      </c>
      <c r="P1841" t="s">
        <v>7316</v>
      </c>
      <c r="Q1841" t="s">
        <v>7322</v>
      </c>
      <c r="R1841" t="s">
        <v>6076</v>
      </c>
      <c r="S1841" t="s">
        <v>7324</v>
      </c>
      <c r="T1841" t="s">
        <v>7339</v>
      </c>
      <c r="U1841" t="s">
        <v>371</v>
      </c>
      <c r="V1841">
        <v>1348.53</v>
      </c>
      <c r="W1841" t="s">
        <v>7363</v>
      </c>
      <c r="X1841" t="s">
        <v>7366</v>
      </c>
      <c r="Y1841" t="s">
        <v>7388</v>
      </c>
      <c r="Z1841" t="s">
        <v>8813</v>
      </c>
      <c r="AA1841" t="s">
        <v>10203</v>
      </c>
      <c r="AC1841">
        <v>22</v>
      </c>
      <c r="AD1841" t="s">
        <v>6322</v>
      </c>
      <c r="AE1841" t="s">
        <v>12433</v>
      </c>
      <c r="AF1841">
        <v>1</v>
      </c>
      <c r="AG1841">
        <v>1</v>
      </c>
      <c r="AH1841">
        <v>2</v>
      </c>
      <c r="AI1841">
        <v>114.86</v>
      </c>
      <c r="AL1841" t="s">
        <v>12460</v>
      </c>
      <c r="AM1841">
        <v>24500</v>
      </c>
      <c r="AO1841" t="s">
        <v>12847</v>
      </c>
      <c r="AP1841" t="s">
        <v>12879</v>
      </c>
      <c r="AQ1841" t="s">
        <v>12909</v>
      </c>
      <c r="AR1841" t="s">
        <v>13024</v>
      </c>
      <c r="AS1841">
        <v>15.2</v>
      </c>
      <c r="AT1841" t="s">
        <v>264</v>
      </c>
      <c r="AU1841" t="s">
        <v>13093</v>
      </c>
    </row>
    <row r="1842" spans="1:48">
      <c r="A1842" s="1">
        <f>HYPERLINK("https://cms.ls-nyc.org/matter/dynamic-profile/view/1872389","18-1872389")</f>
        <v>0</v>
      </c>
      <c r="B1842" t="s">
        <v>128</v>
      </c>
      <c r="C1842" t="s">
        <v>394</v>
      </c>
      <c r="E1842" t="s">
        <v>586</v>
      </c>
      <c r="F1842" t="s">
        <v>3013</v>
      </c>
      <c r="G1842" t="s">
        <v>4740</v>
      </c>
      <c r="H1842">
        <v>5</v>
      </c>
      <c r="I1842" t="s">
        <v>6049</v>
      </c>
      <c r="J1842">
        <v>10034</v>
      </c>
      <c r="K1842" t="s">
        <v>6074</v>
      </c>
      <c r="L1842" t="s">
        <v>6074</v>
      </c>
      <c r="M1842" t="s">
        <v>6845</v>
      </c>
      <c r="N1842" t="s">
        <v>7276</v>
      </c>
      <c r="O1842" t="s">
        <v>7308</v>
      </c>
      <c r="Q1842" t="s">
        <v>7322</v>
      </c>
      <c r="R1842" t="s">
        <v>6076</v>
      </c>
      <c r="S1842" t="s">
        <v>7324</v>
      </c>
      <c r="U1842" t="s">
        <v>394</v>
      </c>
      <c r="V1842">
        <v>1250</v>
      </c>
      <c r="W1842" t="s">
        <v>7365</v>
      </c>
      <c r="X1842" t="s">
        <v>7367</v>
      </c>
      <c r="Z1842" t="s">
        <v>8814</v>
      </c>
      <c r="AC1842">
        <v>63</v>
      </c>
      <c r="AD1842" t="s">
        <v>12422</v>
      </c>
      <c r="AE1842" t="s">
        <v>6110</v>
      </c>
      <c r="AF1842">
        <v>3</v>
      </c>
      <c r="AG1842">
        <v>2</v>
      </c>
      <c r="AH1842">
        <v>3</v>
      </c>
      <c r="AI1842">
        <v>114.89</v>
      </c>
      <c r="AL1842" t="s">
        <v>12461</v>
      </c>
      <c r="AM1842">
        <v>33800</v>
      </c>
      <c r="AS1842">
        <v>44.9</v>
      </c>
      <c r="AT1842" t="s">
        <v>254</v>
      </c>
      <c r="AU1842" t="s">
        <v>13106</v>
      </c>
    </row>
    <row r="1843" spans="1:48">
      <c r="A1843" s="1">
        <f>HYPERLINK("https://cms.ls-nyc.org/matter/dynamic-profile/view/1887694","19-1887694")</f>
        <v>0</v>
      </c>
      <c r="B1843" t="s">
        <v>116</v>
      </c>
      <c r="C1843" t="s">
        <v>492</v>
      </c>
      <c r="D1843" t="s">
        <v>361</v>
      </c>
      <c r="E1843" t="s">
        <v>933</v>
      </c>
      <c r="F1843" t="s">
        <v>2487</v>
      </c>
      <c r="G1843" t="s">
        <v>4741</v>
      </c>
      <c r="H1843" t="s">
        <v>5409</v>
      </c>
      <c r="I1843" t="s">
        <v>6047</v>
      </c>
      <c r="J1843">
        <v>10452</v>
      </c>
      <c r="K1843" t="s">
        <v>6074</v>
      </c>
      <c r="L1843" t="s">
        <v>6074</v>
      </c>
      <c r="N1843" t="s">
        <v>6104</v>
      </c>
      <c r="O1843" t="s">
        <v>7306</v>
      </c>
      <c r="P1843" t="s">
        <v>7314</v>
      </c>
      <c r="Q1843" t="s">
        <v>7322</v>
      </c>
      <c r="R1843" t="s">
        <v>6076</v>
      </c>
      <c r="S1843" t="s">
        <v>7324</v>
      </c>
      <c r="U1843" t="s">
        <v>292</v>
      </c>
      <c r="V1843">
        <v>1016</v>
      </c>
      <c r="W1843" t="s">
        <v>7363</v>
      </c>
      <c r="X1843" t="s">
        <v>7376</v>
      </c>
      <c r="Y1843" t="s">
        <v>7386</v>
      </c>
      <c r="Z1843" t="s">
        <v>8815</v>
      </c>
      <c r="AB1843" t="s">
        <v>11528</v>
      </c>
      <c r="AC1843">
        <v>0</v>
      </c>
      <c r="AD1843" t="s">
        <v>12422</v>
      </c>
      <c r="AE1843" t="s">
        <v>6110</v>
      </c>
      <c r="AF1843">
        <v>15</v>
      </c>
      <c r="AG1843">
        <v>2</v>
      </c>
      <c r="AH1843">
        <v>0</v>
      </c>
      <c r="AI1843">
        <v>115.01</v>
      </c>
      <c r="AL1843" t="s">
        <v>12461</v>
      </c>
      <c r="AM1843">
        <v>18930</v>
      </c>
      <c r="AS1843">
        <v>1</v>
      </c>
      <c r="AT1843" t="s">
        <v>492</v>
      </c>
      <c r="AU1843" t="s">
        <v>116</v>
      </c>
    </row>
    <row r="1844" spans="1:48">
      <c r="A1844" s="1">
        <f>HYPERLINK("https://cms.ls-nyc.org/matter/dynamic-profile/view/1899195","19-1899195")</f>
        <v>0</v>
      </c>
      <c r="B1844" t="s">
        <v>51</v>
      </c>
      <c r="C1844" t="s">
        <v>363</v>
      </c>
      <c r="D1844" t="s">
        <v>363</v>
      </c>
      <c r="E1844" t="s">
        <v>1523</v>
      </c>
      <c r="F1844" t="s">
        <v>3014</v>
      </c>
      <c r="G1844" t="s">
        <v>4742</v>
      </c>
      <c r="H1844" t="s">
        <v>5779</v>
      </c>
      <c r="I1844" t="s">
        <v>6040</v>
      </c>
      <c r="J1844">
        <v>11367</v>
      </c>
      <c r="K1844" t="s">
        <v>6074</v>
      </c>
      <c r="L1844" t="s">
        <v>6075</v>
      </c>
      <c r="M1844" t="s">
        <v>6846</v>
      </c>
      <c r="N1844" t="s">
        <v>7273</v>
      </c>
      <c r="O1844" t="s">
        <v>7306</v>
      </c>
      <c r="P1844" t="s">
        <v>7314</v>
      </c>
      <c r="Q1844" t="s">
        <v>7322</v>
      </c>
      <c r="S1844" t="s">
        <v>7324</v>
      </c>
      <c r="T1844" t="s">
        <v>7336</v>
      </c>
      <c r="U1844" t="s">
        <v>363</v>
      </c>
      <c r="V1844">
        <v>362</v>
      </c>
      <c r="W1844" t="s">
        <v>7361</v>
      </c>
      <c r="X1844" t="s">
        <v>7366</v>
      </c>
      <c r="Y1844" t="s">
        <v>7386</v>
      </c>
      <c r="Z1844" t="s">
        <v>8816</v>
      </c>
      <c r="AA1844" t="s">
        <v>10204</v>
      </c>
      <c r="AB1844" t="s">
        <v>11529</v>
      </c>
      <c r="AC1844">
        <v>28</v>
      </c>
      <c r="AD1844" t="s">
        <v>12427</v>
      </c>
      <c r="AE1844" t="s">
        <v>6110</v>
      </c>
      <c r="AF1844">
        <v>30</v>
      </c>
      <c r="AG1844">
        <v>1</v>
      </c>
      <c r="AH1844">
        <v>0</v>
      </c>
      <c r="AI1844">
        <v>115.08</v>
      </c>
      <c r="AL1844" t="s">
        <v>12460</v>
      </c>
      <c r="AM1844">
        <v>14373</v>
      </c>
      <c r="AS1844">
        <v>1</v>
      </c>
      <c r="AT1844" t="s">
        <v>363</v>
      </c>
      <c r="AU1844" t="s">
        <v>51</v>
      </c>
      <c r="AV1844" t="s">
        <v>13145</v>
      </c>
    </row>
    <row r="1845" spans="1:48">
      <c r="A1845" s="1">
        <f>HYPERLINK("https://cms.ls-nyc.org/matter/dynamic-profile/view/1873016","18-1873016")</f>
        <v>0</v>
      </c>
      <c r="B1845" t="s">
        <v>111</v>
      </c>
      <c r="C1845" t="s">
        <v>289</v>
      </c>
      <c r="D1845" t="s">
        <v>468</v>
      </c>
      <c r="E1845" t="s">
        <v>1524</v>
      </c>
      <c r="F1845" t="s">
        <v>3015</v>
      </c>
      <c r="G1845" t="s">
        <v>4743</v>
      </c>
      <c r="H1845" t="s">
        <v>5465</v>
      </c>
      <c r="I1845" t="s">
        <v>6047</v>
      </c>
      <c r="J1845">
        <v>10451</v>
      </c>
      <c r="K1845" t="s">
        <v>6074</v>
      </c>
      <c r="L1845" t="s">
        <v>6074</v>
      </c>
      <c r="M1845" t="s">
        <v>6847</v>
      </c>
      <c r="N1845" t="s">
        <v>7276</v>
      </c>
      <c r="O1845" t="s">
        <v>7308</v>
      </c>
      <c r="P1845" t="s">
        <v>7316</v>
      </c>
      <c r="Q1845" t="s">
        <v>7322</v>
      </c>
      <c r="R1845" t="s">
        <v>6076</v>
      </c>
      <c r="S1845" t="s">
        <v>7324</v>
      </c>
      <c r="T1845" t="s">
        <v>7339</v>
      </c>
      <c r="U1845" t="s">
        <v>467</v>
      </c>
      <c r="V1845">
        <v>927.1799999999999</v>
      </c>
      <c r="W1845" t="s">
        <v>7363</v>
      </c>
      <c r="X1845" t="s">
        <v>7383</v>
      </c>
      <c r="Y1845" t="s">
        <v>7388</v>
      </c>
      <c r="Z1845" t="s">
        <v>8670</v>
      </c>
      <c r="AB1845" t="s">
        <v>11530</v>
      </c>
      <c r="AC1845">
        <v>30</v>
      </c>
      <c r="AD1845" t="s">
        <v>12422</v>
      </c>
      <c r="AE1845" t="s">
        <v>6110</v>
      </c>
      <c r="AF1845">
        <v>4</v>
      </c>
      <c r="AG1845">
        <v>2</v>
      </c>
      <c r="AH1845">
        <v>0</v>
      </c>
      <c r="AI1845">
        <v>115.14</v>
      </c>
      <c r="AL1845" t="s">
        <v>12461</v>
      </c>
      <c r="AM1845">
        <v>18952</v>
      </c>
      <c r="AO1845" t="s">
        <v>12850</v>
      </c>
      <c r="AP1845" t="s">
        <v>12858</v>
      </c>
      <c r="AQ1845" t="s">
        <v>12909</v>
      </c>
      <c r="AR1845" t="s">
        <v>12957</v>
      </c>
      <c r="AS1845">
        <v>27.65</v>
      </c>
      <c r="AT1845" t="s">
        <v>258</v>
      </c>
      <c r="AU1845" t="s">
        <v>13096</v>
      </c>
    </row>
    <row r="1846" spans="1:48">
      <c r="A1846" s="1">
        <f>HYPERLINK("https://cms.ls-nyc.org/matter/dynamic-profile/view/1875076","18-1875076")</f>
        <v>0</v>
      </c>
      <c r="B1846" t="s">
        <v>49</v>
      </c>
      <c r="C1846" t="s">
        <v>262</v>
      </c>
      <c r="E1846" t="s">
        <v>1525</v>
      </c>
      <c r="F1846" t="s">
        <v>3016</v>
      </c>
      <c r="G1846" t="s">
        <v>4744</v>
      </c>
      <c r="H1846" t="s">
        <v>5439</v>
      </c>
      <c r="I1846" t="s">
        <v>6025</v>
      </c>
      <c r="J1846">
        <v>11691</v>
      </c>
      <c r="K1846" t="s">
        <v>6074</v>
      </c>
      <c r="L1846" t="s">
        <v>6074</v>
      </c>
      <c r="M1846" t="s">
        <v>6848</v>
      </c>
      <c r="N1846" t="s">
        <v>7274</v>
      </c>
      <c r="O1846" t="s">
        <v>7306</v>
      </c>
      <c r="Q1846" t="s">
        <v>7322</v>
      </c>
      <c r="R1846" t="s">
        <v>6076</v>
      </c>
      <c r="S1846" t="s">
        <v>7324</v>
      </c>
      <c r="T1846" t="s">
        <v>7336</v>
      </c>
      <c r="U1846" t="s">
        <v>262</v>
      </c>
      <c r="V1846">
        <v>940</v>
      </c>
      <c r="W1846" t="s">
        <v>7361</v>
      </c>
      <c r="X1846" t="s">
        <v>7366</v>
      </c>
      <c r="Z1846" t="s">
        <v>8817</v>
      </c>
      <c r="AA1846" t="s">
        <v>6110</v>
      </c>
      <c r="AB1846" t="s">
        <v>11531</v>
      </c>
      <c r="AC1846">
        <v>68</v>
      </c>
      <c r="AD1846" t="s">
        <v>12422</v>
      </c>
      <c r="AE1846" t="s">
        <v>6110</v>
      </c>
      <c r="AF1846">
        <v>6</v>
      </c>
      <c r="AG1846">
        <v>1</v>
      </c>
      <c r="AH1846">
        <v>0</v>
      </c>
      <c r="AI1846">
        <v>115.32</v>
      </c>
      <c r="AL1846" t="s">
        <v>12460</v>
      </c>
      <c r="AM1846">
        <v>14000</v>
      </c>
      <c r="AS1846">
        <v>2.25</v>
      </c>
      <c r="AT1846" t="s">
        <v>310</v>
      </c>
      <c r="AU1846" t="s">
        <v>48</v>
      </c>
    </row>
    <row r="1847" spans="1:48">
      <c r="A1847" s="1">
        <f>HYPERLINK("https://cms.ls-nyc.org/matter/dynamic-profile/view/1872542","18-1872542")</f>
        <v>0</v>
      </c>
      <c r="B1847" t="s">
        <v>115</v>
      </c>
      <c r="C1847" t="s">
        <v>376</v>
      </c>
      <c r="D1847" t="s">
        <v>562</v>
      </c>
      <c r="E1847" t="s">
        <v>1526</v>
      </c>
      <c r="F1847" t="s">
        <v>1954</v>
      </c>
      <c r="G1847" t="s">
        <v>4745</v>
      </c>
      <c r="H1847" t="s">
        <v>5411</v>
      </c>
      <c r="I1847" t="s">
        <v>6047</v>
      </c>
      <c r="J1847">
        <v>10452</v>
      </c>
      <c r="K1847" t="s">
        <v>6074</v>
      </c>
      <c r="L1847" t="s">
        <v>6074</v>
      </c>
      <c r="N1847" t="s">
        <v>7278</v>
      </c>
      <c r="O1847" t="s">
        <v>7306</v>
      </c>
      <c r="P1847" t="s">
        <v>7314</v>
      </c>
      <c r="Q1847" t="s">
        <v>7322</v>
      </c>
      <c r="R1847" t="s">
        <v>6076</v>
      </c>
      <c r="S1847" t="s">
        <v>7324</v>
      </c>
      <c r="U1847" t="s">
        <v>467</v>
      </c>
      <c r="V1847">
        <v>600</v>
      </c>
      <c r="W1847" t="s">
        <v>7363</v>
      </c>
      <c r="X1847" t="s">
        <v>7376</v>
      </c>
      <c r="Y1847" t="s">
        <v>7386</v>
      </c>
      <c r="Z1847" t="s">
        <v>8818</v>
      </c>
      <c r="AB1847" t="s">
        <v>11532</v>
      </c>
      <c r="AC1847">
        <v>70</v>
      </c>
      <c r="AD1847" t="s">
        <v>12419</v>
      </c>
      <c r="AE1847" t="s">
        <v>6110</v>
      </c>
      <c r="AF1847">
        <v>26</v>
      </c>
      <c r="AG1847">
        <v>1</v>
      </c>
      <c r="AH1847">
        <v>0</v>
      </c>
      <c r="AI1847">
        <v>115.32</v>
      </c>
      <c r="AL1847" t="s">
        <v>12460</v>
      </c>
      <c r="AM1847">
        <v>14000</v>
      </c>
      <c r="AS1847">
        <v>1.5</v>
      </c>
      <c r="AT1847" t="s">
        <v>402</v>
      </c>
      <c r="AU1847" t="s">
        <v>13092</v>
      </c>
    </row>
    <row r="1848" spans="1:48">
      <c r="A1848" s="1">
        <f>HYPERLINK("https://cms.ls-nyc.org/matter/dynamic-profile/view/1878265","18-1878265")</f>
        <v>0</v>
      </c>
      <c r="B1848" t="s">
        <v>97</v>
      </c>
      <c r="C1848" t="s">
        <v>248</v>
      </c>
      <c r="D1848" t="s">
        <v>389</v>
      </c>
      <c r="E1848" t="s">
        <v>1527</v>
      </c>
      <c r="F1848" t="s">
        <v>3017</v>
      </c>
      <c r="G1848" t="s">
        <v>4746</v>
      </c>
      <c r="H1848" t="s">
        <v>5382</v>
      </c>
      <c r="I1848" t="s">
        <v>6047</v>
      </c>
      <c r="J1848">
        <v>10453</v>
      </c>
      <c r="K1848" t="s">
        <v>6074</v>
      </c>
      <c r="L1848" t="s">
        <v>6074</v>
      </c>
      <c r="N1848" t="s">
        <v>6104</v>
      </c>
      <c r="O1848" t="s">
        <v>7306</v>
      </c>
      <c r="P1848" t="s">
        <v>7314</v>
      </c>
      <c r="Q1848" t="s">
        <v>7322</v>
      </c>
      <c r="R1848" t="s">
        <v>6076</v>
      </c>
      <c r="S1848" t="s">
        <v>7324</v>
      </c>
      <c r="U1848" t="s">
        <v>373</v>
      </c>
      <c r="V1848">
        <v>743.67</v>
      </c>
      <c r="W1848" t="s">
        <v>7363</v>
      </c>
      <c r="X1848" t="s">
        <v>7376</v>
      </c>
      <c r="Y1848" t="s">
        <v>7386</v>
      </c>
      <c r="Z1848" t="s">
        <v>8819</v>
      </c>
      <c r="AB1848" t="s">
        <v>11533</v>
      </c>
      <c r="AC1848">
        <v>54</v>
      </c>
      <c r="AD1848" t="s">
        <v>12422</v>
      </c>
      <c r="AE1848" t="s">
        <v>6110</v>
      </c>
      <c r="AF1848">
        <v>12</v>
      </c>
      <c r="AG1848">
        <v>1</v>
      </c>
      <c r="AH1848">
        <v>0</v>
      </c>
      <c r="AI1848">
        <v>115.35</v>
      </c>
      <c r="AL1848" t="s">
        <v>12460</v>
      </c>
      <c r="AM1848">
        <v>14004</v>
      </c>
      <c r="AS1848">
        <v>1.4</v>
      </c>
      <c r="AT1848" t="s">
        <v>389</v>
      </c>
      <c r="AU1848" t="s">
        <v>97</v>
      </c>
    </row>
    <row r="1849" spans="1:48">
      <c r="A1849" s="1">
        <f>HYPERLINK("https://cms.ls-nyc.org/matter/dynamic-profile/view/1880026","18-1880026")</f>
        <v>0</v>
      </c>
      <c r="B1849" t="s">
        <v>54</v>
      </c>
      <c r="C1849" t="s">
        <v>245</v>
      </c>
      <c r="E1849" t="s">
        <v>1528</v>
      </c>
      <c r="F1849" t="s">
        <v>3018</v>
      </c>
      <c r="G1849" t="s">
        <v>4351</v>
      </c>
      <c r="H1849">
        <v>210</v>
      </c>
      <c r="I1849" t="s">
        <v>6024</v>
      </c>
      <c r="J1849">
        <v>11692</v>
      </c>
      <c r="K1849" t="s">
        <v>6074</v>
      </c>
      <c r="L1849" t="s">
        <v>6074</v>
      </c>
      <c r="M1849" t="s">
        <v>6849</v>
      </c>
      <c r="N1849" t="s">
        <v>7276</v>
      </c>
      <c r="O1849" t="s">
        <v>7308</v>
      </c>
      <c r="Q1849" t="s">
        <v>7322</v>
      </c>
      <c r="R1849" t="s">
        <v>6076</v>
      </c>
      <c r="S1849" t="s">
        <v>7324</v>
      </c>
      <c r="T1849" t="s">
        <v>7336</v>
      </c>
      <c r="U1849" t="s">
        <v>245</v>
      </c>
      <c r="V1849">
        <v>1324</v>
      </c>
      <c r="W1849" t="s">
        <v>7361</v>
      </c>
      <c r="X1849" t="s">
        <v>7366</v>
      </c>
      <c r="Z1849" t="s">
        <v>8820</v>
      </c>
      <c r="AB1849" t="s">
        <v>11534</v>
      </c>
      <c r="AC1849">
        <v>216</v>
      </c>
      <c r="AD1849" t="s">
        <v>12421</v>
      </c>
      <c r="AE1849" t="s">
        <v>12434</v>
      </c>
      <c r="AF1849">
        <v>27</v>
      </c>
      <c r="AG1849">
        <v>2</v>
      </c>
      <c r="AH1849">
        <v>1</v>
      </c>
      <c r="AI1849">
        <v>115.5</v>
      </c>
      <c r="AL1849" t="s">
        <v>12460</v>
      </c>
      <c r="AM1849">
        <v>24000</v>
      </c>
      <c r="AO1849" t="s">
        <v>12848</v>
      </c>
      <c r="AP1849" t="s">
        <v>12891</v>
      </c>
      <c r="AS1849">
        <v>24.75</v>
      </c>
      <c r="AT1849" t="s">
        <v>460</v>
      </c>
      <c r="AU1849" t="s">
        <v>48</v>
      </c>
    </row>
    <row r="1850" spans="1:48">
      <c r="A1850" s="1">
        <f>HYPERLINK("https://cms.ls-nyc.org/matter/dynamic-profile/view/1881967","18-1881967")</f>
        <v>0</v>
      </c>
      <c r="B1850" t="s">
        <v>52</v>
      </c>
      <c r="C1850" t="s">
        <v>258</v>
      </c>
      <c r="D1850" t="s">
        <v>468</v>
      </c>
      <c r="E1850" t="s">
        <v>1529</v>
      </c>
      <c r="F1850" t="s">
        <v>3019</v>
      </c>
      <c r="G1850" t="s">
        <v>4747</v>
      </c>
      <c r="H1850" t="s">
        <v>5780</v>
      </c>
      <c r="I1850" t="s">
        <v>6039</v>
      </c>
      <c r="J1850">
        <v>11368</v>
      </c>
      <c r="K1850" t="s">
        <v>6074</v>
      </c>
      <c r="L1850" t="s">
        <v>6074</v>
      </c>
      <c r="M1850" t="s">
        <v>6850</v>
      </c>
      <c r="N1850" t="s">
        <v>7276</v>
      </c>
      <c r="O1850" t="s">
        <v>7306</v>
      </c>
      <c r="P1850" t="s">
        <v>7314</v>
      </c>
      <c r="Q1850" t="s">
        <v>7322</v>
      </c>
      <c r="R1850" t="s">
        <v>6076</v>
      </c>
      <c r="S1850" t="s">
        <v>7324</v>
      </c>
      <c r="T1850" t="s">
        <v>7336</v>
      </c>
      <c r="U1850" t="s">
        <v>258</v>
      </c>
      <c r="V1850">
        <v>1390</v>
      </c>
      <c r="W1850" t="s">
        <v>7361</v>
      </c>
      <c r="X1850" t="s">
        <v>7366</v>
      </c>
      <c r="Y1850" t="s">
        <v>7386</v>
      </c>
      <c r="Z1850" t="s">
        <v>8821</v>
      </c>
      <c r="AA1850" t="s">
        <v>10205</v>
      </c>
      <c r="AB1850" t="s">
        <v>11535</v>
      </c>
      <c r="AC1850">
        <v>232</v>
      </c>
      <c r="AD1850" t="s">
        <v>12422</v>
      </c>
      <c r="AE1850" t="s">
        <v>12435</v>
      </c>
      <c r="AF1850">
        <v>7</v>
      </c>
      <c r="AG1850">
        <v>1</v>
      </c>
      <c r="AH1850">
        <v>2</v>
      </c>
      <c r="AI1850">
        <v>115.5</v>
      </c>
      <c r="AL1850" t="s">
        <v>12460</v>
      </c>
      <c r="AM1850">
        <v>24000</v>
      </c>
      <c r="AS1850">
        <v>1.6</v>
      </c>
      <c r="AT1850" t="s">
        <v>468</v>
      </c>
      <c r="AU1850" t="s">
        <v>48</v>
      </c>
    </row>
    <row r="1851" spans="1:48">
      <c r="A1851" s="1">
        <f>HYPERLINK("https://cms.ls-nyc.org/matter/dynamic-profile/view/1881813","18-1881813")</f>
        <v>0</v>
      </c>
      <c r="B1851" t="s">
        <v>103</v>
      </c>
      <c r="C1851" t="s">
        <v>372</v>
      </c>
      <c r="E1851" t="s">
        <v>1530</v>
      </c>
      <c r="F1851" t="s">
        <v>2116</v>
      </c>
      <c r="G1851" t="s">
        <v>3810</v>
      </c>
      <c r="H1851" t="s">
        <v>5781</v>
      </c>
      <c r="I1851" t="s">
        <v>6047</v>
      </c>
      <c r="J1851">
        <v>10451</v>
      </c>
      <c r="K1851" t="s">
        <v>6074</v>
      </c>
      <c r="L1851" t="s">
        <v>6074</v>
      </c>
      <c r="M1851" t="s">
        <v>6201</v>
      </c>
      <c r="N1851" t="s">
        <v>7273</v>
      </c>
      <c r="O1851" t="s">
        <v>7308</v>
      </c>
      <c r="Q1851" t="s">
        <v>7322</v>
      </c>
      <c r="R1851" t="s">
        <v>6074</v>
      </c>
      <c r="S1851" t="s">
        <v>7324</v>
      </c>
      <c r="U1851" t="s">
        <v>472</v>
      </c>
      <c r="V1851">
        <v>997</v>
      </c>
      <c r="W1851" t="s">
        <v>7363</v>
      </c>
      <c r="X1851" t="s">
        <v>7376</v>
      </c>
      <c r="Z1851" t="s">
        <v>8822</v>
      </c>
      <c r="AC1851">
        <v>100</v>
      </c>
      <c r="AD1851" t="s">
        <v>12422</v>
      </c>
      <c r="AE1851" t="s">
        <v>6110</v>
      </c>
      <c r="AF1851">
        <v>4</v>
      </c>
      <c r="AG1851">
        <v>3</v>
      </c>
      <c r="AH1851">
        <v>0</v>
      </c>
      <c r="AI1851">
        <v>115.5</v>
      </c>
      <c r="AL1851" t="s">
        <v>12460</v>
      </c>
      <c r="AM1851">
        <v>24000</v>
      </c>
      <c r="AN1851" t="s">
        <v>12587</v>
      </c>
      <c r="AS1851">
        <v>0</v>
      </c>
      <c r="AU1851" t="s">
        <v>13095</v>
      </c>
    </row>
    <row r="1852" spans="1:48">
      <c r="A1852" s="1">
        <f>HYPERLINK("https://cms.ls-nyc.org/matter/dynamic-profile/view/1886664","18-1886664")</f>
        <v>0</v>
      </c>
      <c r="B1852" t="s">
        <v>132</v>
      </c>
      <c r="C1852" t="s">
        <v>465</v>
      </c>
      <c r="D1852" t="s">
        <v>365</v>
      </c>
      <c r="E1852" t="s">
        <v>1531</v>
      </c>
      <c r="F1852" t="s">
        <v>3020</v>
      </c>
      <c r="G1852" t="s">
        <v>4748</v>
      </c>
      <c r="H1852" t="s">
        <v>5387</v>
      </c>
      <c r="I1852" t="s">
        <v>6049</v>
      </c>
      <c r="J1852">
        <v>10035</v>
      </c>
      <c r="K1852" t="s">
        <v>6074</v>
      </c>
      <c r="L1852" t="s">
        <v>6074</v>
      </c>
      <c r="N1852" t="s">
        <v>7276</v>
      </c>
      <c r="O1852" t="s">
        <v>7308</v>
      </c>
      <c r="P1852" t="s">
        <v>7316</v>
      </c>
      <c r="Q1852" t="s">
        <v>7322</v>
      </c>
      <c r="R1852" t="s">
        <v>6076</v>
      </c>
      <c r="S1852" t="s">
        <v>7324</v>
      </c>
      <c r="U1852" t="s">
        <v>465</v>
      </c>
      <c r="V1852">
        <v>1657</v>
      </c>
      <c r="W1852" t="s">
        <v>7365</v>
      </c>
      <c r="X1852" t="s">
        <v>7368</v>
      </c>
      <c r="Y1852" t="s">
        <v>7388</v>
      </c>
      <c r="Z1852" t="s">
        <v>8823</v>
      </c>
      <c r="AB1852" t="s">
        <v>11536</v>
      </c>
      <c r="AC1852">
        <v>0</v>
      </c>
      <c r="AE1852" t="s">
        <v>6110</v>
      </c>
      <c r="AF1852">
        <v>2</v>
      </c>
      <c r="AG1852">
        <v>3</v>
      </c>
      <c r="AH1852">
        <v>0</v>
      </c>
      <c r="AI1852">
        <v>115.5</v>
      </c>
      <c r="AL1852" t="s">
        <v>12460</v>
      </c>
      <c r="AM1852">
        <v>24000</v>
      </c>
      <c r="AS1852">
        <v>1.8</v>
      </c>
      <c r="AT1852" t="s">
        <v>292</v>
      </c>
      <c r="AU1852" t="s">
        <v>13106</v>
      </c>
    </row>
    <row r="1853" spans="1:48">
      <c r="A1853" s="1">
        <f>HYPERLINK("https://cms.ls-nyc.org/matter/dynamic-profile/view/1891553","19-1891553")</f>
        <v>0</v>
      </c>
      <c r="B1853" t="s">
        <v>109</v>
      </c>
      <c r="C1853" t="s">
        <v>278</v>
      </c>
      <c r="D1853" t="s">
        <v>235</v>
      </c>
      <c r="E1853" t="s">
        <v>1532</v>
      </c>
      <c r="F1853" t="s">
        <v>3021</v>
      </c>
      <c r="G1853" t="s">
        <v>4681</v>
      </c>
      <c r="H1853">
        <v>50</v>
      </c>
      <c r="I1853" t="s">
        <v>6047</v>
      </c>
      <c r="J1853">
        <v>10451</v>
      </c>
      <c r="K1853" t="s">
        <v>6074</v>
      </c>
      <c r="L1853" t="s">
        <v>6074</v>
      </c>
      <c r="N1853" t="s">
        <v>7278</v>
      </c>
      <c r="O1853" t="s">
        <v>7306</v>
      </c>
      <c r="P1853" t="s">
        <v>7314</v>
      </c>
      <c r="Q1853" t="s">
        <v>7322</v>
      </c>
      <c r="R1853" t="s">
        <v>6076</v>
      </c>
      <c r="S1853" t="s">
        <v>7324</v>
      </c>
      <c r="U1853" t="s">
        <v>278</v>
      </c>
      <c r="V1853">
        <v>1712.38</v>
      </c>
      <c r="W1853" t="s">
        <v>7363</v>
      </c>
      <c r="X1853" t="s">
        <v>7376</v>
      </c>
      <c r="Y1853" t="s">
        <v>7386</v>
      </c>
      <c r="Z1853" t="s">
        <v>8824</v>
      </c>
      <c r="AB1853" t="s">
        <v>11537</v>
      </c>
      <c r="AC1853">
        <v>81</v>
      </c>
      <c r="AD1853" t="s">
        <v>12422</v>
      </c>
      <c r="AE1853" t="s">
        <v>6110</v>
      </c>
      <c r="AF1853">
        <v>8</v>
      </c>
      <c r="AG1853">
        <v>5</v>
      </c>
      <c r="AH1853">
        <v>1</v>
      </c>
      <c r="AI1853">
        <v>115.64</v>
      </c>
      <c r="AL1853" t="s">
        <v>12460</v>
      </c>
      <c r="AM1853">
        <v>40000</v>
      </c>
      <c r="AS1853">
        <v>1</v>
      </c>
      <c r="AT1853" t="s">
        <v>364</v>
      </c>
      <c r="AU1853" t="s">
        <v>13092</v>
      </c>
    </row>
    <row r="1854" spans="1:48">
      <c r="A1854" s="1">
        <f>HYPERLINK("https://cms.ls-nyc.org/matter/dynamic-profile/view/1882955","18-1882955")</f>
        <v>0</v>
      </c>
      <c r="B1854" t="s">
        <v>81</v>
      </c>
      <c r="C1854" t="s">
        <v>416</v>
      </c>
      <c r="E1854" t="s">
        <v>1343</v>
      </c>
      <c r="F1854" t="s">
        <v>3022</v>
      </c>
      <c r="G1854" t="s">
        <v>4749</v>
      </c>
      <c r="H1854">
        <v>1</v>
      </c>
      <c r="I1854" t="s">
        <v>6043</v>
      </c>
      <c r="J1854">
        <v>11215</v>
      </c>
      <c r="K1854" t="s">
        <v>6074</v>
      </c>
      <c r="L1854" t="s">
        <v>6075</v>
      </c>
      <c r="N1854" t="s">
        <v>6104</v>
      </c>
      <c r="O1854" t="s">
        <v>7307</v>
      </c>
      <c r="Q1854" t="s">
        <v>7322</v>
      </c>
      <c r="S1854" t="s">
        <v>7324</v>
      </c>
      <c r="U1854" t="s">
        <v>416</v>
      </c>
      <c r="V1854">
        <v>153.7</v>
      </c>
      <c r="W1854" t="s">
        <v>7362</v>
      </c>
      <c r="X1854" t="s">
        <v>7368</v>
      </c>
      <c r="Z1854" t="s">
        <v>8825</v>
      </c>
      <c r="AB1854" t="s">
        <v>11538</v>
      </c>
      <c r="AC1854">
        <v>3</v>
      </c>
      <c r="AF1854">
        <v>0</v>
      </c>
      <c r="AG1854">
        <v>1</v>
      </c>
      <c r="AH1854">
        <v>0</v>
      </c>
      <c r="AI1854">
        <v>115.65</v>
      </c>
      <c r="AL1854" t="s">
        <v>12460</v>
      </c>
      <c r="AM1854">
        <v>14040</v>
      </c>
      <c r="AS1854">
        <v>5.4</v>
      </c>
      <c r="AT1854" t="s">
        <v>526</v>
      </c>
      <c r="AU1854" t="s">
        <v>13084</v>
      </c>
      <c r="AV1854" t="s">
        <v>13145</v>
      </c>
    </row>
    <row r="1855" spans="1:48">
      <c r="A1855" s="1">
        <f>HYPERLINK("https://cms.ls-nyc.org/matter/dynamic-profile/view/1868131","18-1868131")</f>
        <v>0</v>
      </c>
      <c r="B1855" t="s">
        <v>139</v>
      </c>
      <c r="C1855" t="s">
        <v>497</v>
      </c>
      <c r="D1855" t="s">
        <v>376</v>
      </c>
      <c r="E1855" t="s">
        <v>567</v>
      </c>
      <c r="F1855" t="s">
        <v>3023</v>
      </c>
      <c r="G1855" t="s">
        <v>4750</v>
      </c>
      <c r="H1855" t="s">
        <v>5411</v>
      </c>
      <c r="I1855" t="s">
        <v>6049</v>
      </c>
      <c r="J1855">
        <v>10033</v>
      </c>
      <c r="K1855" t="s">
        <v>6074</v>
      </c>
      <c r="L1855" t="s">
        <v>6074</v>
      </c>
      <c r="M1855" t="s">
        <v>6851</v>
      </c>
      <c r="N1855" t="s">
        <v>7274</v>
      </c>
      <c r="O1855" t="s">
        <v>7306</v>
      </c>
      <c r="P1855" t="s">
        <v>7314</v>
      </c>
      <c r="Q1855" t="s">
        <v>7322</v>
      </c>
      <c r="R1855" t="s">
        <v>6076</v>
      </c>
      <c r="S1855" t="s">
        <v>7324</v>
      </c>
      <c r="U1855" t="s">
        <v>497</v>
      </c>
      <c r="V1855">
        <v>859</v>
      </c>
      <c r="W1855" t="s">
        <v>7365</v>
      </c>
      <c r="X1855" t="s">
        <v>7366</v>
      </c>
      <c r="Y1855" t="s">
        <v>7386</v>
      </c>
      <c r="Z1855" t="s">
        <v>8826</v>
      </c>
      <c r="AB1855" t="s">
        <v>11539</v>
      </c>
      <c r="AC1855">
        <v>184</v>
      </c>
      <c r="AD1855" t="s">
        <v>12422</v>
      </c>
      <c r="AE1855" t="s">
        <v>6110</v>
      </c>
      <c r="AF1855">
        <v>41</v>
      </c>
      <c r="AG1855">
        <v>1</v>
      </c>
      <c r="AH1855">
        <v>0</v>
      </c>
      <c r="AI1855">
        <v>115.65</v>
      </c>
      <c r="AL1855" t="s">
        <v>12460</v>
      </c>
      <c r="AM1855">
        <v>14040</v>
      </c>
      <c r="AS1855">
        <v>1.2</v>
      </c>
      <c r="AT1855" t="s">
        <v>376</v>
      </c>
      <c r="AU1855" t="s">
        <v>13138</v>
      </c>
    </row>
    <row r="1856" spans="1:48">
      <c r="A1856" s="1">
        <f>HYPERLINK("https://cms.ls-nyc.org/matter/dynamic-profile/view/1871489","18-1871489")</f>
        <v>0</v>
      </c>
      <c r="B1856" t="s">
        <v>114</v>
      </c>
      <c r="C1856" t="s">
        <v>374</v>
      </c>
      <c r="D1856" t="s">
        <v>269</v>
      </c>
      <c r="E1856" t="s">
        <v>1533</v>
      </c>
      <c r="F1856" t="s">
        <v>2905</v>
      </c>
      <c r="G1856" t="s">
        <v>4751</v>
      </c>
      <c r="H1856" t="s">
        <v>5509</v>
      </c>
      <c r="I1856" t="s">
        <v>6047</v>
      </c>
      <c r="J1856">
        <v>10452</v>
      </c>
      <c r="K1856" t="s">
        <v>6074</v>
      </c>
      <c r="L1856" t="s">
        <v>6074</v>
      </c>
      <c r="M1856" t="s">
        <v>6852</v>
      </c>
      <c r="N1856" t="s">
        <v>7274</v>
      </c>
      <c r="O1856" t="s">
        <v>7307</v>
      </c>
      <c r="P1856" t="s">
        <v>7315</v>
      </c>
      <c r="Q1856" t="s">
        <v>7322</v>
      </c>
      <c r="S1856" t="s">
        <v>7324</v>
      </c>
      <c r="U1856" t="s">
        <v>273</v>
      </c>
      <c r="V1856">
        <v>900</v>
      </c>
      <c r="W1856" t="s">
        <v>7363</v>
      </c>
      <c r="X1856" t="s">
        <v>7377</v>
      </c>
      <c r="Y1856" t="s">
        <v>7387</v>
      </c>
      <c r="Z1856" t="s">
        <v>8827</v>
      </c>
      <c r="AA1856" t="s">
        <v>10206</v>
      </c>
      <c r="AB1856" t="s">
        <v>11540</v>
      </c>
      <c r="AC1856">
        <v>3</v>
      </c>
      <c r="AD1856" t="s">
        <v>12419</v>
      </c>
      <c r="AE1856" t="s">
        <v>6110</v>
      </c>
      <c r="AF1856">
        <v>60</v>
      </c>
      <c r="AG1856">
        <v>1</v>
      </c>
      <c r="AH1856">
        <v>0</v>
      </c>
      <c r="AI1856">
        <v>115.75</v>
      </c>
      <c r="AL1856" t="s">
        <v>12460</v>
      </c>
      <c r="AM1856">
        <v>14052</v>
      </c>
      <c r="AN1856" t="s">
        <v>12626</v>
      </c>
      <c r="AS1856">
        <v>11.15</v>
      </c>
      <c r="AT1856" t="s">
        <v>269</v>
      </c>
      <c r="AU1856" t="s">
        <v>13090</v>
      </c>
    </row>
    <row r="1857" spans="1:48">
      <c r="A1857" s="1">
        <f>HYPERLINK("https://cms.ls-nyc.org/matter/dynamic-profile/view/1887119","19-1887119")</f>
        <v>0</v>
      </c>
      <c r="B1857" t="s">
        <v>101</v>
      </c>
      <c r="C1857" t="s">
        <v>272</v>
      </c>
      <c r="E1857" t="s">
        <v>1534</v>
      </c>
      <c r="F1857" t="s">
        <v>818</v>
      </c>
      <c r="G1857" t="s">
        <v>4752</v>
      </c>
      <c r="H1857" t="s">
        <v>5363</v>
      </c>
      <c r="I1857" t="s">
        <v>6047</v>
      </c>
      <c r="J1857">
        <v>10458</v>
      </c>
      <c r="K1857" t="s">
        <v>6074</v>
      </c>
      <c r="L1857" t="s">
        <v>6074</v>
      </c>
      <c r="M1857" t="s">
        <v>6853</v>
      </c>
      <c r="N1857" t="s">
        <v>7276</v>
      </c>
      <c r="O1857" t="s">
        <v>7306</v>
      </c>
      <c r="Q1857" t="s">
        <v>7322</v>
      </c>
      <c r="R1857" t="s">
        <v>6076</v>
      </c>
      <c r="S1857" t="s">
        <v>7324</v>
      </c>
      <c r="U1857" t="s">
        <v>272</v>
      </c>
      <c r="V1857">
        <v>984</v>
      </c>
      <c r="W1857" t="s">
        <v>7363</v>
      </c>
      <c r="X1857" t="s">
        <v>7371</v>
      </c>
      <c r="Z1857" t="s">
        <v>8828</v>
      </c>
      <c r="AB1857" t="s">
        <v>11541</v>
      </c>
      <c r="AC1857">
        <v>48</v>
      </c>
      <c r="AD1857" t="s">
        <v>12422</v>
      </c>
      <c r="AE1857" t="s">
        <v>6110</v>
      </c>
      <c r="AF1857">
        <v>10</v>
      </c>
      <c r="AG1857">
        <v>1</v>
      </c>
      <c r="AH1857">
        <v>0</v>
      </c>
      <c r="AI1857">
        <v>116.08</v>
      </c>
      <c r="AL1857" t="s">
        <v>12460</v>
      </c>
      <c r="AM1857">
        <v>14092</v>
      </c>
      <c r="AS1857">
        <v>3.4</v>
      </c>
      <c r="AT1857" t="s">
        <v>284</v>
      </c>
      <c r="AU1857" t="s">
        <v>13095</v>
      </c>
    </row>
    <row r="1858" spans="1:48">
      <c r="A1858" s="1">
        <f>HYPERLINK("https://cms.ls-nyc.org/matter/dynamic-profile/view/1886107","18-1886107")</f>
        <v>0</v>
      </c>
      <c r="B1858" t="s">
        <v>102</v>
      </c>
      <c r="C1858" t="s">
        <v>320</v>
      </c>
      <c r="E1858" t="s">
        <v>767</v>
      </c>
      <c r="F1858" t="s">
        <v>2073</v>
      </c>
      <c r="G1858" t="s">
        <v>3779</v>
      </c>
      <c r="H1858" t="s">
        <v>5782</v>
      </c>
      <c r="I1858" t="s">
        <v>6047</v>
      </c>
      <c r="J1858">
        <v>10460</v>
      </c>
      <c r="K1858" t="s">
        <v>6074</v>
      </c>
      <c r="L1858" t="s">
        <v>6074</v>
      </c>
      <c r="M1858" t="s">
        <v>6182</v>
      </c>
      <c r="N1858" t="s">
        <v>7273</v>
      </c>
      <c r="O1858" t="s">
        <v>7308</v>
      </c>
      <c r="Q1858" t="s">
        <v>7322</v>
      </c>
      <c r="R1858" t="s">
        <v>6074</v>
      </c>
      <c r="S1858" t="s">
        <v>7324</v>
      </c>
      <c r="U1858" t="s">
        <v>457</v>
      </c>
      <c r="V1858">
        <v>343</v>
      </c>
      <c r="W1858" t="s">
        <v>7363</v>
      </c>
      <c r="X1858" t="s">
        <v>7376</v>
      </c>
      <c r="Z1858" t="s">
        <v>8829</v>
      </c>
      <c r="AC1858">
        <v>169</v>
      </c>
      <c r="AD1858" t="s">
        <v>6322</v>
      </c>
      <c r="AE1858" t="s">
        <v>12434</v>
      </c>
      <c r="AF1858">
        <v>1</v>
      </c>
      <c r="AG1858">
        <v>1</v>
      </c>
      <c r="AH1858">
        <v>0</v>
      </c>
      <c r="AI1858">
        <v>116.14</v>
      </c>
      <c r="AL1858" t="s">
        <v>12461</v>
      </c>
      <c r="AM1858">
        <v>14100</v>
      </c>
      <c r="AS1858">
        <v>0.5</v>
      </c>
      <c r="AT1858" t="s">
        <v>257</v>
      </c>
      <c r="AU1858" t="s">
        <v>13113</v>
      </c>
    </row>
    <row r="1859" spans="1:48">
      <c r="A1859" s="1">
        <f>HYPERLINK("https://cms.ls-nyc.org/matter/dynamic-profile/view/1876981","18-1876981")</f>
        <v>0</v>
      </c>
      <c r="B1859" t="s">
        <v>132</v>
      </c>
      <c r="C1859" t="s">
        <v>290</v>
      </c>
      <c r="D1859" t="s">
        <v>434</v>
      </c>
      <c r="E1859" t="s">
        <v>1535</v>
      </c>
      <c r="F1859" t="s">
        <v>2805</v>
      </c>
      <c r="G1859" t="s">
        <v>4753</v>
      </c>
      <c r="H1859" t="s">
        <v>5655</v>
      </c>
      <c r="I1859" t="s">
        <v>6049</v>
      </c>
      <c r="J1859">
        <v>10034</v>
      </c>
      <c r="K1859" t="s">
        <v>6074</v>
      </c>
      <c r="L1859" t="s">
        <v>6074</v>
      </c>
      <c r="O1859" t="s">
        <v>7307</v>
      </c>
      <c r="P1859" t="s">
        <v>7315</v>
      </c>
      <c r="Q1859" t="s">
        <v>7322</v>
      </c>
      <c r="R1859" t="s">
        <v>6076</v>
      </c>
      <c r="S1859" t="s">
        <v>7324</v>
      </c>
      <c r="U1859" t="s">
        <v>290</v>
      </c>
      <c r="V1859">
        <v>1140.53</v>
      </c>
      <c r="W1859" t="s">
        <v>7365</v>
      </c>
      <c r="X1859" t="s">
        <v>7367</v>
      </c>
      <c r="Y1859" t="s">
        <v>7395</v>
      </c>
      <c r="Z1859" t="s">
        <v>8830</v>
      </c>
      <c r="AC1859">
        <v>101</v>
      </c>
      <c r="AD1859" t="s">
        <v>12422</v>
      </c>
      <c r="AE1859" t="s">
        <v>6110</v>
      </c>
      <c r="AF1859">
        <v>9</v>
      </c>
      <c r="AG1859">
        <v>2</v>
      </c>
      <c r="AH1859">
        <v>3</v>
      </c>
      <c r="AI1859">
        <v>116.48</v>
      </c>
      <c r="AL1859" t="s">
        <v>12461</v>
      </c>
      <c r="AM1859">
        <v>34268</v>
      </c>
      <c r="AS1859">
        <v>0.6</v>
      </c>
      <c r="AT1859" t="s">
        <v>369</v>
      </c>
      <c r="AU1859" t="s">
        <v>13106</v>
      </c>
    </row>
    <row r="1860" spans="1:48">
      <c r="A1860" s="1">
        <f>HYPERLINK("https://cms.ls-nyc.org/matter/dynamic-profile/view/1898987","19-1898987")</f>
        <v>0</v>
      </c>
      <c r="B1860" t="s">
        <v>72</v>
      </c>
      <c r="C1860" t="s">
        <v>276</v>
      </c>
      <c r="E1860" t="s">
        <v>657</v>
      </c>
      <c r="F1860" t="s">
        <v>3024</v>
      </c>
      <c r="G1860" t="s">
        <v>4324</v>
      </c>
      <c r="H1860" t="s">
        <v>5783</v>
      </c>
      <c r="I1860" t="s">
        <v>6043</v>
      </c>
      <c r="J1860">
        <v>11233</v>
      </c>
      <c r="K1860" t="s">
        <v>6074</v>
      </c>
      <c r="L1860" t="s">
        <v>6075</v>
      </c>
      <c r="N1860" t="s">
        <v>7279</v>
      </c>
      <c r="O1860" t="s">
        <v>7311</v>
      </c>
      <c r="Q1860" t="s">
        <v>7322</v>
      </c>
      <c r="R1860" t="s">
        <v>6074</v>
      </c>
      <c r="S1860" t="s">
        <v>7324</v>
      </c>
      <c r="T1860" t="s">
        <v>7336</v>
      </c>
      <c r="U1860" t="s">
        <v>330</v>
      </c>
      <c r="V1860">
        <v>1343.02</v>
      </c>
      <c r="W1860" t="s">
        <v>7362</v>
      </c>
      <c r="X1860" t="s">
        <v>7305</v>
      </c>
      <c r="Z1860" t="s">
        <v>8831</v>
      </c>
      <c r="AC1860">
        <v>359</v>
      </c>
      <c r="AD1860" t="s">
        <v>12422</v>
      </c>
      <c r="AF1860">
        <v>25</v>
      </c>
      <c r="AG1860">
        <v>2</v>
      </c>
      <c r="AH1860">
        <v>2</v>
      </c>
      <c r="AI1860">
        <v>116.5</v>
      </c>
      <c r="AM1860">
        <v>30000</v>
      </c>
      <c r="AN1860" t="s">
        <v>12649</v>
      </c>
      <c r="AS1860">
        <v>0</v>
      </c>
      <c r="AU1860" t="s">
        <v>180</v>
      </c>
      <c r="AV1860" t="s">
        <v>6110</v>
      </c>
    </row>
    <row r="1861" spans="1:48">
      <c r="A1861" s="1">
        <f>HYPERLINK("https://cms.ls-nyc.org/matter/dynamic-profile/view/1898989","19-1898989")</f>
        <v>0</v>
      </c>
      <c r="B1861" t="s">
        <v>72</v>
      </c>
      <c r="C1861" t="s">
        <v>276</v>
      </c>
      <c r="E1861" t="s">
        <v>657</v>
      </c>
      <c r="F1861" t="s">
        <v>3024</v>
      </c>
      <c r="G1861" t="s">
        <v>4324</v>
      </c>
      <c r="H1861" t="s">
        <v>5783</v>
      </c>
      <c r="I1861" t="s">
        <v>6043</v>
      </c>
      <c r="J1861">
        <v>11233</v>
      </c>
      <c r="K1861" t="s">
        <v>6074</v>
      </c>
      <c r="L1861" t="s">
        <v>6075</v>
      </c>
      <c r="N1861" t="s">
        <v>7275</v>
      </c>
      <c r="O1861" t="s">
        <v>7307</v>
      </c>
      <c r="Q1861" t="s">
        <v>7322</v>
      </c>
      <c r="R1861" t="s">
        <v>6074</v>
      </c>
      <c r="S1861" t="s">
        <v>7324</v>
      </c>
      <c r="T1861" t="s">
        <v>7336</v>
      </c>
      <c r="U1861" t="s">
        <v>287</v>
      </c>
      <c r="V1861">
        <v>1343.02</v>
      </c>
      <c r="W1861" t="s">
        <v>7362</v>
      </c>
      <c r="X1861" t="s">
        <v>7305</v>
      </c>
      <c r="Z1861" t="s">
        <v>8831</v>
      </c>
      <c r="AC1861">
        <v>359</v>
      </c>
      <c r="AD1861" t="s">
        <v>12422</v>
      </c>
      <c r="AF1861">
        <v>25</v>
      </c>
      <c r="AG1861">
        <v>2</v>
      </c>
      <c r="AH1861">
        <v>2</v>
      </c>
      <c r="AI1861">
        <v>116.5</v>
      </c>
      <c r="AM1861">
        <v>30000</v>
      </c>
      <c r="AN1861" t="s">
        <v>12650</v>
      </c>
      <c r="AS1861">
        <v>0</v>
      </c>
      <c r="AU1861" t="s">
        <v>180</v>
      </c>
      <c r="AV1861" t="s">
        <v>6110</v>
      </c>
    </row>
    <row r="1862" spans="1:48">
      <c r="A1862" s="1">
        <f>HYPERLINK("https://cms.ls-nyc.org/matter/dynamic-profile/view/1896200","19-1896200")</f>
        <v>0</v>
      </c>
      <c r="B1862" t="s">
        <v>75</v>
      </c>
      <c r="C1862" t="s">
        <v>314</v>
      </c>
      <c r="E1862" t="s">
        <v>593</v>
      </c>
      <c r="F1862" t="s">
        <v>2390</v>
      </c>
      <c r="G1862" t="s">
        <v>4754</v>
      </c>
      <c r="I1862" t="s">
        <v>6043</v>
      </c>
      <c r="J1862">
        <v>11208</v>
      </c>
      <c r="K1862" t="s">
        <v>6074</v>
      </c>
      <c r="L1862" t="s">
        <v>6074</v>
      </c>
      <c r="M1862" t="s">
        <v>6854</v>
      </c>
      <c r="N1862" t="s">
        <v>7274</v>
      </c>
      <c r="O1862" t="s">
        <v>7308</v>
      </c>
      <c r="Q1862" t="s">
        <v>7322</v>
      </c>
      <c r="R1862" t="s">
        <v>6076</v>
      </c>
      <c r="S1862" t="s">
        <v>7324</v>
      </c>
      <c r="U1862" t="s">
        <v>338</v>
      </c>
      <c r="V1862">
        <v>810</v>
      </c>
      <c r="W1862" t="s">
        <v>7362</v>
      </c>
      <c r="Z1862" t="s">
        <v>8832</v>
      </c>
      <c r="AB1862" t="s">
        <v>11542</v>
      </c>
      <c r="AC1862">
        <v>0</v>
      </c>
      <c r="AF1862">
        <v>20</v>
      </c>
      <c r="AG1862">
        <v>1</v>
      </c>
      <c r="AH1862">
        <v>0</v>
      </c>
      <c r="AI1862">
        <v>116.54</v>
      </c>
      <c r="AL1862" t="s">
        <v>12461</v>
      </c>
      <c r="AM1862">
        <v>14556</v>
      </c>
      <c r="AS1862">
        <v>3</v>
      </c>
      <c r="AT1862" t="s">
        <v>257</v>
      </c>
      <c r="AU1862" t="s">
        <v>88</v>
      </c>
    </row>
    <row r="1863" spans="1:48">
      <c r="A1863" s="1">
        <f>HYPERLINK("https://cms.ls-nyc.org/matter/dynamic-profile/view/1878708","18-1878708")</f>
        <v>0</v>
      </c>
      <c r="B1863" t="s">
        <v>49</v>
      </c>
      <c r="C1863" t="s">
        <v>299</v>
      </c>
      <c r="E1863" t="s">
        <v>758</v>
      </c>
      <c r="F1863" t="s">
        <v>3025</v>
      </c>
      <c r="G1863" t="s">
        <v>3649</v>
      </c>
      <c r="H1863">
        <v>405</v>
      </c>
      <c r="I1863" t="s">
        <v>6024</v>
      </c>
      <c r="J1863">
        <v>11692</v>
      </c>
      <c r="K1863" t="s">
        <v>6074</v>
      </c>
      <c r="L1863" t="s">
        <v>6074</v>
      </c>
      <c r="M1863" t="s">
        <v>6855</v>
      </c>
      <c r="N1863" t="s">
        <v>7276</v>
      </c>
      <c r="O1863" t="s">
        <v>7306</v>
      </c>
      <c r="Q1863" t="s">
        <v>7322</v>
      </c>
      <c r="R1863" t="s">
        <v>6076</v>
      </c>
      <c r="S1863" t="s">
        <v>7324</v>
      </c>
      <c r="T1863" t="s">
        <v>7336</v>
      </c>
      <c r="U1863" t="s">
        <v>299</v>
      </c>
      <c r="V1863">
        <v>1500</v>
      </c>
      <c r="W1863" t="s">
        <v>7361</v>
      </c>
      <c r="X1863" t="s">
        <v>7366</v>
      </c>
      <c r="Z1863" t="s">
        <v>8833</v>
      </c>
      <c r="AA1863" t="s">
        <v>10207</v>
      </c>
      <c r="AB1863" t="s">
        <v>11543</v>
      </c>
      <c r="AC1863">
        <v>103</v>
      </c>
      <c r="AD1863" t="s">
        <v>12421</v>
      </c>
      <c r="AE1863" t="s">
        <v>12434</v>
      </c>
      <c r="AF1863">
        <v>32</v>
      </c>
      <c r="AG1863">
        <v>2</v>
      </c>
      <c r="AH1863">
        <v>0</v>
      </c>
      <c r="AI1863">
        <v>116.65</v>
      </c>
      <c r="AL1863" t="s">
        <v>12460</v>
      </c>
      <c r="AM1863">
        <v>19200</v>
      </c>
      <c r="AS1863">
        <v>1.25</v>
      </c>
      <c r="AT1863" t="s">
        <v>310</v>
      </c>
      <c r="AU1863" t="s">
        <v>48</v>
      </c>
    </row>
    <row r="1864" spans="1:48">
      <c r="A1864" s="1">
        <f>HYPERLINK("https://cms.ls-nyc.org/matter/dynamic-profile/view/1877371","18-1877371")</f>
        <v>0</v>
      </c>
      <c r="B1864" t="s">
        <v>73</v>
      </c>
      <c r="C1864" t="s">
        <v>409</v>
      </c>
      <c r="D1864" t="s">
        <v>472</v>
      </c>
      <c r="E1864" t="s">
        <v>1536</v>
      </c>
      <c r="F1864" t="s">
        <v>3026</v>
      </c>
      <c r="G1864" t="s">
        <v>4053</v>
      </c>
      <c r="H1864" t="s">
        <v>5464</v>
      </c>
      <c r="I1864" t="s">
        <v>6043</v>
      </c>
      <c r="J1864">
        <v>11208</v>
      </c>
      <c r="K1864" t="s">
        <v>6074</v>
      </c>
      <c r="L1864" t="s">
        <v>6074</v>
      </c>
      <c r="M1864" t="s">
        <v>6856</v>
      </c>
      <c r="N1864" t="s">
        <v>7276</v>
      </c>
      <c r="O1864" t="s">
        <v>7306</v>
      </c>
      <c r="P1864" t="s">
        <v>7314</v>
      </c>
      <c r="Q1864" t="s">
        <v>7322</v>
      </c>
      <c r="R1864" t="s">
        <v>6076</v>
      </c>
      <c r="S1864" t="s">
        <v>7324</v>
      </c>
      <c r="U1864" t="s">
        <v>409</v>
      </c>
      <c r="V1864">
        <v>1418</v>
      </c>
      <c r="W1864" t="s">
        <v>7362</v>
      </c>
      <c r="X1864" t="s">
        <v>7368</v>
      </c>
      <c r="Y1864" t="s">
        <v>7386</v>
      </c>
      <c r="Z1864" t="s">
        <v>8834</v>
      </c>
      <c r="AB1864" t="s">
        <v>11544</v>
      </c>
      <c r="AC1864">
        <v>294</v>
      </c>
      <c r="AD1864" t="s">
        <v>12420</v>
      </c>
      <c r="AE1864" t="s">
        <v>12434</v>
      </c>
      <c r="AF1864">
        <v>8</v>
      </c>
      <c r="AG1864">
        <v>2</v>
      </c>
      <c r="AH1864">
        <v>0</v>
      </c>
      <c r="AI1864">
        <v>116.65</v>
      </c>
      <c r="AL1864" t="s">
        <v>12460</v>
      </c>
      <c r="AM1864">
        <v>19200</v>
      </c>
      <c r="AN1864" t="s">
        <v>12532</v>
      </c>
      <c r="AS1864">
        <v>3.7</v>
      </c>
      <c r="AT1864" t="s">
        <v>429</v>
      </c>
      <c r="AU1864" t="s">
        <v>13100</v>
      </c>
    </row>
    <row r="1865" spans="1:48">
      <c r="A1865" s="1">
        <f>HYPERLINK("https://cms.ls-nyc.org/matter/dynamic-profile/view/1901246","19-1901246")</f>
        <v>0</v>
      </c>
      <c r="B1865" t="s">
        <v>141</v>
      </c>
      <c r="C1865" t="s">
        <v>496</v>
      </c>
      <c r="E1865" t="s">
        <v>781</v>
      </c>
      <c r="F1865" t="s">
        <v>3027</v>
      </c>
      <c r="G1865" t="s">
        <v>4755</v>
      </c>
      <c r="H1865" t="s">
        <v>5447</v>
      </c>
      <c r="I1865" t="s">
        <v>6049</v>
      </c>
      <c r="J1865">
        <v>10039</v>
      </c>
      <c r="K1865" t="s">
        <v>6074</v>
      </c>
      <c r="L1865" t="s">
        <v>6075</v>
      </c>
      <c r="M1865" t="s">
        <v>6857</v>
      </c>
      <c r="N1865" t="s">
        <v>7276</v>
      </c>
      <c r="O1865" t="s">
        <v>7310</v>
      </c>
      <c r="Q1865" t="s">
        <v>7322</v>
      </c>
      <c r="R1865" t="s">
        <v>6076</v>
      </c>
      <c r="S1865" t="s">
        <v>7324</v>
      </c>
      <c r="U1865" t="s">
        <v>496</v>
      </c>
      <c r="V1865">
        <v>798</v>
      </c>
      <c r="W1865" t="s">
        <v>7365</v>
      </c>
      <c r="X1865" t="s">
        <v>7366</v>
      </c>
      <c r="Z1865" t="s">
        <v>8835</v>
      </c>
      <c r="AA1865" t="s">
        <v>10208</v>
      </c>
      <c r="AB1865" t="s">
        <v>11545</v>
      </c>
      <c r="AC1865">
        <v>0</v>
      </c>
      <c r="AD1865" t="s">
        <v>12422</v>
      </c>
      <c r="AE1865" t="s">
        <v>12441</v>
      </c>
      <c r="AF1865">
        <v>25</v>
      </c>
      <c r="AG1865">
        <v>1</v>
      </c>
      <c r="AH1865">
        <v>0</v>
      </c>
      <c r="AI1865">
        <v>116.83</v>
      </c>
      <c r="AL1865" t="s">
        <v>12460</v>
      </c>
      <c r="AM1865">
        <v>14592</v>
      </c>
      <c r="AS1865">
        <v>0.5</v>
      </c>
      <c r="AT1865" t="s">
        <v>496</v>
      </c>
      <c r="AU1865" t="s">
        <v>13109</v>
      </c>
      <c r="AV1865" t="s">
        <v>13146</v>
      </c>
    </row>
    <row r="1866" spans="1:48">
      <c r="A1866" s="1">
        <f>HYPERLINK("https://cms.ls-nyc.org/matter/dynamic-profile/view/1901077","19-1901077")</f>
        <v>0</v>
      </c>
      <c r="B1866" t="s">
        <v>89</v>
      </c>
      <c r="C1866" t="s">
        <v>324</v>
      </c>
      <c r="E1866" t="s">
        <v>1537</v>
      </c>
      <c r="F1866" t="s">
        <v>2221</v>
      </c>
      <c r="G1866" t="s">
        <v>3743</v>
      </c>
      <c r="H1866" t="s">
        <v>5438</v>
      </c>
      <c r="I1866" t="s">
        <v>6043</v>
      </c>
      <c r="J1866">
        <v>11212</v>
      </c>
      <c r="K1866" t="s">
        <v>6074</v>
      </c>
      <c r="L1866" t="s">
        <v>6075</v>
      </c>
      <c r="M1866" t="s">
        <v>6152</v>
      </c>
      <c r="O1866" t="s">
        <v>7312</v>
      </c>
      <c r="Q1866" t="s">
        <v>7322</v>
      </c>
      <c r="R1866" t="s">
        <v>6074</v>
      </c>
      <c r="S1866" t="s">
        <v>7324</v>
      </c>
      <c r="T1866" t="s">
        <v>7336</v>
      </c>
      <c r="U1866" t="s">
        <v>247</v>
      </c>
      <c r="V1866">
        <v>1326</v>
      </c>
      <c r="W1866" t="s">
        <v>7362</v>
      </c>
      <c r="X1866" t="s">
        <v>7305</v>
      </c>
      <c r="Z1866" t="s">
        <v>8836</v>
      </c>
      <c r="AC1866">
        <v>16</v>
      </c>
      <c r="AD1866" t="s">
        <v>12422</v>
      </c>
      <c r="AE1866" t="s">
        <v>12438</v>
      </c>
      <c r="AF1866">
        <v>3</v>
      </c>
      <c r="AG1866">
        <v>1</v>
      </c>
      <c r="AH1866">
        <v>1</v>
      </c>
      <c r="AI1866">
        <v>116.88</v>
      </c>
      <c r="AL1866" t="s">
        <v>12460</v>
      </c>
      <c r="AM1866">
        <v>19764</v>
      </c>
      <c r="AN1866" t="s">
        <v>12651</v>
      </c>
      <c r="AS1866">
        <v>0</v>
      </c>
      <c r="AU1866" t="s">
        <v>218</v>
      </c>
      <c r="AV1866" t="s">
        <v>13145</v>
      </c>
    </row>
    <row r="1867" spans="1:48">
      <c r="A1867" s="1">
        <f>HYPERLINK("https://cms.ls-nyc.org/matter/dynamic-profile/view/1873755","18-1873755")</f>
        <v>0</v>
      </c>
      <c r="B1867" t="s">
        <v>52</v>
      </c>
      <c r="C1867" t="s">
        <v>402</v>
      </c>
      <c r="D1867" t="s">
        <v>262</v>
      </c>
      <c r="E1867" t="s">
        <v>1538</v>
      </c>
      <c r="F1867" t="s">
        <v>3028</v>
      </c>
      <c r="G1867" t="s">
        <v>4756</v>
      </c>
      <c r="I1867" t="s">
        <v>6025</v>
      </c>
      <c r="J1867">
        <v>11694</v>
      </c>
      <c r="K1867" t="s">
        <v>6074</v>
      </c>
      <c r="L1867" t="s">
        <v>6074</v>
      </c>
      <c r="M1867" t="s">
        <v>6858</v>
      </c>
      <c r="N1867" t="s">
        <v>7276</v>
      </c>
      <c r="O1867" t="s">
        <v>7306</v>
      </c>
      <c r="P1867" t="s">
        <v>7314</v>
      </c>
      <c r="Q1867" t="s">
        <v>7322</v>
      </c>
      <c r="R1867" t="s">
        <v>6076</v>
      </c>
      <c r="S1867" t="s">
        <v>7324</v>
      </c>
      <c r="T1867" t="s">
        <v>7339</v>
      </c>
      <c r="U1867" t="s">
        <v>402</v>
      </c>
      <c r="V1867">
        <v>950</v>
      </c>
      <c r="W1867" t="s">
        <v>7361</v>
      </c>
      <c r="X1867" t="s">
        <v>7366</v>
      </c>
      <c r="Y1867" t="s">
        <v>7386</v>
      </c>
      <c r="Z1867" t="s">
        <v>8837</v>
      </c>
      <c r="AA1867" t="s">
        <v>6110</v>
      </c>
      <c r="AB1867" t="s">
        <v>11546</v>
      </c>
      <c r="AC1867">
        <v>1</v>
      </c>
      <c r="AD1867" t="s">
        <v>12419</v>
      </c>
      <c r="AE1867" t="s">
        <v>6110</v>
      </c>
      <c r="AF1867">
        <v>6</v>
      </c>
      <c r="AG1867">
        <v>1</v>
      </c>
      <c r="AH1867">
        <v>0</v>
      </c>
      <c r="AI1867">
        <v>116.94</v>
      </c>
      <c r="AL1867" t="s">
        <v>12460</v>
      </c>
      <c r="AM1867">
        <v>14196</v>
      </c>
      <c r="AS1867">
        <v>1</v>
      </c>
      <c r="AT1867" t="s">
        <v>262</v>
      </c>
      <c r="AU1867" t="s">
        <v>189</v>
      </c>
    </row>
    <row r="1868" spans="1:48">
      <c r="A1868" s="1">
        <f>HYPERLINK("https://cms.ls-nyc.org/matter/dynamic-profile/view/1866290","18-1866290")</f>
        <v>0</v>
      </c>
      <c r="B1868" t="s">
        <v>199</v>
      </c>
      <c r="C1868" t="s">
        <v>449</v>
      </c>
      <c r="D1868" t="s">
        <v>250</v>
      </c>
      <c r="E1868" t="s">
        <v>1433</v>
      </c>
      <c r="F1868" t="s">
        <v>3029</v>
      </c>
      <c r="G1868" t="s">
        <v>4757</v>
      </c>
      <c r="H1868">
        <v>1</v>
      </c>
      <c r="I1868" t="s">
        <v>6049</v>
      </c>
      <c r="J1868">
        <v>10011</v>
      </c>
      <c r="K1868" t="s">
        <v>6074</v>
      </c>
      <c r="L1868" t="s">
        <v>6074</v>
      </c>
      <c r="M1868" t="s">
        <v>6859</v>
      </c>
      <c r="N1868" t="s">
        <v>7276</v>
      </c>
      <c r="O1868" t="s">
        <v>7306</v>
      </c>
      <c r="P1868" t="s">
        <v>7314</v>
      </c>
      <c r="Q1868" t="s">
        <v>7322</v>
      </c>
      <c r="R1868" t="s">
        <v>6076</v>
      </c>
      <c r="S1868" t="s">
        <v>7324</v>
      </c>
      <c r="U1868" t="s">
        <v>442</v>
      </c>
      <c r="V1868">
        <v>4000</v>
      </c>
      <c r="W1868" t="s">
        <v>7365</v>
      </c>
      <c r="X1868" t="s">
        <v>7366</v>
      </c>
      <c r="Y1868" t="s">
        <v>7386</v>
      </c>
      <c r="Z1868" t="s">
        <v>8838</v>
      </c>
      <c r="AB1868" t="s">
        <v>11547</v>
      </c>
      <c r="AC1868">
        <v>0</v>
      </c>
      <c r="AD1868" t="s">
        <v>6322</v>
      </c>
      <c r="AE1868" t="s">
        <v>6110</v>
      </c>
      <c r="AF1868">
        <v>9</v>
      </c>
      <c r="AG1868">
        <v>1</v>
      </c>
      <c r="AH1868">
        <v>0</v>
      </c>
      <c r="AI1868">
        <v>116.97</v>
      </c>
      <c r="AL1868" t="s">
        <v>12460</v>
      </c>
      <c r="AM1868">
        <v>14200</v>
      </c>
      <c r="AS1868">
        <v>0.2</v>
      </c>
      <c r="AT1868" t="s">
        <v>345</v>
      </c>
      <c r="AU1868" t="s">
        <v>13138</v>
      </c>
    </row>
    <row r="1869" spans="1:48">
      <c r="A1869" s="1">
        <f>HYPERLINK("https://cms.ls-nyc.org/matter/dynamic-profile/view/1871492","18-1871492")</f>
        <v>0</v>
      </c>
      <c r="B1869" t="s">
        <v>132</v>
      </c>
      <c r="C1869" t="s">
        <v>374</v>
      </c>
      <c r="D1869" t="s">
        <v>434</v>
      </c>
      <c r="E1869" t="s">
        <v>1539</v>
      </c>
      <c r="F1869" t="s">
        <v>2667</v>
      </c>
      <c r="G1869" t="s">
        <v>4758</v>
      </c>
      <c r="H1869">
        <v>4</v>
      </c>
      <c r="I1869" t="s">
        <v>6049</v>
      </c>
      <c r="J1869">
        <v>10032</v>
      </c>
      <c r="K1869" t="s">
        <v>6074</v>
      </c>
      <c r="L1869" t="s">
        <v>6074</v>
      </c>
      <c r="N1869" t="s">
        <v>7274</v>
      </c>
      <c r="O1869" t="s">
        <v>7308</v>
      </c>
      <c r="P1869" t="s">
        <v>7316</v>
      </c>
      <c r="Q1869" t="s">
        <v>7322</v>
      </c>
      <c r="R1869" t="s">
        <v>6076</v>
      </c>
      <c r="S1869" t="s">
        <v>7324</v>
      </c>
      <c r="U1869" t="s">
        <v>374</v>
      </c>
      <c r="V1869">
        <v>1106.71</v>
      </c>
      <c r="W1869" t="s">
        <v>7365</v>
      </c>
      <c r="X1869" t="s">
        <v>7371</v>
      </c>
      <c r="Y1869" t="s">
        <v>7388</v>
      </c>
      <c r="Z1869" t="s">
        <v>8839</v>
      </c>
      <c r="AB1869" t="s">
        <v>11548</v>
      </c>
      <c r="AC1869">
        <v>39</v>
      </c>
      <c r="AD1869" t="s">
        <v>12422</v>
      </c>
      <c r="AE1869" t="s">
        <v>6110</v>
      </c>
      <c r="AF1869">
        <v>38</v>
      </c>
      <c r="AG1869">
        <v>2</v>
      </c>
      <c r="AH1869">
        <v>0</v>
      </c>
      <c r="AI1869">
        <v>117.08</v>
      </c>
      <c r="AL1869" t="s">
        <v>12461</v>
      </c>
      <c r="AM1869">
        <v>19272</v>
      </c>
      <c r="AS1869">
        <v>40.35</v>
      </c>
      <c r="AT1869" t="s">
        <v>434</v>
      </c>
      <c r="AU1869" t="s">
        <v>13106</v>
      </c>
    </row>
    <row r="1870" spans="1:48">
      <c r="A1870" s="1">
        <f>HYPERLINK("https://cms.ls-nyc.org/matter/dynamic-profile/view/1895050","19-1895050")</f>
        <v>0</v>
      </c>
      <c r="B1870" t="s">
        <v>126</v>
      </c>
      <c r="C1870" t="s">
        <v>252</v>
      </c>
      <c r="E1870" t="s">
        <v>1129</v>
      </c>
      <c r="F1870" t="s">
        <v>3030</v>
      </c>
      <c r="G1870" t="s">
        <v>4029</v>
      </c>
      <c r="H1870" t="s">
        <v>5784</v>
      </c>
      <c r="I1870" t="s">
        <v>6049</v>
      </c>
      <c r="J1870">
        <v>10029</v>
      </c>
      <c r="K1870" t="s">
        <v>6074</v>
      </c>
      <c r="L1870" t="s">
        <v>6074</v>
      </c>
      <c r="M1870" t="s">
        <v>6860</v>
      </c>
      <c r="N1870" t="s">
        <v>7274</v>
      </c>
      <c r="O1870" t="s">
        <v>7310</v>
      </c>
      <c r="Q1870" t="s">
        <v>7322</v>
      </c>
      <c r="R1870" t="s">
        <v>6076</v>
      </c>
      <c r="S1870" t="s">
        <v>7324</v>
      </c>
      <c r="T1870" t="s">
        <v>7336</v>
      </c>
      <c r="U1870" t="s">
        <v>347</v>
      </c>
      <c r="V1870">
        <v>2210</v>
      </c>
      <c r="W1870" t="s">
        <v>7365</v>
      </c>
      <c r="X1870" t="s">
        <v>7380</v>
      </c>
      <c r="Z1870" t="s">
        <v>8840</v>
      </c>
      <c r="AA1870" t="s">
        <v>10209</v>
      </c>
      <c r="AB1870" t="s">
        <v>11549</v>
      </c>
      <c r="AC1870">
        <v>130</v>
      </c>
      <c r="AD1870" t="s">
        <v>12419</v>
      </c>
      <c r="AE1870" t="s">
        <v>12434</v>
      </c>
      <c r="AF1870">
        <v>30</v>
      </c>
      <c r="AG1870">
        <v>2</v>
      </c>
      <c r="AH1870">
        <v>0</v>
      </c>
      <c r="AI1870">
        <v>117.16</v>
      </c>
      <c r="AL1870" t="s">
        <v>12460</v>
      </c>
      <c r="AM1870">
        <v>19812</v>
      </c>
      <c r="AS1870">
        <v>5.3</v>
      </c>
      <c r="AT1870" t="s">
        <v>254</v>
      </c>
      <c r="AU1870" t="s">
        <v>13096</v>
      </c>
    </row>
    <row r="1871" spans="1:48">
      <c r="A1871" s="1">
        <f>HYPERLINK("https://cms.ls-nyc.org/matter/dynamic-profile/view/1892416","19-1892416")</f>
        <v>0</v>
      </c>
      <c r="B1871" t="s">
        <v>171</v>
      </c>
      <c r="C1871" t="s">
        <v>337</v>
      </c>
      <c r="E1871" t="s">
        <v>1540</v>
      </c>
      <c r="F1871" t="s">
        <v>3031</v>
      </c>
      <c r="G1871" t="s">
        <v>4759</v>
      </c>
      <c r="H1871" t="s">
        <v>5364</v>
      </c>
      <c r="I1871" t="s">
        <v>6043</v>
      </c>
      <c r="J1871">
        <v>11212</v>
      </c>
      <c r="K1871" t="s">
        <v>6074</v>
      </c>
      <c r="L1871" t="s">
        <v>6074</v>
      </c>
      <c r="M1871" t="s">
        <v>6110</v>
      </c>
      <c r="N1871" t="s">
        <v>7275</v>
      </c>
      <c r="O1871" t="s">
        <v>7306</v>
      </c>
      <c r="Q1871" t="s">
        <v>7322</v>
      </c>
      <c r="S1871" t="s">
        <v>7324</v>
      </c>
      <c r="U1871" t="s">
        <v>337</v>
      </c>
      <c r="V1871">
        <v>0</v>
      </c>
      <c r="W1871" t="s">
        <v>7362</v>
      </c>
      <c r="Z1871" t="s">
        <v>8841</v>
      </c>
      <c r="AC1871">
        <v>0</v>
      </c>
      <c r="AE1871" t="s">
        <v>6110</v>
      </c>
      <c r="AF1871">
        <v>0</v>
      </c>
      <c r="AG1871">
        <v>2</v>
      </c>
      <c r="AH1871">
        <v>1</v>
      </c>
      <c r="AI1871">
        <v>117.21</v>
      </c>
      <c r="AL1871" t="s">
        <v>12460</v>
      </c>
      <c r="AM1871">
        <v>25000</v>
      </c>
      <c r="AS1871">
        <v>5</v>
      </c>
      <c r="AT1871" t="s">
        <v>264</v>
      </c>
      <c r="AU1871" t="s">
        <v>218</v>
      </c>
    </row>
    <row r="1872" spans="1:48">
      <c r="A1872" s="1">
        <f>HYPERLINK("https://cms.ls-nyc.org/matter/dynamic-profile/view/1897336","19-1897336")</f>
        <v>0</v>
      </c>
      <c r="B1872" t="s">
        <v>65</v>
      </c>
      <c r="C1872" t="s">
        <v>347</v>
      </c>
      <c r="E1872" t="s">
        <v>933</v>
      </c>
      <c r="F1872" t="s">
        <v>3032</v>
      </c>
      <c r="G1872" t="s">
        <v>4760</v>
      </c>
      <c r="H1872" t="s">
        <v>5385</v>
      </c>
      <c r="I1872" t="s">
        <v>6045</v>
      </c>
      <c r="J1872">
        <v>11101</v>
      </c>
      <c r="K1872" t="s">
        <v>6074</v>
      </c>
      <c r="L1872" t="s">
        <v>6074</v>
      </c>
      <c r="M1872" t="s">
        <v>6861</v>
      </c>
      <c r="N1872" t="s">
        <v>7274</v>
      </c>
      <c r="O1872" t="s">
        <v>7308</v>
      </c>
      <c r="Q1872" t="s">
        <v>7322</v>
      </c>
      <c r="R1872" t="s">
        <v>6076</v>
      </c>
      <c r="S1872" t="s">
        <v>7324</v>
      </c>
      <c r="U1872" t="s">
        <v>347</v>
      </c>
      <c r="V1872">
        <v>1311</v>
      </c>
      <c r="W1872" t="s">
        <v>7361</v>
      </c>
      <c r="X1872" t="s">
        <v>7366</v>
      </c>
      <c r="Z1872" t="s">
        <v>8842</v>
      </c>
      <c r="AB1872" t="s">
        <v>11550</v>
      </c>
      <c r="AC1872">
        <v>0</v>
      </c>
      <c r="AD1872" t="s">
        <v>12422</v>
      </c>
      <c r="AE1872" t="s">
        <v>6110</v>
      </c>
      <c r="AF1872">
        <v>21</v>
      </c>
      <c r="AG1872">
        <v>2</v>
      </c>
      <c r="AH1872">
        <v>1</v>
      </c>
      <c r="AI1872">
        <v>117.21</v>
      </c>
      <c r="AL1872" t="s">
        <v>12460</v>
      </c>
      <c r="AM1872">
        <v>25000</v>
      </c>
      <c r="AS1872">
        <v>6.8</v>
      </c>
      <c r="AT1872" t="s">
        <v>260</v>
      </c>
      <c r="AU1872" t="s">
        <v>189</v>
      </c>
    </row>
    <row r="1873" spans="1:48">
      <c r="A1873" s="1">
        <f>HYPERLINK("https://cms.ls-nyc.org/matter/dynamic-profile/view/1899226","19-1899226")</f>
        <v>0</v>
      </c>
      <c r="B1873" t="s">
        <v>64</v>
      </c>
      <c r="C1873" t="s">
        <v>363</v>
      </c>
      <c r="D1873" t="s">
        <v>317</v>
      </c>
      <c r="E1873" t="s">
        <v>1541</v>
      </c>
      <c r="F1873" t="s">
        <v>3033</v>
      </c>
      <c r="G1873" t="s">
        <v>4761</v>
      </c>
      <c r="H1873" t="s">
        <v>5362</v>
      </c>
      <c r="I1873" t="s">
        <v>6035</v>
      </c>
      <c r="J1873">
        <v>11377</v>
      </c>
      <c r="K1873" t="s">
        <v>6074</v>
      </c>
      <c r="L1873" t="s">
        <v>6075</v>
      </c>
      <c r="M1873" t="s">
        <v>6862</v>
      </c>
      <c r="N1873" t="s">
        <v>7274</v>
      </c>
      <c r="O1873" t="s">
        <v>7308</v>
      </c>
      <c r="P1873" t="s">
        <v>7316</v>
      </c>
      <c r="Q1873" t="s">
        <v>7322</v>
      </c>
      <c r="R1873" t="s">
        <v>6076</v>
      </c>
      <c r="S1873" t="s">
        <v>7324</v>
      </c>
      <c r="T1873" t="s">
        <v>7336</v>
      </c>
      <c r="U1873" t="s">
        <v>363</v>
      </c>
      <c r="V1873">
        <v>1600</v>
      </c>
      <c r="W1873" t="s">
        <v>7361</v>
      </c>
      <c r="X1873" t="s">
        <v>7366</v>
      </c>
      <c r="Y1873" t="s">
        <v>7402</v>
      </c>
      <c r="Z1873" t="s">
        <v>8843</v>
      </c>
      <c r="AA1873" t="s">
        <v>9856</v>
      </c>
      <c r="AB1873" t="s">
        <v>11551</v>
      </c>
      <c r="AC1873">
        <v>2</v>
      </c>
      <c r="AD1873" t="s">
        <v>6322</v>
      </c>
      <c r="AE1873" t="s">
        <v>6110</v>
      </c>
      <c r="AF1873">
        <v>2</v>
      </c>
      <c r="AG1873">
        <v>2</v>
      </c>
      <c r="AH1873">
        <v>1</v>
      </c>
      <c r="AI1873">
        <v>117.29</v>
      </c>
      <c r="AL1873" t="s">
        <v>12460</v>
      </c>
      <c r="AM1873">
        <v>25019</v>
      </c>
      <c r="AO1873" t="s">
        <v>12846</v>
      </c>
      <c r="AP1873" t="s">
        <v>12895</v>
      </c>
      <c r="AQ1873" t="s">
        <v>12910</v>
      </c>
      <c r="AR1873" t="s">
        <v>13025</v>
      </c>
      <c r="AS1873">
        <v>2.3</v>
      </c>
      <c r="AT1873" t="s">
        <v>317</v>
      </c>
      <c r="AU1873" t="s">
        <v>189</v>
      </c>
      <c r="AV1873" t="s">
        <v>13145</v>
      </c>
    </row>
    <row r="1874" spans="1:48">
      <c r="A1874" s="1">
        <f>HYPERLINK("https://cms.ls-nyc.org/matter/dynamic-profile/view/1871601","18-1871601")</f>
        <v>0</v>
      </c>
      <c r="B1874" t="s">
        <v>89</v>
      </c>
      <c r="C1874" t="s">
        <v>453</v>
      </c>
      <c r="E1874" t="s">
        <v>760</v>
      </c>
      <c r="F1874" t="s">
        <v>3034</v>
      </c>
      <c r="G1874" t="s">
        <v>4762</v>
      </c>
      <c r="H1874" t="s">
        <v>5785</v>
      </c>
      <c r="I1874" t="s">
        <v>6043</v>
      </c>
      <c r="J1874">
        <v>11206</v>
      </c>
      <c r="K1874" t="s">
        <v>6074</v>
      </c>
      <c r="L1874" t="s">
        <v>6074</v>
      </c>
      <c r="N1874" t="s">
        <v>7294</v>
      </c>
      <c r="O1874" t="s">
        <v>7310</v>
      </c>
      <c r="Q1874" t="s">
        <v>7323</v>
      </c>
      <c r="R1874" t="s">
        <v>6076</v>
      </c>
      <c r="S1874" t="s">
        <v>7330</v>
      </c>
      <c r="U1874" t="s">
        <v>453</v>
      </c>
      <c r="V1874">
        <v>513</v>
      </c>
      <c r="W1874" t="s">
        <v>7362</v>
      </c>
      <c r="X1874" t="s">
        <v>7369</v>
      </c>
      <c r="Z1874" t="s">
        <v>8844</v>
      </c>
      <c r="AB1874" t="s">
        <v>11552</v>
      </c>
      <c r="AC1874">
        <v>6</v>
      </c>
      <c r="AD1874" t="s">
        <v>12427</v>
      </c>
      <c r="AF1874">
        <v>17</v>
      </c>
      <c r="AG1874">
        <v>2</v>
      </c>
      <c r="AH1874">
        <v>1</v>
      </c>
      <c r="AI1874">
        <v>117.34</v>
      </c>
      <c r="AJ1874" t="s">
        <v>12443</v>
      </c>
      <c r="AK1874" t="s">
        <v>12455</v>
      </c>
      <c r="AL1874" t="s">
        <v>12461</v>
      </c>
      <c r="AM1874">
        <v>24384</v>
      </c>
      <c r="AS1874">
        <v>0</v>
      </c>
      <c r="AU1874" t="s">
        <v>13084</v>
      </c>
    </row>
    <row r="1875" spans="1:48">
      <c r="A1875" s="1">
        <f>HYPERLINK("https://cms.ls-nyc.org/matter/dynamic-profile/view/1883780","18-1883780")</f>
        <v>0</v>
      </c>
      <c r="B1875" t="s">
        <v>114</v>
      </c>
      <c r="C1875" t="s">
        <v>305</v>
      </c>
      <c r="D1875" t="s">
        <v>434</v>
      </c>
      <c r="E1875" t="s">
        <v>855</v>
      </c>
      <c r="F1875" t="s">
        <v>1121</v>
      </c>
      <c r="G1875" t="s">
        <v>4763</v>
      </c>
      <c r="H1875">
        <v>3</v>
      </c>
      <c r="I1875" t="s">
        <v>6047</v>
      </c>
      <c r="J1875">
        <v>10459</v>
      </c>
      <c r="K1875" t="s">
        <v>6074</v>
      </c>
      <c r="L1875" t="s">
        <v>6074</v>
      </c>
      <c r="M1875" t="s">
        <v>6863</v>
      </c>
      <c r="N1875" t="s">
        <v>7274</v>
      </c>
      <c r="O1875" t="s">
        <v>7306</v>
      </c>
      <c r="P1875" t="s">
        <v>7314</v>
      </c>
      <c r="Q1875" t="s">
        <v>7322</v>
      </c>
      <c r="R1875" t="s">
        <v>6076</v>
      </c>
      <c r="S1875" t="s">
        <v>7324</v>
      </c>
      <c r="U1875" t="s">
        <v>297</v>
      </c>
      <c r="V1875">
        <v>2050</v>
      </c>
      <c r="W1875" t="s">
        <v>7363</v>
      </c>
      <c r="X1875" t="s">
        <v>7383</v>
      </c>
      <c r="Y1875" t="s">
        <v>7386</v>
      </c>
      <c r="Z1875" t="s">
        <v>8845</v>
      </c>
      <c r="AB1875" t="s">
        <v>11553</v>
      </c>
      <c r="AC1875">
        <v>4</v>
      </c>
      <c r="AD1875" t="s">
        <v>12420</v>
      </c>
      <c r="AE1875" t="s">
        <v>12434</v>
      </c>
      <c r="AF1875">
        <v>2</v>
      </c>
      <c r="AG1875">
        <v>3</v>
      </c>
      <c r="AH1875">
        <v>1</v>
      </c>
      <c r="AI1875">
        <v>117.58</v>
      </c>
      <c r="AL1875" t="s">
        <v>12461</v>
      </c>
      <c r="AM1875">
        <v>29512</v>
      </c>
      <c r="AN1875" t="s">
        <v>12517</v>
      </c>
      <c r="AS1875">
        <v>0.75</v>
      </c>
      <c r="AT1875" t="s">
        <v>434</v>
      </c>
      <c r="AU1875" t="s">
        <v>13091</v>
      </c>
    </row>
    <row r="1876" spans="1:48">
      <c r="A1876" s="1">
        <f>HYPERLINK("https://cms.ls-nyc.org/matter/dynamic-profile/view/1870088","18-1870088")</f>
        <v>0</v>
      </c>
      <c r="B1876" t="s">
        <v>136</v>
      </c>
      <c r="C1876" t="s">
        <v>450</v>
      </c>
      <c r="E1876" t="s">
        <v>827</v>
      </c>
      <c r="F1876" t="s">
        <v>3035</v>
      </c>
      <c r="G1876" t="s">
        <v>4764</v>
      </c>
      <c r="H1876" t="s">
        <v>5373</v>
      </c>
      <c r="I1876" t="s">
        <v>6049</v>
      </c>
      <c r="J1876">
        <v>10035</v>
      </c>
      <c r="K1876" t="s">
        <v>6074</v>
      </c>
      <c r="L1876" t="s">
        <v>6074</v>
      </c>
      <c r="M1876" t="s">
        <v>6864</v>
      </c>
      <c r="N1876" t="s">
        <v>7274</v>
      </c>
      <c r="O1876" t="s">
        <v>7308</v>
      </c>
      <c r="Q1876" t="s">
        <v>7322</v>
      </c>
      <c r="R1876" t="s">
        <v>6076</v>
      </c>
      <c r="S1876" t="s">
        <v>7324</v>
      </c>
      <c r="T1876" t="s">
        <v>7336</v>
      </c>
      <c r="U1876" t="s">
        <v>304</v>
      </c>
      <c r="V1876">
        <v>650</v>
      </c>
      <c r="W1876" t="s">
        <v>7365</v>
      </c>
      <c r="X1876" t="s">
        <v>7377</v>
      </c>
      <c r="Z1876" t="s">
        <v>8846</v>
      </c>
      <c r="AB1876" t="s">
        <v>11554</v>
      </c>
      <c r="AC1876">
        <v>30</v>
      </c>
      <c r="AD1876" t="s">
        <v>6322</v>
      </c>
      <c r="AE1876" t="s">
        <v>6110</v>
      </c>
      <c r="AF1876">
        <v>22</v>
      </c>
      <c r="AG1876">
        <v>3</v>
      </c>
      <c r="AH1876">
        <v>1</v>
      </c>
      <c r="AI1876">
        <v>117.77</v>
      </c>
      <c r="AL1876" t="s">
        <v>12460</v>
      </c>
      <c r="AM1876">
        <v>29560</v>
      </c>
      <c r="AS1876">
        <v>33.4</v>
      </c>
      <c r="AT1876" t="s">
        <v>423</v>
      </c>
      <c r="AU1876" t="s">
        <v>13100</v>
      </c>
      <c r="AV1876" t="s">
        <v>13145</v>
      </c>
    </row>
    <row r="1877" spans="1:48">
      <c r="A1877" s="1">
        <f>HYPERLINK("https://cms.ls-nyc.org/matter/dynamic-profile/view/1871037","18-1871037")</f>
        <v>0</v>
      </c>
      <c r="B1877" t="s">
        <v>119</v>
      </c>
      <c r="C1877" t="s">
        <v>342</v>
      </c>
      <c r="E1877" t="s">
        <v>1542</v>
      </c>
      <c r="F1877" t="s">
        <v>2104</v>
      </c>
      <c r="G1877" t="s">
        <v>4765</v>
      </c>
      <c r="H1877" t="s">
        <v>5357</v>
      </c>
      <c r="I1877" t="s">
        <v>6048</v>
      </c>
      <c r="J1877">
        <v>10304</v>
      </c>
      <c r="K1877" t="s">
        <v>6074</v>
      </c>
      <c r="L1877" t="s">
        <v>6074</v>
      </c>
      <c r="M1877" t="s">
        <v>6865</v>
      </c>
      <c r="N1877" t="s">
        <v>7276</v>
      </c>
      <c r="O1877" t="s">
        <v>7308</v>
      </c>
      <c r="Q1877" t="s">
        <v>7322</v>
      </c>
      <c r="R1877" t="s">
        <v>6076</v>
      </c>
      <c r="S1877" t="s">
        <v>7324</v>
      </c>
      <c r="T1877" t="s">
        <v>7336</v>
      </c>
      <c r="U1877" t="s">
        <v>365</v>
      </c>
      <c r="V1877">
        <v>772</v>
      </c>
      <c r="W1877" t="s">
        <v>7364</v>
      </c>
      <c r="X1877" t="s">
        <v>7373</v>
      </c>
      <c r="Z1877" t="s">
        <v>8847</v>
      </c>
      <c r="AB1877" t="s">
        <v>11555</v>
      </c>
      <c r="AC1877">
        <v>0</v>
      </c>
      <c r="AD1877" t="s">
        <v>12420</v>
      </c>
      <c r="AE1877" t="s">
        <v>12434</v>
      </c>
      <c r="AF1877">
        <v>0</v>
      </c>
      <c r="AG1877">
        <v>1</v>
      </c>
      <c r="AH1877">
        <v>0</v>
      </c>
      <c r="AI1877">
        <v>117.79</v>
      </c>
      <c r="AL1877" t="s">
        <v>12460</v>
      </c>
      <c r="AM1877">
        <v>14300</v>
      </c>
      <c r="AO1877" t="s">
        <v>12846</v>
      </c>
      <c r="AP1877" t="s">
        <v>12858</v>
      </c>
      <c r="AQ1877" t="s">
        <v>12909</v>
      </c>
      <c r="AR1877" t="s">
        <v>13026</v>
      </c>
      <c r="AS1877">
        <v>6.75</v>
      </c>
      <c r="AT1877" t="s">
        <v>13072</v>
      </c>
      <c r="AU1877" t="s">
        <v>13103</v>
      </c>
    </row>
    <row r="1878" spans="1:48">
      <c r="A1878" s="1">
        <f>HYPERLINK("https://cms.ls-nyc.org/matter/dynamic-profile/view/1892616","19-1892616")</f>
        <v>0</v>
      </c>
      <c r="B1878" t="s">
        <v>72</v>
      </c>
      <c r="C1878" t="s">
        <v>277</v>
      </c>
      <c r="E1878" t="s">
        <v>1543</v>
      </c>
      <c r="F1878" t="s">
        <v>2408</v>
      </c>
      <c r="G1878" t="s">
        <v>4766</v>
      </c>
      <c r="H1878" t="s">
        <v>5354</v>
      </c>
      <c r="I1878" t="s">
        <v>6043</v>
      </c>
      <c r="J1878">
        <v>11212</v>
      </c>
      <c r="K1878" t="s">
        <v>6074</v>
      </c>
      <c r="L1878" t="s">
        <v>6074</v>
      </c>
      <c r="M1878" t="s">
        <v>6866</v>
      </c>
      <c r="N1878" t="s">
        <v>7276</v>
      </c>
      <c r="O1878" t="s">
        <v>7307</v>
      </c>
      <c r="Q1878" t="s">
        <v>7322</v>
      </c>
      <c r="R1878" t="s">
        <v>6076</v>
      </c>
      <c r="S1878" t="s">
        <v>7324</v>
      </c>
      <c r="T1878" t="s">
        <v>7336</v>
      </c>
      <c r="U1878" t="s">
        <v>337</v>
      </c>
      <c r="V1878">
        <v>1350</v>
      </c>
      <c r="W1878" t="s">
        <v>7362</v>
      </c>
      <c r="X1878" t="s">
        <v>7368</v>
      </c>
      <c r="Z1878" t="s">
        <v>8848</v>
      </c>
      <c r="AB1878" t="s">
        <v>11556</v>
      </c>
      <c r="AC1878">
        <v>78</v>
      </c>
      <c r="AD1878" t="s">
        <v>12422</v>
      </c>
      <c r="AF1878">
        <v>7</v>
      </c>
      <c r="AG1878">
        <v>2</v>
      </c>
      <c r="AH1878">
        <v>4</v>
      </c>
      <c r="AI1878">
        <v>117.95</v>
      </c>
      <c r="AL1878" t="s">
        <v>12460</v>
      </c>
      <c r="AM1878">
        <v>40800</v>
      </c>
      <c r="AS1878">
        <v>0</v>
      </c>
      <c r="AU1878" t="s">
        <v>218</v>
      </c>
    </row>
    <row r="1879" spans="1:48">
      <c r="A1879" s="1">
        <f>HYPERLINK("https://cms.ls-nyc.org/matter/dynamic-profile/view/1883668","18-1883668")</f>
        <v>0</v>
      </c>
      <c r="B1879" t="s">
        <v>97</v>
      </c>
      <c r="C1879" t="s">
        <v>380</v>
      </c>
      <c r="D1879" t="s">
        <v>443</v>
      </c>
      <c r="E1879" t="s">
        <v>1544</v>
      </c>
      <c r="F1879" t="s">
        <v>3036</v>
      </c>
      <c r="G1879" t="s">
        <v>4767</v>
      </c>
      <c r="H1879" t="s">
        <v>5465</v>
      </c>
      <c r="I1879" t="s">
        <v>6047</v>
      </c>
      <c r="J1879">
        <v>10452</v>
      </c>
      <c r="K1879" t="s">
        <v>6074</v>
      </c>
      <c r="L1879" t="s">
        <v>6074</v>
      </c>
      <c r="N1879" t="s">
        <v>6104</v>
      </c>
      <c r="O1879" t="s">
        <v>7307</v>
      </c>
      <c r="P1879" t="s">
        <v>7315</v>
      </c>
      <c r="Q1879" t="s">
        <v>7322</v>
      </c>
      <c r="R1879" t="s">
        <v>6076</v>
      </c>
      <c r="S1879" t="s">
        <v>7324</v>
      </c>
      <c r="U1879" t="s">
        <v>380</v>
      </c>
      <c r="V1879">
        <v>887.1900000000001</v>
      </c>
      <c r="W1879" t="s">
        <v>7363</v>
      </c>
      <c r="X1879" t="s">
        <v>7376</v>
      </c>
      <c r="Y1879" t="s">
        <v>7387</v>
      </c>
      <c r="Z1879" t="s">
        <v>8849</v>
      </c>
      <c r="AB1879" t="s">
        <v>11557</v>
      </c>
      <c r="AC1879">
        <v>57</v>
      </c>
      <c r="AD1879" t="s">
        <v>12422</v>
      </c>
      <c r="AE1879" t="s">
        <v>12441</v>
      </c>
      <c r="AF1879">
        <v>40</v>
      </c>
      <c r="AG1879">
        <v>1</v>
      </c>
      <c r="AH1879">
        <v>0</v>
      </c>
      <c r="AI1879">
        <v>118.02</v>
      </c>
      <c r="AL1879" t="s">
        <v>12461</v>
      </c>
      <c r="AM1879">
        <v>14328</v>
      </c>
      <c r="AS1879">
        <v>0.7</v>
      </c>
      <c r="AT1879" t="s">
        <v>443</v>
      </c>
      <c r="AU1879" t="s">
        <v>97</v>
      </c>
    </row>
    <row r="1880" spans="1:48">
      <c r="A1880" s="1">
        <f>HYPERLINK("https://cms.ls-nyc.org/matter/dynamic-profile/view/1881449","18-1881449")</f>
        <v>0</v>
      </c>
      <c r="B1880" t="s">
        <v>98</v>
      </c>
      <c r="C1880" t="s">
        <v>369</v>
      </c>
      <c r="D1880" t="s">
        <v>412</v>
      </c>
      <c r="E1880" t="s">
        <v>790</v>
      </c>
      <c r="F1880" t="s">
        <v>2937</v>
      </c>
      <c r="G1880" t="s">
        <v>4768</v>
      </c>
      <c r="H1880">
        <v>27</v>
      </c>
      <c r="I1880" t="s">
        <v>6047</v>
      </c>
      <c r="J1880">
        <v>10463</v>
      </c>
      <c r="K1880" t="s">
        <v>6074</v>
      </c>
      <c r="L1880" t="s">
        <v>6074</v>
      </c>
      <c r="N1880" t="s">
        <v>7279</v>
      </c>
      <c r="O1880" t="s">
        <v>7306</v>
      </c>
      <c r="P1880" t="s">
        <v>7314</v>
      </c>
      <c r="Q1880" t="s">
        <v>7322</v>
      </c>
      <c r="S1880" t="s">
        <v>7324</v>
      </c>
      <c r="U1880" t="s">
        <v>442</v>
      </c>
      <c r="V1880">
        <v>1400</v>
      </c>
      <c r="W1880" t="s">
        <v>7363</v>
      </c>
      <c r="X1880" t="s">
        <v>7371</v>
      </c>
      <c r="Y1880" t="s">
        <v>7386</v>
      </c>
      <c r="Z1880" t="s">
        <v>8850</v>
      </c>
      <c r="AB1880" t="s">
        <v>11558</v>
      </c>
      <c r="AC1880">
        <v>28</v>
      </c>
      <c r="AD1880" t="s">
        <v>12422</v>
      </c>
      <c r="AE1880" t="s">
        <v>12441</v>
      </c>
      <c r="AF1880">
        <v>35</v>
      </c>
      <c r="AG1880">
        <v>2</v>
      </c>
      <c r="AH1880">
        <v>0</v>
      </c>
      <c r="AI1880">
        <v>118.18</v>
      </c>
      <c r="AL1880" t="s">
        <v>12460</v>
      </c>
      <c r="AM1880">
        <v>19452</v>
      </c>
      <c r="AN1880" t="s">
        <v>12652</v>
      </c>
      <c r="AS1880">
        <v>1.3</v>
      </c>
      <c r="AT1880" t="s">
        <v>442</v>
      </c>
      <c r="AU1880" t="s">
        <v>13077</v>
      </c>
    </row>
    <row r="1881" spans="1:48">
      <c r="A1881" s="1">
        <f>HYPERLINK("https://cms.ls-nyc.org/matter/dynamic-profile/view/1876340","18-1876340")</f>
        <v>0</v>
      </c>
      <c r="B1881" t="s">
        <v>111</v>
      </c>
      <c r="C1881" t="s">
        <v>253</v>
      </c>
      <c r="D1881" t="s">
        <v>414</v>
      </c>
      <c r="E1881" t="s">
        <v>1545</v>
      </c>
      <c r="F1881" t="s">
        <v>1025</v>
      </c>
      <c r="G1881" t="s">
        <v>4769</v>
      </c>
      <c r="H1881" t="s">
        <v>5558</v>
      </c>
      <c r="I1881" t="s">
        <v>6047</v>
      </c>
      <c r="J1881">
        <v>10452</v>
      </c>
      <c r="K1881" t="s">
        <v>6074</v>
      </c>
      <c r="L1881" t="s">
        <v>6074</v>
      </c>
      <c r="N1881" t="s">
        <v>6104</v>
      </c>
      <c r="O1881" t="s">
        <v>7307</v>
      </c>
      <c r="P1881" t="s">
        <v>7315</v>
      </c>
      <c r="Q1881" t="s">
        <v>7322</v>
      </c>
      <c r="R1881" t="s">
        <v>6076</v>
      </c>
      <c r="S1881" t="s">
        <v>7324</v>
      </c>
      <c r="U1881" t="s">
        <v>414</v>
      </c>
      <c r="V1881">
        <v>888</v>
      </c>
      <c r="W1881" t="s">
        <v>7363</v>
      </c>
      <c r="X1881" t="s">
        <v>7367</v>
      </c>
      <c r="Y1881" t="s">
        <v>7392</v>
      </c>
      <c r="Z1881" t="s">
        <v>8851</v>
      </c>
      <c r="AB1881" t="s">
        <v>11559</v>
      </c>
      <c r="AC1881">
        <v>55</v>
      </c>
      <c r="AD1881" t="s">
        <v>12422</v>
      </c>
      <c r="AE1881" t="s">
        <v>6110</v>
      </c>
      <c r="AF1881">
        <v>10</v>
      </c>
      <c r="AG1881">
        <v>2</v>
      </c>
      <c r="AH1881">
        <v>1</v>
      </c>
      <c r="AI1881">
        <v>118.24</v>
      </c>
      <c r="AL1881" t="s">
        <v>12460</v>
      </c>
      <c r="AM1881">
        <v>24570</v>
      </c>
      <c r="AS1881">
        <v>0.2</v>
      </c>
      <c r="AT1881" t="s">
        <v>414</v>
      </c>
      <c r="AU1881" t="s">
        <v>13095</v>
      </c>
    </row>
    <row r="1882" spans="1:48">
      <c r="A1882" s="1">
        <f>HYPERLINK("https://cms.ls-nyc.org/matter/dynamic-profile/view/1896498","19-1896498")</f>
        <v>0</v>
      </c>
      <c r="B1882" t="s">
        <v>86</v>
      </c>
      <c r="C1882" t="s">
        <v>417</v>
      </c>
      <c r="E1882" t="s">
        <v>686</v>
      </c>
      <c r="F1882" t="s">
        <v>3037</v>
      </c>
      <c r="G1882" t="s">
        <v>4770</v>
      </c>
      <c r="H1882" t="s">
        <v>5398</v>
      </c>
      <c r="I1882" t="s">
        <v>6043</v>
      </c>
      <c r="J1882">
        <v>11207</v>
      </c>
      <c r="K1882" t="s">
        <v>6074</v>
      </c>
      <c r="L1882" t="s">
        <v>6074</v>
      </c>
      <c r="N1882" t="s">
        <v>7291</v>
      </c>
      <c r="O1882" t="s">
        <v>7310</v>
      </c>
      <c r="Q1882" t="s">
        <v>7322</v>
      </c>
      <c r="S1882" t="s">
        <v>7327</v>
      </c>
      <c r="U1882" t="s">
        <v>363</v>
      </c>
      <c r="V1882">
        <v>0</v>
      </c>
      <c r="W1882" t="s">
        <v>7362</v>
      </c>
      <c r="Z1882" t="s">
        <v>8852</v>
      </c>
      <c r="AA1882" t="s">
        <v>10210</v>
      </c>
      <c r="AB1882" t="s">
        <v>11560</v>
      </c>
      <c r="AC1882">
        <v>0</v>
      </c>
      <c r="AF1882">
        <v>0</v>
      </c>
      <c r="AG1882">
        <v>2</v>
      </c>
      <c r="AH1882">
        <v>0</v>
      </c>
      <c r="AI1882">
        <v>118.27</v>
      </c>
      <c r="AL1882" t="s">
        <v>12460</v>
      </c>
      <c r="AM1882">
        <v>20000</v>
      </c>
      <c r="AN1882" t="s">
        <v>12653</v>
      </c>
      <c r="AS1882">
        <v>6</v>
      </c>
      <c r="AT1882" t="s">
        <v>564</v>
      </c>
      <c r="AU1882" t="s">
        <v>180</v>
      </c>
      <c r="AV1882" t="s">
        <v>13145</v>
      </c>
    </row>
    <row r="1883" spans="1:48">
      <c r="A1883" s="1">
        <f>HYPERLINK("https://cms.ls-nyc.org/matter/dynamic-profile/view/1890026","19-1890026")</f>
        <v>0</v>
      </c>
      <c r="B1883" t="s">
        <v>96</v>
      </c>
      <c r="C1883" t="s">
        <v>366</v>
      </c>
      <c r="E1883" t="s">
        <v>806</v>
      </c>
      <c r="F1883" t="s">
        <v>2282</v>
      </c>
      <c r="G1883" t="s">
        <v>3792</v>
      </c>
      <c r="H1883" t="s">
        <v>5479</v>
      </c>
      <c r="I1883" t="s">
        <v>6047</v>
      </c>
      <c r="J1883">
        <v>10453</v>
      </c>
      <c r="K1883" t="s">
        <v>6074</v>
      </c>
      <c r="L1883" t="s">
        <v>6074</v>
      </c>
      <c r="M1883" t="s">
        <v>6259</v>
      </c>
      <c r="N1883" t="s">
        <v>7273</v>
      </c>
      <c r="O1883" t="s">
        <v>7308</v>
      </c>
      <c r="Q1883" t="s">
        <v>7322</v>
      </c>
      <c r="R1883" t="s">
        <v>6074</v>
      </c>
      <c r="S1883" t="s">
        <v>7324</v>
      </c>
      <c r="U1883" t="s">
        <v>457</v>
      </c>
      <c r="V1883">
        <v>1400</v>
      </c>
      <c r="W1883" t="s">
        <v>7363</v>
      </c>
      <c r="X1883" t="s">
        <v>7376</v>
      </c>
      <c r="Z1883" t="s">
        <v>7669</v>
      </c>
      <c r="AB1883" t="s">
        <v>10492</v>
      </c>
      <c r="AC1883">
        <v>170</v>
      </c>
      <c r="AD1883" t="s">
        <v>12422</v>
      </c>
      <c r="AF1883">
        <v>8</v>
      </c>
      <c r="AG1883">
        <v>2</v>
      </c>
      <c r="AH1883">
        <v>0</v>
      </c>
      <c r="AI1883">
        <v>118.27</v>
      </c>
      <c r="AL1883" t="s">
        <v>12461</v>
      </c>
      <c r="AM1883">
        <v>20000</v>
      </c>
      <c r="AS1883">
        <v>0</v>
      </c>
      <c r="AU1883" t="s">
        <v>13113</v>
      </c>
    </row>
    <row r="1884" spans="1:48">
      <c r="A1884" s="1">
        <f>HYPERLINK("https://cms.ls-nyc.org/matter/dynamic-profile/view/1894094","19-1894094")</f>
        <v>0</v>
      </c>
      <c r="B1884" t="s">
        <v>107</v>
      </c>
      <c r="C1884" t="s">
        <v>469</v>
      </c>
      <c r="E1884" t="s">
        <v>1546</v>
      </c>
      <c r="F1884" t="s">
        <v>2059</v>
      </c>
      <c r="G1884" t="s">
        <v>3793</v>
      </c>
      <c r="H1884" t="s">
        <v>5400</v>
      </c>
      <c r="I1884" t="s">
        <v>6047</v>
      </c>
      <c r="J1884">
        <v>10453</v>
      </c>
      <c r="K1884" t="s">
        <v>6074</v>
      </c>
      <c r="L1884" t="s">
        <v>6074</v>
      </c>
      <c r="M1884" t="s">
        <v>6194</v>
      </c>
      <c r="N1884" t="s">
        <v>7273</v>
      </c>
      <c r="O1884" t="s">
        <v>7308</v>
      </c>
      <c r="Q1884" t="s">
        <v>7322</v>
      </c>
      <c r="R1884" t="s">
        <v>6074</v>
      </c>
      <c r="S1884" t="s">
        <v>7324</v>
      </c>
      <c r="U1884" t="s">
        <v>457</v>
      </c>
      <c r="V1884">
        <v>692.88</v>
      </c>
      <c r="W1884" t="s">
        <v>7363</v>
      </c>
      <c r="X1884" t="s">
        <v>7376</v>
      </c>
      <c r="Z1884" t="s">
        <v>8853</v>
      </c>
      <c r="AC1884">
        <v>49</v>
      </c>
      <c r="AD1884" t="s">
        <v>12422</v>
      </c>
      <c r="AE1884" t="s">
        <v>6110</v>
      </c>
      <c r="AF1884">
        <v>21</v>
      </c>
      <c r="AG1884">
        <v>2</v>
      </c>
      <c r="AH1884">
        <v>0</v>
      </c>
      <c r="AI1884">
        <v>118.27</v>
      </c>
      <c r="AL1884" t="s">
        <v>12460</v>
      </c>
      <c r="AM1884">
        <v>20000</v>
      </c>
      <c r="AS1884">
        <v>0</v>
      </c>
      <c r="AU1884" t="s">
        <v>13099</v>
      </c>
    </row>
    <row r="1885" spans="1:48">
      <c r="A1885" s="1">
        <f>HYPERLINK("https://cms.ls-nyc.org/matter/dynamic-profile/view/1889124","19-1889124")</f>
        <v>0</v>
      </c>
      <c r="B1885" t="s">
        <v>118</v>
      </c>
      <c r="C1885" t="s">
        <v>366</v>
      </c>
      <c r="E1885" t="s">
        <v>1547</v>
      </c>
      <c r="F1885" t="s">
        <v>3038</v>
      </c>
      <c r="G1885" t="s">
        <v>4771</v>
      </c>
      <c r="H1885" t="s">
        <v>5372</v>
      </c>
      <c r="I1885" t="s">
        <v>6048</v>
      </c>
      <c r="J1885">
        <v>10301</v>
      </c>
      <c r="K1885" t="s">
        <v>6076</v>
      </c>
      <c r="L1885" t="s">
        <v>6074</v>
      </c>
      <c r="M1885" t="s">
        <v>6867</v>
      </c>
      <c r="N1885" t="s">
        <v>7273</v>
      </c>
      <c r="O1885" t="s">
        <v>7308</v>
      </c>
      <c r="Q1885" t="s">
        <v>7322</v>
      </c>
      <c r="R1885" t="s">
        <v>6076</v>
      </c>
      <c r="S1885" t="s">
        <v>7324</v>
      </c>
      <c r="T1885" t="s">
        <v>7340</v>
      </c>
      <c r="U1885" t="s">
        <v>366</v>
      </c>
      <c r="V1885">
        <v>1199</v>
      </c>
      <c r="W1885" t="s">
        <v>7364</v>
      </c>
      <c r="X1885" t="s">
        <v>7367</v>
      </c>
      <c r="Z1885" t="s">
        <v>8854</v>
      </c>
      <c r="AB1885" t="s">
        <v>11561</v>
      </c>
      <c r="AC1885">
        <v>7</v>
      </c>
      <c r="AD1885" t="s">
        <v>12422</v>
      </c>
      <c r="AE1885" t="s">
        <v>12434</v>
      </c>
      <c r="AF1885">
        <v>4</v>
      </c>
      <c r="AG1885">
        <v>1</v>
      </c>
      <c r="AH1885">
        <v>0</v>
      </c>
      <c r="AI1885">
        <v>118.37</v>
      </c>
      <c r="AL1885" t="s">
        <v>12460</v>
      </c>
      <c r="AM1885">
        <v>14784</v>
      </c>
      <c r="AS1885">
        <v>15.5</v>
      </c>
      <c r="AT1885" t="s">
        <v>459</v>
      </c>
      <c r="AU1885" t="s">
        <v>13103</v>
      </c>
    </row>
    <row r="1886" spans="1:48">
      <c r="A1886" s="1">
        <f>HYPERLINK("https://cms.ls-nyc.org/matter/dynamic-profile/view/1893423","19-1893423")</f>
        <v>0</v>
      </c>
      <c r="B1886" t="s">
        <v>116</v>
      </c>
      <c r="C1886" t="s">
        <v>332</v>
      </c>
      <c r="D1886" t="s">
        <v>361</v>
      </c>
      <c r="E1886" t="s">
        <v>1324</v>
      </c>
      <c r="F1886" t="s">
        <v>3039</v>
      </c>
      <c r="G1886" t="s">
        <v>4772</v>
      </c>
      <c r="H1886" t="s">
        <v>5786</v>
      </c>
      <c r="I1886" t="s">
        <v>6047</v>
      </c>
      <c r="J1886">
        <v>10452</v>
      </c>
      <c r="K1886" t="s">
        <v>6074</v>
      </c>
      <c r="L1886" t="s">
        <v>6074</v>
      </c>
      <c r="N1886" t="s">
        <v>6104</v>
      </c>
      <c r="O1886" t="s">
        <v>7307</v>
      </c>
      <c r="P1886" t="s">
        <v>7315</v>
      </c>
      <c r="Q1886" t="s">
        <v>7322</v>
      </c>
      <c r="R1886" t="s">
        <v>6076</v>
      </c>
      <c r="S1886" t="s">
        <v>7324</v>
      </c>
      <c r="U1886" t="s">
        <v>332</v>
      </c>
      <c r="V1886">
        <v>1354</v>
      </c>
      <c r="W1886" t="s">
        <v>7363</v>
      </c>
      <c r="X1886" t="s">
        <v>7376</v>
      </c>
      <c r="Y1886" t="s">
        <v>7386</v>
      </c>
      <c r="Z1886" t="s">
        <v>8855</v>
      </c>
      <c r="AC1886">
        <v>0</v>
      </c>
      <c r="AD1886" t="s">
        <v>12422</v>
      </c>
      <c r="AE1886" t="s">
        <v>6110</v>
      </c>
      <c r="AF1886">
        <v>5</v>
      </c>
      <c r="AG1886">
        <v>2</v>
      </c>
      <c r="AH1886">
        <v>1</v>
      </c>
      <c r="AI1886">
        <v>118.48</v>
      </c>
      <c r="AL1886" t="s">
        <v>12460</v>
      </c>
      <c r="AM1886">
        <v>25272</v>
      </c>
      <c r="AS1886">
        <v>1</v>
      </c>
      <c r="AT1886" t="s">
        <v>332</v>
      </c>
      <c r="AU1886" t="s">
        <v>116</v>
      </c>
    </row>
    <row r="1887" spans="1:48">
      <c r="A1887" s="1">
        <f>HYPERLINK("https://cms.ls-nyc.org/matter/dynamic-profile/view/1880942","18-1880942")</f>
        <v>0</v>
      </c>
      <c r="B1887" t="s">
        <v>57</v>
      </c>
      <c r="C1887" t="s">
        <v>357</v>
      </c>
      <c r="E1887" t="s">
        <v>1548</v>
      </c>
      <c r="F1887" t="s">
        <v>3040</v>
      </c>
      <c r="G1887" t="s">
        <v>4773</v>
      </c>
      <c r="H1887" t="s">
        <v>5439</v>
      </c>
      <c r="I1887" t="s">
        <v>6040</v>
      </c>
      <c r="J1887">
        <v>11358</v>
      </c>
      <c r="K1887" t="s">
        <v>6074</v>
      </c>
      <c r="L1887" t="s">
        <v>6074</v>
      </c>
      <c r="M1887" t="s">
        <v>6868</v>
      </c>
      <c r="N1887" t="s">
        <v>7277</v>
      </c>
      <c r="O1887" t="s">
        <v>7308</v>
      </c>
      <c r="Q1887" t="s">
        <v>7322</v>
      </c>
      <c r="R1887" t="s">
        <v>6076</v>
      </c>
      <c r="S1887" t="s">
        <v>7324</v>
      </c>
      <c r="T1887" t="s">
        <v>7336</v>
      </c>
      <c r="U1887" t="s">
        <v>411</v>
      </c>
      <c r="V1887">
        <v>937</v>
      </c>
      <c r="W1887" t="s">
        <v>7361</v>
      </c>
      <c r="X1887" t="s">
        <v>7367</v>
      </c>
      <c r="Z1887" t="s">
        <v>8856</v>
      </c>
      <c r="AA1887" t="s">
        <v>6110</v>
      </c>
      <c r="AB1887" t="s">
        <v>11562</v>
      </c>
      <c r="AC1887">
        <v>20</v>
      </c>
      <c r="AD1887" t="s">
        <v>12422</v>
      </c>
      <c r="AE1887" t="s">
        <v>6110</v>
      </c>
      <c r="AF1887">
        <v>10</v>
      </c>
      <c r="AG1887">
        <v>1</v>
      </c>
      <c r="AH1887">
        <v>0</v>
      </c>
      <c r="AI1887">
        <v>118.62</v>
      </c>
      <c r="AL1887" t="s">
        <v>12460</v>
      </c>
      <c r="AM1887">
        <v>14400</v>
      </c>
      <c r="AO1887" t="s">
        <v>12847</v>
      </c>
      <c r="AP1887" t="s">
        <v>12896</v>
      </c>
      <c r="AQ1887" t="s">
        <v>12910</v>
      </c>
      <c r="AR1887" t="s">
        <v>13027</v>
      </c>
      <c r="AS1887">
        <v>10.7</v>
      </c>
      <c r="AT1887" t="s">
        <v>367</v>
      </c>
      <c r="AU1887" t="s">
        <v>13104</v>
      </c>
    </row>
    <row r="1888" spans="1:48">
      <c r="A1888" s="1">
        <f>HYPERLINK("https://cms.ls-nyc.org/matter/dynamic-profile/view/1885139","18-1885139")</f>
        <v>0</v>
      </c>
      <c r="B1888" t="s">
        <v>57</v>
      </c>
      <c r="C1888" t="s">
        <v>435</v>
      </c>
      <c r="E1888" t="s">
        <v>1548</v>
      </c>
      <c r="F1888" t="s">
        <v>3040</v>
      </c>
      <c r="G1888" t="s">
        <v>4773</v>
      </c>
      <c r="H1888" t="s">
        <v>5439</v>
      </c>
      <c r="I1888" t="s">
        <v>6040</v>
      </c>
      <c r="J1888">
        <v>11358</v>
      </c>
      <c r="K1888" t="s">
        <v>6074</v>
      </c>
      <c r="L1888" t="s">
        <v>6074</v>
      </c>
      <c r="M1888" t="s">
        <v>6869</v>
      </c>
      <c r="N1888" t="s">
        <v>7277</v>
      </c>
      <c r="O1888" t="s">
        <v>7308</v>
      </c>
      <c r="Q1888" t="s">
        <v>7322</v>
      </c>
      <c r="R1888" t="s">
        <v>6076</v>
      </c>
      <c r="S1888" t="s">
        <v>7324</v>
      </c>
      <c r="T1888" t="s">
        <v>7336</v>
      </c>
      <c r="U1888" t="s">
        <v>411</v>
      </c>
      <c r="V1888">
        <v>937</v>
      </c>
      <c r="W1888" t="s">
        <v>7361</v>
      </c>
      <c r="X1888" t="s">
        <v>7367</v>
      </c>
      <c r="Z1888" t="s">
        <v>8856</v>
      </c>
      <c r="AB1888" t="s">
        <v>11562</v>
      </c>
      <c r="AC1888">
        <v>20</v>
      </c>
      <c r="AD1888" t="s">
        <v>12422</v>
      </c>
      <c r="AE1888" t="s">
        <v>6110</v>
      </c>
      <c r="AF1888">
        <v>10</v>
      </c>
      <c r="AG1888">
        <v>1</v>
      </c>
      <c r="AH1888">
        <v>0</v>
      </c>
      <c r="AI1888">
        <v>118.62</v>
      </c>
      <c r="AL1888" t="s">
        <v>12460</v>
      </c>
      <c r="AM1888">
        <v>14400</v>
      </c>
      <c r="AO1888" t="s">
        <v>12847</v>
      </c>
      <c r="AP1888" t="s">
        <v>12896</v>
      </c>
      <c r="AQ1888" t="s">
        <v>12910</v>
      </c>
      <c r="AR1888" t="s">
        <v>13027</v>
      </c>
      <c r="AS1888">
        <v>5.3</v>
      </c>
      <c r="AT1888" t="s">
        <v>367</v>
      </c>
      <c r="AU1888" t="s">
        <v>48</v>
      </c>
    </row>
    <row r="1889" spans="1:48">
      <c r="A1889" s="1">
        <f>HYPERLINK("https://cms.ls-nyc.org/matter/dynamic-profile/view/1885142","18-1885142")</f>
        <v>0</v>
      </c>
      <c r="B1889" t="s">
        <v>145</v>
      </c>
      <c r="C1889" t="s">
        <v>435</v>
      </c>
      <c r="E1889" t="s">
        <v>1548</v>
      </c>
      <c r="F1889" t="s">
        <v>3040</v>
      </c>
      <c r="G1889" t="s">
        <v>4773</v>
      </c>
      <c r="H1889" t="s">
        <v>5439</v>
      </c>
      <c r="I1889" t="s">
        <v>6040</v>
      </c>
      <c r="J1889">
        <v>11358</v>
      </c>
      <c r="K1889" t="s">
        <v>6074</v>
      </c>
      <c r="L1889" t="s">
        <v>6074</v>
      </c>
      <c r="M1889" t="s">
        <v>6870</v>
      </c>
      <c r="N1889" t="s">
        <v>7277</v>
      </c>
      <c r="O1889" t="s">
        <v>7308</v>
      </c>
      <c r="Q1889" t="s">
        <v>7322</v>
      </c>
      <c r="R1889" t="s">
        <v>6076</v>
      </c>
      <c r="S1889" t="s">
        <v>7324</v>
      </c>
      <c r="T1889" t="s">
        <v>7336</v>
      </c>
      <c r="U1889" t="s">
        <v>411</v>
      </c>
      <c r="V1889">
        <v>937</v>
      </c>
      <c r="W1889" t="s">
        <v>7361</v>
      </c>
      <c r="X1889" t="s">
        <v>7367</v>
      </c>
      <c r="Z1889" t="s">
        <v>8856</v>
      </c>
      <c r="AB1889" t="s">
        <v>11562</v>
      </c>
      <c r="AC1889">
        <v>20</v>
      </c>
      <c r="AD1889" t="s">
        <v>12422</v>
      </c>
      <c r="AE1889" t="s">
        <v>6110</v>
      </c>
      <c r="AF1889">
        <v>10</v>
      </c>
      <c r="AG1889">
        <v>1</v>
      </c>
      <c r="AH1889">
        <v>0</v>
      </c>
      <c r="AI1889">
        <v>118.62</v>
      </c>
      <c r="AL1889" t="s">
        <v>12460</v>
      </c>
      <c r="AM1889">
        <v>14400</v>
      </c>
      <c r="AO1889" t="s">
        <v>12847</v>
      </c>
      <c r="AP1889" t="s">
        <v>12896</v>
      </c>
      <c r="AQ1889" t="s">
        <v>12910</v>
      </c>
      <c r="AR1889" t="s">
        <v>13027</v>
      </c>
      <c r="AS1889">
        <v>75.75</v>
      </c>
      <c r="AT1889" t="s">
        <v>379</v>
      </c>
      <c r="AU1889" t="s">
        <v>48</v>
      </c>
    </row>
    <row r="1890" spans="1:48">
      <c r="A1890" s="1">
        <f>HYPERLINK("https://cms.ls-nyc.org/matter/dynamic-profile/view/1871868","18-1871868")</f>
        <v>0</v>
      </c>
      <c r="B1890" t="s">
        <v>77</v>
      </c>
      <c r="C1890" t="s">
        <v>475</v>
      </c>
      <c r="D1890" t="s">
        <v>266</v>
      </c>
      <c r="E1890" t="s">
        <v>1549</v>
      </c>
      <c r="F1890" t="s">
        <v>3041</v>
      </c>
      <c r="G1890" t="s">
        <v>4774</v>
      </c>
      <c r="H1890" t="s">
        <v>5732</v>
      </c>
      <c r="I1890" t="s">
        <v>6043</v>
      </c>
      <c r="J1890">
        <v>11233</v>
      </c>
      <c r="K1890" t="s">
        <v>6074</v>
      </c>
      <c r="L1890" t="s">
        <v>6074</v>
      </c>
      <c r="M1890" t="s">
        <v>6871</v>
      </c>
      <c r="N1890" t="s">
        <v>7274</v>
      </c>
      <c r="O1890" t="s">
        <v>7306</v>
      </c>
      <c r="P1890" t="s">
        <v>7314</v>
      </c>
      <c r="Q1890" t="s">
        <v>7322</v>
      </c>
      <c r="R1890" t="s">
        <v>6076</v>
      </c>
      <c r="S1890" t="s">
        <v>7324</v>
      </c>
      <c r="U1890" t="s">
        <v>475</v>
      </c>
      <c r="V1890">
        <v>900</v>
      </c>
      <c r="W1890" t="s">
        <v>7362</v>
      </c>
      <c r="X1890" t="s">
        <v>7367</v>
      </c>
      <c r="Y1890" t="s">
        <v>7386</v>
      </c>
      <c r="Z1890" t="s">
        <v>8857</v>
      </c>
      <c r="AA1890" t="s">
        <v>10211</v>
      </c>
      <c r="AB1890" t="s">
        <v>11563</v>
      </c>
      <c r="AC1890">
        <v>2</v>
      </c>
      <c r="AD1890" t="s">
        <v>12419</v>
      </c>
      <c r="AE1890" t="s">
        <v>6110</v>
      </c>
      <c r="AF1890">
        <v>28</v>
      </c>
      <c r="AG1890">
        <v>1</v>
      </c>
      <c r="AH1890">
        <v>0</v>
      </c>
      <c r="AI1890">
        <v>118.62</v>
      </c>
      <c r="AL1890" t="s">
        <v>12460</v>
      </c>
      <c r="AM1890">
        <v>14400</v>
      </c>
      <c r="AS1890">
        <v>1.25</v>
      </c>
      <c r="AT1890" t="s">
        <v>238</v>
      </c>
      <c r="AU1890" t="s">
        <v>218</v>
      </c>
    </row>
    <row r="1891" spans="1:48">
      <c r="A1891" s="1">
        <f>HYPERLINK("https://cms.ls-nyc.org/matter/dynamic-profile/view/1881598","18-1881598")</f>
        <v>0</v>
      </c>
      <c r="B1891" t="s">
        <v>76</v>
      </c>
      <c r="C1891" t="s">
        <v>298</v>
      </c>
      <c r="D1891" t="s">
        <v>456</v>
      </c>
      <c r="E1891" t="s">
        <v>1550</v>
      </c>
      <c r="F1891" t="s">
        <v>3042</v>
      </c>
      <c r="G1891" t="s">
        <v>4775</v>
      </c>
      <c r="H1891" t="s">
        <v>5420</v>
      </c>
      <c r="I1891" t="s">
        <v>6043</v>
      </c>
      <c r="J1891">
        <v>11207</v>
      </c>
      <c r="K1891" t="s">
        <v>6076</v>
      </c>
      <c r="L1891" t="s">
        <v>6076</v>
      </c>
      <c r="M1891" t="s">
        <v>6872</v>
      </c>
      <c r="N1891" t="s">
        <v>7274</v>
      </c>
      <c r="O1891" t="s">
        <v>7306</v>
      </c>
      <c r="P1891" t="s">
        <v>7319</v>
      </c>
      <c r="Q1891" t="s">
        <v>7322</v>
      </c>
      <c r="R1891" t="s">
        <v>6076</v>
      </c>
      <c r="S1891" t="s">
        <v>7324</v>
      </c>
      <c r="T1891" t="s">
        <v>7336</v>
      </c>
      <c r="U1891" t="s">
        <v>271</v>
      </c>
      <c r="V1891">
        <v>675</v>
      </c>
      <c r="W1891" t="s">
        <v>7362</v>
      </c>
      <c r="X1891" t="s">
        <v>7378</v>
      </c>
      <c r="Y1891" t="s">
        <v>7398</v>
      </c>
      <c r="Z1891" t="s">
        <v>8858</v>
      </c>
      <c r="AA1891" t="s">
        <v>6110</v>
      </c>
      <c r="AB1891" t="s">
        <v>11564</v>
      </c>
      <c r="AC1891">
        <v>3</v>
      </c>
      <c r="AD1891" t="s">
        <v>12419</v>
      </c>
      <c r="AE1891" t="s">
        <v>6110</v>
      </c>
      <c r="AF1891">
        <v>2</v>
      </c>
      <c r="AG1891">
        <v>1</v>
      </c>
      <c r="AH1891">
        <v>0</v>
      </c>
      <c r="AI1891">
        <v>118.62</v>
      </c>
      <c r="AL1891" t="s">
        <v>12460</v>
      </c>
      <c r="AM1891">
        <v>14400</v>
      </c>
      <c r="AS1891">
        <v>1.8</v>
      </c>
      <c r="AT1891" t="s">
        <v>283</v>
      </c>
      <c r="AU1891" t="s">
        <v>13080</v>
      </c>
    </row>
    <row r="1892" spans="1:48">
      <c r="A1892" s="1">
        <f>HYPERLINK("https://cms.ls-nyc.org/matter/dynamic-profile/view/1875570","18-1875570")</f>
        <v>0</v>
      </c>
      <c r="B1892" t="s">
        <v>184</v>
      </c>
      <c r="C1892" t="s">
        <v>233</v>
      </c>
      <c r="D1892" t="s">
        <v>233</v>
      </c>
      <c r="E1892" t="s">
        <v>1107</v>
      </c>
      <c r="F1892" t="s">
        <v>3043</v>
      </c>
      <c r="G1892" t="s">
        <v>4776</v>
      </c>
      <c r="H1892" t="s">
        <v>5355</v>
      </c>
      <c r="I1892" t="s">
        <v>6047</v>
      </c>
      <c r="J1892">
        <v>10456</v>
      </c>
      <c r="K1892" t="s">
        <v>6074</v>
      </c>
      <c r="L1892" t="s">
        <v>6074</v>
      </c>
      <c r="N1892" t="s">
        <v>6104</v>
      </c>
      <c r="O1892" t="s">
        <v>7307</v>
      </c>
      <c r="P1892" t="s">
        <v>7315</v>
      </c>
      <c r="Q1892" t="s">
        <v>7322</v>
      </c>
      <c r="R1892" t="s">
        <v>6076</v>
      </c>
      <c r="S1892" t="s">
        <v>7324</v>
      </c>
      <c r="U1892" t="s">
        <v>233</v>
      </c>
      <c r="V1892">
        <v>879</v>
      </c>
      <c r="W1892" t="s">
        <v>7363</v>
      </c>
      <c r="X1892" t="s">
        <v>7376</v>
      </c>
      <c r="Y1892" t="s">
        <v>7386</v>
      </c>
      <c r="Z1892" t="s">
        <v>8859</v>
      </c>
      <c r="AB1892" t="s">
        <v>11565</v>
      </c>
      <c r="AC1892">
        <v>35</v>
      </c>
      <c r="AD1892" t="s">
        <v>12422</v>
      </c>
      <c r="AE1892" t="s">
        <v>12441</v>
      </c>
      <c r="AF1892">
        <v>30</v>
      </c>
      <c r="AG1892">
        <v>1</v>
      </c>
      <c r="AH1892">
        <v>0</v>
      </c>
      <c r="AI1892">
        <v>118.62</v>
      </c>
      <c r="AL1892" t="s">
        <v>12461</v>
      </c>
      <c r="AM1892">
        <v>14400</v>
      </c>
      <c r="AS1892">
        <v>0.2</v>
      </c>
      <c r="AT1892" t="s">
        <v>233</v>
      </c>
      <c r="AU1892" t="s">
        <v>13092</v>
      </c>
    </row>
    <row r="1893" spans="1:48">
      <c r="A1893" s="1">
        <f>HYPERLINK("https://cms.ls-nyc.org/matter/dynamic-profile/view/1874056","18-1874056")</f>
        <v>0</v>
      </c>
      <c r="B1893" t="s">
        <v>111</v>
      </c>
      <c r="C1893" t="s">
        <v>437</v>
      </c>
      <c r="D1893" t="s">
        <v>472</v>
      </c>
      <c r="E1893" t="s">
        <v>1107</v>
      </c>
      <c r="F1893" t="s">
        <v>3043</v>
      </c>
      <c r="G1893" t="s">
        <v>4776</v>
      </c>
      <c r="I1893" t="s">
        <v>6047</v>
      </c>
      <c r="J1893">
        <v>10456</v>
      </c>
      <c r="K1893" t="s">
        <v>6074</v>
      </c>
      <c r="L1893" t="s">
        <v>6074</v>
      </c>
      <c r="N1893" t="s">
        <v>7283</v>
      </c>
      <c r="O1893" t="s">
        <v>7307</v>
      </c>
      <c r="P1893" t="s">
        <v>7315</v>
      </c>
      <c r="Q1893" t="s">
        <v>7322</v>
      </c>
      <c r="R1893" t="s">
        <v>6076</v>
      </c>
      <c r="S1893" t="s">
        <v>7324</v>
      </c>
      <c r="U1893" t="s">
        <v>437</v>
      </c>
      <c r="V1893">
        <v>1159</v>
      </c>
      <c r="W1893" t="s">
        <v>7363</v>
      </c>
      <c r="X1893" t="s">
        <v>7376</v>
      </c>
      <c r="Y1893" t="s">
        <v>7390</v>
      </c>
      <c r="Z1893" t="s">
        <v>8859</v>
      </c>
      <c r="AB1893" t="s">
        <v>11565</v>
      </c>
      <c r="AC1893">
        <v>35</v>
      </c>
      <c r="AD1893" t="s">
        <v>12422</v>
      </c>
      <c r="AE1893" t="s">
        <v>12441</v>
      </c>
      <c r="AF1893">
        <v>30</v>
      </c>
      <c r="AG1893">
        <v>1</v>
      </c>
      <c r="AH1893">
        <v>0</v>
      </c>
      <c r="AI1893">
        <v>118.62</v>
      </c>
      <c r="AL1893" t="s">
        <v>12461</v>
      </c>
      <c r="AM1893">
        <v>14400</v>
      </c>
      <c r="AS1893">
        <v>1</v>
      </c>
      <c r="AT1893" t="s">
        <v>437</v>
      </c>
      <c r="AU1893" t="s">
        <v>111</v>
      </c>
    </row>
    <row r="1894" spans="1:48">
      <c r="A1894" s="1">
        <f>HYPERLINK("https://cms.ls-nyc.org/matter/dynamic-profile/view/1880120","18-1880120")</f>
        <v>0</v>
      </c>
      <c r="B1894" t="s">
        <v>133</v>
      </c>
      <c r="C1894" t="s">
        <v>245</v>
      </c>
      <c r="E1894" t="s">
        <v>1551</v>
      </c>
      <c r="F1894" t="s">
        <v>3044</v>
      </c>
      <c r="G1894" t="s">
        <v>4128</v>
      </c>
      <c r="H1894" t="s">
        <v>5742</v>
      </c>
      <c r="I1894" t="s">
        <v>6049</v>
      </c>
      <c r="J1894">
        <v>10040</v>
      </c>
      <c r="K1894" t="s">
        <v>6074</v>
      </c>
      <c r="L1894" t="s">
        <v>6074</v>
      </c>
      <c r="N1894" t="s">
        <v>7279</v>
      </c>
      <c r="O1894" t="s">
        <v>7308</v>
      </c>
      <c r="Q1894" t="s">
        <v>7322</v>
      </c>
      <c r="R1894" t="s">
        <v>6074</v>
      </c>
      <c r="S1894" t="s">
        <v>7324</v>
      </c>
      <c r="U1894" t="s">
        <v>245</v>
      </c>
      <c r="V1894">
        <v>1438.5</v>
      </c>
      <c r="W1894" t="s">
        <v>7365</v>
      </c>
      <c r="X1894" t="s">
        <v>7368</v>
      </c>
      <c r="Z1894" t="s">
        <v>8860</v>
      </c>
      <c r="AB1894" t="s">
        <v>11566</v>
      </c>
      <c r="AC1894">
        <v>88</v>
      </c>
      <c r="AD1894" t="s">
        <v>12422</v>
      </c>
      <c r="AE1894" t="s">
        <v>6110</v>
      </c>
      <c r="AF1894">
        <v>3</v>
      </c>
      <c r="AG1894">
        <v>1</v>
      </c>
      <c r="AH1894">
        <v>0</v>
      </c>
      <c r="AI1894">
        <v>118.62</v>
      </c>
      <c r="AL1894" t="s">
        <v>12460</v>
      </c>
      <c r="AM1894">
        <v>14400</v>
      </c>
      <c r="AS1894">
        <v>0</v>
      </c>
      <c r="AU1894" t="s">
        <v>13106</v>
      </c>
    </row>
    <row r="1895" spans="1:48">
      <c r="A1895" s="1">
        <f>HYPERLINK("https://cms.ls-nyc.org/matter/dynamic-profile/view/1874697","18-1874697")</f>
        <v>0</v>
      </c>
      <c r="B1895" t="s">
        <v>130</v>
      </c>
      <c r="C1895" t="s">
        <v>378</v>
      </c>
      <c r="E1895" t="s">
        <v>767</v>
      </c>
      <c r="F1895" t="s">
        <v>2076</v>
      </c>
      <c r="G1895" t="s">
        <v>3842</v>
      </c>
      <c r="H1895" t="s">
        <v>5393</v>
      </c>
      <c r="I1895" t="s">
        <v>6049</v>
      </c>
      <c r="J1895">
        <v>10033</v>
      </c>
      <c r="K1895" t="s">
        <v>6074</v>
      </c>
      <c r="L1895" t="s">
        <v>6074</v>
      </c>
      <c r="N1895" t="s">
        <v>7273</v>
      </c>
      <c r="O1895" t="s">
        <v>7307</v>
      </c>
      <c r="Q1895" t="s">
        <v>7322</v>
      </c>
      <c r="R1895" t="s">
        <v>6074</v>
      </c>
      <c r="S1895" t="s">
        <v>7324</v>
      </c>
      <c r="U1895" t="s">
        <v>378</v>
      </c>
      <c r="V1895">
        <v>1198.63</v>
      </c>
      <c r="W1895" t="s">
        <v>7365</v>
      </c>
      <c r="X1895" t="s">
        <v>7375</v>
      </c>
      <c r="Z1895" t="s">
        <v>8861</v>
      </c>
      <c r="AB1895" t="s">
        <v>11567</v>
      </c>
      <c r="AC1895">
        <v>232</v>
      </c>
      <c r="AD1895" t="s">
        <v>12422</v>
      </c>
      <c r="AE1895" t="s">
        <v>12441</v>
      </c>
      <c r="AF1895">
        <v>38</v>
      </c>
      <c r="AG1895">
        <v>1</v>
      </c>
      <c r="AH1895">
        <v>0</v>
      </c>
      <c r="AI1895">
        <v>118.62</v>
      </c>
      <c r="AL1895" t="s">
        <v>12461</v>
      </c>
      <c r="AM1895">
        <v>14400</v>
      </c>
      <c r="AS1895">
        <v>1.2</v>
      </c>
      <c r="AT1895" t="s">
        <v>496</v>
      </c>
      <c r="AU1895" t="s">
        <v>13106</v>
      </c>
    </row>
    <row r="1896" spans="1:48">
      <c r="A1896" s="1">
        <f>HYPERLINK("https://cms.ls-nyc.org/matter/dynamic-profile/view/1899389","19-1899389")</f>
        <v>0</v>
      </c>
      <c r="B1896" t="s">
        <v>94</v>
      </c>
      <c r="C1896" t="s">
        <v>421</v>
      </c>
      <c r="E1896" t="s">
        <v>1113</v>
      </c>
      <c r="F1896" t="s">
        <v>3045</v>
      </c>
      <c r="G1896" t="s">
        <v>4777</v>
      </c>
      <c r="I1896" t="s">
        <v>6033</v>
      </c>
      <c r="J1896">
        <v>11416</v>
      </c>
      <c r="K1896" t="s">
        <v>6074</v>
      </c>
      <c r="L1896" t="s">
        <v>6075</v>
      </c>
      <c r="M1896" t="s">
        <v>6873</v>
      </c>
      <c r="N1896" t="s">
        <v>7274</v>
      </c>
      <c r="O1896" t="s">
        <v>7310</v>
      </c>
      <c r="Q1896" t="s">
        <v>7322</v>
      </c>
      <c r="R1896" t="s">
        <v>6076</v>
      </c>
      <c r="S1896" t="s">
        <v>7324</v>
      </c>
      <c r="U1896" t="s">
        <v>421</v>
      </c>
      <c r="V1896">
        <v>1350</v>
      </c>
      <c r="W1896" t="s">
        <v>7361</v>
      </c>
      <c r="Z1896" t="s">
        <v>8862</v>
      </c>
      <c r="AC1896">
        <v>0</v>
      </c>
      <c r="AF1896">
        <v>10</v>
      </c>
      <c r="AG1896">
        <v>1</v>
      </c>
      <c r="AH1896">
        <v>0</v>
      </c>
      <c r="AI1896">
        <v>118.65</v>
      </c>
      <c r="AL1896" t="s">
        <v>12460</v>
      </c>
      <c r="AM1896">
        <v>14820</v>
      </c>
      <c r="AS1896">
        <v>1</v>
      </c>
      <c r="AT1896" t="s">
        <v>446</v>
      </c>
      <c r="AU1896" t="s">
        <v>13078</v>
      </c>
    </row>
    <row r="1897" spans="1:48">
      <c r="A1897" s="1">
        <f>HYPERLINK("https://cms.ls-nyc.org/matter/dynamic-profile/view/1881670","18-1881670")</f>
        <v>0</v>
      </c>
      <c r="B1897" t="s">
        <v>103</v>
      </c>
      <c r="C1897" t="s">
        <v>360</v>
      </c>
      <c r="E1897" t="s">
        <v>782</v>
      </c>
      <c r="F1897" t="s">
        <v>3046</v>
      </c>
      <c r="G1897" t="s">
        <v>3810</v>
      </c>
      <c r="H1897" t="s">
        <v>5787</v>
      </c>
      <c r="I1897" t="s">
        <v>6047</v>
      </c>
      <c r="J1897">
        <v>10451</v>
      </c>
      <c r="K1897" t="s">
        <v>6074</v>
      </c>
      <c r="L1897" t="s">
        <v>6074</v>
      </c>
      <c r="M1897" t="s">
        <v>6201</v>
      </c>
      <c r="N1897" t="s">
        <v>7273</v>
      </c>
      <c r="O1897" t="s">
        <v>7308</v>
      </c>
      <c r="Q1897" t="s">
        <v>7322</v>
      </c>
      <c r="R1897" t="s">
        <v>6074</v>
      </c>
      <c r="S1897" t="s">
        <v>7324</v>
      </c>
      <c r="U1897" t="s">
        <v>472</v>
      </c>
      <c r="V1897">
        <v>2150</v>
      </c>
      <c r="W1897" t="s">
        <v>7363</v>
      </c>
      <c r="X1897" t="s">
        <v>7376</v>
      </c>
      <c r="Z1897" t="s">
        <v>8863</v>
      </c>
      <c r="AB1897" t="s">
        <v>11568</v>
      </c>
      <c r="AC1897">
        <v>100</v>
      </c>
      <c r="AD1897" t="s">
        <v>12419</v>
      </c>
      <c r="AF1897">
        <v>3</v>
      </c>
      <c r="AG1897">
        <v>4</v>
      </c>
      <c r="AH1897">
        <v>0</v>
      </c>
      <c r="AI1897">
        <v>118.73</v>
      </c>
      <c r="AL1897" t="s">
        <v>12460</v>
      </c>
      <c r="AM1897">
        <v>29800</v>
      </c>
      <c r="AS1897">
        <v>93.5</v>
      </c>
      <c r="AT1897" t="s">
        <v>423</v>
      </c>
      <c r="AU1897" t="s">
        <v>13095</v>
      </c>
    </row>
    <row r="1898" spans="1:48">
      <c r="A1898" s="1">
        <f>HYPERLINK("https://cms.ls-nyc.org/matter/dynamic-profile/view/1874429","18-1874429")</f>
        <v>0</v>
      </c>
      <c r="B1898" t="s">
        <v>161</v>
      </c>
      <c r="C1898" t="s">
        <v>236</v>
      </c>
      <c r="E1898" t="s">
        <v>1552</v>
      </c>
      <c r="F1898" t="s">
        <v>2174</v>
      </c>
      <c r="G1898" t="s">
        <v>4778</v>
      </c>
      <c r="H1898" t="s">
        <v>5788</v>
      </c>
      <c r="I1898" t="s">
        <v>6049</v>
      </c>
      <c r="J1898">
        <v>10029</v>
      </c>
      <c r="K1898" t="s">
        <v>6074</v>
      </c>
      <c r="L1898" t="s">
        <v>6074</v>
      </c>
      <c r="N1898" t="s">
        <v>6104</v>
      </c>
      <c r="O1898" t="s">
        <v>7310</v>
      </c>
      <c r="Q1898" t="s">
        <v>7322</v>
      </c>
      <c r="R1898" t="s">
        <v>6076</v>
      </c>
      <c r="S1898" t="s">
        <v>7324</v>
      </c>
      <c r="T1898" t="s">
        <v>7336</v>
      </c>
      <c r="U1898" t="s">
        <v>401</v>
      </c>
      <c r="V1898">
        <v>1600</v>
      </c>
      <c r="W1898" t="s">
        <v>7365</v>
      </c>
      <c r="Z1898" t="s">
        <v>8864</v>
      </c>
      <c r="AC1898">
        <v>10</v>
      </c>
      <c r="AD1898" t="s">
        <v>6322</v>
      </c>
      <c r="AE1898" t="s">
        <v>6110</v>
      </c>
      <c r="AF1898">
        <v>8</v>
      </c>
      <c r="AG1898">
        <v>2</v>
      </c>
      <c r="AH1898">
        <v>2</v>
      </c>
      <c r="AI1898">
        <v>118.73</v>
      </c>
      <c r="AL1898" t="s">
        <v>12461</v>
      </c>
      <c r="AM1898">
        <v>29800</v>
      </c>
      <c r="AS1898">
        <v>4.5</v>
      </c>
      <c r="AT1898" t="s">
        <v>325</v>
      </c>
      <c r="AU1898" t="s">
        <v>13091</v>
      </c>
    </row>
    <row r="1899" spans="1:48">
      <c r="A1899" s="1">
        <f>HYPERLINK("https://cms.ls-nyc.org/matter/dynamic-profile/view/1899074","19-1899074")</f>
        <v>0</v>
      </c>
      <c r="B1899" t="s">
        <v>148</v>
      </c>
      <c r="C1899" t="s">
        <v>254</v>
      </c>
      <c r="E1899" t="s">
        <v>1553</v>
      </c>
      <c r="F1899" t="s">
        <v>2119</v>
      </c>
      <c r="G1899" t="s">
        <v>3871</v>
      </c>
      <c r="H1899" t="s">
        <v>5400</v>
      </c>
      <c r="I1899" t="s">
        <v>6043</v>
      </c>
      <c r="J1899">
        <v>11213</v>
      </c>
      <c r="K1899" t="s">
        <v>6074</v>
      </c>
      <c r="L1899" t="s">
        <v>6075</v>
      </c>
      <c r="M1899" t="s">
        <v>6874</v>
      </c>
      <c r="N1899" t="s">
        <v>7276</v>
      </c>
      <c r="O1899" t="s">
        <v>7308</v>
      </c>
      <c r="Q1899" t="s">
        <v>7322</v>
      </c>
      <c r="R1899" t="s">
        <v>6076</v>
      </c>
      <c r="S1899" t="s">
        <v>7324</v>
      </c>
      <c r="U1899" t="s">
        <v>276</v>
      </c>
      <c r="V1899">
        <v>560</v>
      </c>
      <c r="W1899" t="s">
        <v>7362</v>
      </c>
      <c r="Z1899" t="s">
        <v>8865</v>
      </c>
      <c r="AB1899" t="s">
        <v>11569</v>
      </c>
      <c r="AC1899">
        <v>19</v>
      </c>
      <c r="AD1899" t="s">
        <v>12422</v>
      </c>
      <c r="AE1899" t="s">
        <v>6110</v>
      </c>
      <c r="AF1899">
        <v>18</v>
      </c>
      <c r="AG1899">
        <v>2</v>
      </c>
      <c r="AH1899">
        <v>1</v>
      </c>
      <c r="AI1899">
        <v>118.97</v>
      </c>
      <c r="AL1899" t="s">
        <v>12460</v>
      </c>
      <c r="AM1899">
        <v>25376</v>
      </c>
      <c r="AS1899">
        <v>1.45</v>
      </c>
      <c r="AT1899" t="s">
        <v>501</v>
      </c>
      <c r="AU1899" t="s">
        <v>180</v>
      </c>
      <c r="AV1899" t="s">
        <v>13145</v>
      </c>
    </row>
    <row r="1900" spans="1:48">
      <c r="A1900" s="1">
        <f>HYPERLINK("https://cms.ls-nyc.org/matter/dynamic-profile/view/1900959","19-1900959")</f>
        <v>0</v>
      </c>
      <c r="B1900" t="s">
        <v>148</v>
      </c>
      <c r="C1900" t="s">
        <v>382</v>
      </c>
      <c r="E1900" t="s">
        <v>1553</v>
      </c>
      <c r="F1900" t="s">
        <v>2119</v>
      </c>
      <c r="G1900" t="s">
        <v>3871</v>
      </c>
      <c r="H1900" t="s">
        <v>5400</v>
      </c>
      <c r="I1900" t="s">
        <v>6043</v>
      </c>
      <c r="J1900">
        <v>11213</v>
      </c>
      <c r="K1900" t="s">
        <v>6074</v>
      </c>
      <c r="L1900" t="s">
        <v>6075</v>
      </c>
      <c r="N1900" t="s">
        <v>7287</v>
      </c>
      <c r="O1900" t="s">
        <v>7312</v>
      </c>
      <c r="Q1900" t="s">
        <v>7322</v>
      </c>
      <c r="R1900" t="s">
        <v>6074</v>
      </c>
      <c r="S1900" t="s">
        <v>7329</v>
      </c>
      <c r="U1900" t="s">
        <v>505</v>
      </c>
      <c r="V1900">
        <v>560</v>
      </c>
      <c r="W1900" t="s">
        <v>7362</v>
      </c>
      <c r="Z1900" t="s">
        <v>8865</v>
      </c>
      <c r="AB1900" t="s">
        <v>11569</v>
      </c>
      <c r="AC1900">
        <v>19</v>
      </c>
      <c r="AD1900" t="s">
        <v>12422</v>
      </c>
      <c r="AE1900" t="s">
        <v>6110</v>
      </c>
      <c r="AF1900">
        <v>18</v>
      </c>
      <c r="AG1900">
        <v>2</v>
      </c>
      <c r="AH1900">
        <v>1</v>
      </c>
      <c r="AI1900">
        <v>118.97</v>
      </c>
      <c r="AL1900" t="s">
        <v>12460</v>
      </c>
      <c r="AM1900">
        <v>25376</v>
      </c>
      <c r="AN1900" t="s">
        <v>12654</v>
      </c>
      <c r="AS1900">
        <v>0</v>
      </c>
      <c r="AU1900" t="s">
        <v>218</v>
      </c>
      <c r="AV1900" t="s">
        <v>13145</v>
      </c>
    </row>
    <row r="1901" spans="1:48">
      <c r="A1901" s="1">
        <f>HYPERLINK("https://cms.ls-nyc.org/matter/dynamic-profile/view/1887933","19-1887933")</f>
        <v>0</v>
      </c>
      <c r="B1901" t="s">
        <v>128</v>
      </c>
      <c r="C1901" t="s">
        <v>390</v>
      </c>
      <c r="E1901" t="s">
        <v>1554</v>
      </c>
      <c r="F1901" t="s">
        <v>2318</v>
      </c>
      <c r="G1901" t="s">
        <v>4779</v>
      </c>
      <c r="I1901" t="s">
        <v>6049</v>
      </c>
      <c r="J1901">
        <v>10034</v>
      </c>
      <c r="K1901" t="s">
        <v>6074</v>
      </c>
      <c r="L1901" t="s">
        <v>6074</v>
      </c>
      <c r="M1901" t="s">
        <v>6500</v>
      </c>
      <c r="N1901" t="s">
        <v>7273</v>
      </c>
      <c r="O1901" t="s">
        <v>7308</v>
      </c>
      <c r="Q1901" t="s">
        <v>7322</v>
      </c>
      <c r="R1901" t="s">
        <v>6076</v>
      </c>
      <c r="S1901" t="s">
        <v>7324</v>
      </c>
      <c r="U1901" t="s">
        <v>390</v>
      </c>
      <c r="V1901">
        <v>1442.38</v>
      </c>
      <c r="W1901" t="s">
        <v>7365</v>
      </c>
      <c r="X1901" t="s">
        <v>7367</v>
      </c>
      <c r="Z1901" t="s">
        <v>8866</v>
      </c>
      <c r="AB1901" t="s">
        <v>11570</v>
      </c>
      <c r="AC1901">
        <v>25</v>
      </c>
      <c r="AD1901" t="s">
        <v>12422</v>
      </c>
      <c r="AE1901" t="s">
        <v>6110</v>
      </c>
      <c r="AF1901">
        <v>10</v>
      </c>
      <c r="AG1901">
        <v>2</v>
      </c>
      <c r="AH1901">
        <v>3</v>
      </c>
      <c r="AI1901">
        <v>118.97</v>
      </c>
      <c r="AL1901" t="s">
        <v>12461</v>
      </c>
      <c r="AM1901">
        <v>35000</v>
      </c>
      <c r="AS1901">
        <v>0</v>
      </c>
      <c r="AU1901" t="s">
        <v>13106</v>
      </c>
    </row>
    <row r="1902" spans="1:48">
      <c r="A1902" s="1">
        <f>HYPERLINK("https://cms.ls-nyc.org/matter/dynamic-profile/view/1879125","18-1879125")</f>
        <v>0</v>
      </c>
      <c r="B1902" t="s">
        <v>76</v>
      </c>
      <c r="C1902" t="s">
        <v>355</v>
      </c>
      <c r="E1902" t="s">
        <v>762</v>
      </c>
      <c r="F1902" t="s">
        <v>2546</v>
      </c>
      <c r="G1902" t="s">
        <v>4568</v>
      </c>
      <c r="H1902" t="s">
        <v>5358</v>
      </c>
      <c r="I1902" t="s">
        <v>6043</v>
      </c>
      <c r="J1902">
        <v>11207</v>
      </c>
      <c r="K1902" t="s">
        <v>6074</v>
      </c>
      <c r="L1902" t="s">
        <v>6074</v>
      </c>
      <c r="M1902" t="s">
        <v>6720</v>
      </c>
      <c r="N1902" t="s">
        <v>7276</v>
      </c>
      <c r="O1902" t="s">
        <v>7308</v>
      </c>
      <c r="Q1902" t="s">
        <v>7322</v>
      </c>
      <c r="R1902" t="s">
        <v>6076</v>
      </c>
      <c r="S1902" t="s">
        <v>7324</v>
      </c>
      <c r="T1902" t="s">
        <v>7338</v>
      </c>
      <c r="U1902" t="s">
        <v>442</v>
      </c>
      <c r="V1902">
        <v>1277</v>
      </c>
      <c r="W1902" t="s">
        <v>7362</v>
      </c>
      <c r="X1902" t="s">
        <v>7368</v>
      </c>
      <c r="Z1902" t="s">
        <v>8560</v>
      </c>
      <c r="AA1902" t="s">
        <v>10163</v>
      </c>
      <c r="AB1902" t="s">
        <v>11303</v>
      </c>
      <c r="AC1902">
        <v>6</v>
      </c>
      <c r="AD1902" t="s">
        <v>12422</v>
      </c>
      <c r="AE1902" t="s">
        <v>12435</v>
      </c>
      <c r="AF1902">
        <v>23</v>
      </c>
      <c r="AG1902">
        <v>2</v>
      </c>
      <c r="AH1902">
        <v>1</v>
      </c>
      <c r="AI1902">
        <v>119.63</v>
      </c>
      <c r="AL1902" t="s">
        <v>12460</v>
      </c>
      <c r="AM1902">
        <v>24860</v>
      </c>
      <c r="AS1902">
        <v>50.6</v>
      </c>
      <c r="AT1902" t="s">
        <v>505</v>
      </c>
      <c r="AU1902" t="s">
        <v>218</v>
      </c>
    </row>
    <row r="1903" spans="1:48">
      <c r="A1903" s="1">
        <f>HYPERLINK("https://cms.ls-nyc.org/matter/dynamic-profile/view/1882190","18-1882190")</f>
        <v>0</v>
      </c>
      <c r="B1903" t="s">
        <v>77</v>
      </c>
      <c r="C1903" t="s">
        <v>442</v>
      </c>
      <c r="E1903" t="s">
        <v>1555</v>
      </c>
      <c r="F1903" t="s">
        <v>2175</v>
      </c>
      <c r="G1903" t="s">
        <v>4780</v>
      </c>
      <c r="H1903" t="s">
        <v>5411</v>
      </c>
      <c r="I1903" t="s">
        <v>6043</v>
      </c>
      <c r="J1903">
        <v>11239</v>
      </c>
      <c r="K1903" t="s">
        <v>6074</v>
      </c>
      <c r="L1903" t="s">
        <v>6074</v>
      </c>
      <c r="M1903" t="s">
        <v>6875</v>
      </c>
      <c r="N1903" t="s">
        <v>7276</v>
      </c>
      <c r="O1903" t="s">
        <v>7308</v>
      </c>
      <c r="Q1903" t="s">
        <v>7322</v>
      </c>
      <c r="S1903" t="s">
        <v>7324</v>
      </c>
      <c r="U1903" t="s">
        <v>442</v>
      </c>
      <c r="V1903">
        <v>689</v>
      </c>
      <c r="W1903" t="s">
        <v>7362</v>
      </c>
      <c r="X1903" t="s">
        <v>7373</v>
      </c>
      <c r="Z1903" t="s">
        <v>8867</v>
      </c>
      <c r="AB1903" t="s">
        <v>11571</v>
      </c>
      <c r="AC1903">
        <v>10</v>
      </c>
      <c r="AD1903" t="s">
        <v>12422</v>
      </c>
      <c r="AF1903">
        <v>3</v>
      </c>
      <c r="AG1903">
        <v>1</v>
      </c>
      <c r="AH1903">
        <v>0</v>
      </c>
      <c r="AI1903">
        <v>119.8</v>
      </c>
      <c r="AL1903" t="s">
        <v>12460</v>
      </c>
      <c r="AM1903">
        <v>14544</v>
      </c>
      <c r="AN1903" t="s">
        <v>12505</v>
      </c>
      <c r="AS1903">
        <v>36.75</v>
      </c>
      <c r="AT1903" t="s">
        <v>302</v>
      </c>
      <c r="AU1903" t="s">
        <v>13084</v>
      </c>
    </row>
    <row r="1904" spans="1:48">
      <c r="A1904" s="1">
        <f>HYPERLINK("https://cms.ls-nyc.org/matter/dynamic-profile/view/1885286","18-1885286")</f>
        <v>0</v>
      </c>
      <c r="B1904" t="s">
        <v>86</v>
      </c>
      <c r="C1904" t="s">
        <v>341</v>
      </c>
      <c r="D1904" t="s">
        <v>557</v>
      </c>
      <c r="E1904" t="s">
        <v>1556</v>
      </c>
      <c r="F1904" t="s">
        <v>3047</v>
      </c>
      <c r="G1904" t="s">
        <v>4781</v>
      </c>
      <c r="H1904" t="s">
        <v>5438</v>
      </c>
      <c r="I1904" t="s">
        <v>6043</v>
      </c>
      <c r="J1904">
        <v>11208</v>
      </c>
      <c r="K1904" t="s">
        <v>6074</v>
      </c>
      <c r="L1904" t="s">
        <v>6074</v>
      </c>
      <c r="M1904" t="s">
        <v>6104</v>
      </c>
      <c r="N1904" t="s">
        <v>7299</v>
      </c>
      <c r="O1904" t="s">
        <v>7307</v>
      </c>
      <c r="P1904" t="s">
        <v>7315</v>
      </c>
      <c r="Q1904" t="s">
        <v>7322</v>
      </c>
      <c r="R1904" t="s">
        <v>6076</v>
      </c>
      <c r="S1904" t="s">
        <v>7324</v>
      </c>
      <c r="T1904" t="s">
        <v>7336</v>
      </c>
      <c r="U1904" t="s">
        <v>250</v>
      </c>
      <c r="V1904">
        <v>1268</v>
      </c>
      <c r="W1904" t="s">
        <v>7362</v>
      </c>
      <c r="X1904" t="s">
        <v>7368</v>
      </c>
      <c r="Y1904" t="s">
        <v>7387</v>
      </c>
      <c r="Z1904" t="s">
        <v>8868</v>
      </c>
      <c r="AA1904" t="s">
        <v>10212</v>
      </c>
      <c r="AB1904" t="s">
        <v>11572</v>
      </c>
      <c r="AC1904">
        <v>0</v>
      </c>
      <c r="AD1904" t="s">
        <v>12422</v>
      </c>
      <c r="AE1904" t="s">
        <v>12433</v>
      </c>
      <c r="AF1904">
        <v>4</v>
      </c>
      <c r="AG1904">
        <v>1</v>
      </c>
      <c r="AH1904">
        <v>0</v>
      </c>
      <c r="AI1904">
        <v>119.93</v>
      </c>
      <c r="AL1904" t="s">
        <v>12460</v>
      </c>
      <c r="AM1904">
        <v>14560</v>
      </c>
      <c r="AS1904">
        <v>3.75</v>
      </c>
      <c r="AT1904" t="s">
        <v>557</v>
      </c>
      <c r="AU1904" t="s">
        <v>218</v>
      </c>
    </row>
    <row r="1905" spans="1:48">
      <c r="A1905" s="1">
        <f>HYPERLINK("https://cms.ls-nyc.org/matter/dynamic-profile/view/1892356","19-1892356")</f>
        <v>0</v>
      </c>
      <c r="B1905" t="s">
        <v>177</v>
      </c>
      <c r="C1905" t="s">
        <v>337</v>
      </c>
      <c r="E1905" t="s">
        <v>725</v>
      </c>
      <c r="F1905" t="s">
        <v>3048</v>
      </c>
      <c r="G1905" t="s">
        <v>4782</v>
      </c>
      <c r="H1905" t="s">
        <v>5446</v>
      </c>
      <c r="I1905" t="s">
        <v>6043</v>
      </c>
      <c r="J1905">
        <v>11217</v>
      </c>
      <c r="K1905" t="s">
        <v>6074</v>
      </c>
      <c r="L1905" t="s">
        <v>6074</v>
      </c>
      <c r="M1905" t="s">
        <v>6876</v>
      </c>
      <c r="N1905" t="s">
        <v>7276</v>
      </c>
      <c r="O1905" t="s">
        <v>7307</v>
      </c>
      <c r="Q1905" t="s">
        <v>7322</v>
      </c>
      <c r="R1905" t="s">
        <v>6076</v>
      </c>
      <c r="S1905" t="s">
        <v>7324</v>
      </c>
      <c r="T1905" t="s">
        <v>7336</v>
      </c>
      <c r="U1905" t="s">
        <v>466</v>
      </c>
      <c r="V1905">
        <v>431</v>
      </c>
      <c r="W1905" t="s">
        <v>7362</v>
      </c>
      <c r="X1905" t="s">
        <v>7367</v>
      </c>
      <c r="Z1905" t="s">
        <v>8869</v>
      </c>
      <c r="AA1905" t="s">
        <v>6110</v>
      </c>
      <c r="AB1905" t="s">
        <v>11573</v>
      </c>
      <c r="AC1905">
        <v>7</v>
      </c>
      <c r="AD1905" t="s">
        <v>12422</v>
      </c>
      <c r="AE1905" t="s">
        <v>12434</v>
      </c>
      <c r="AF1905">
        <v>0</v>
      </c>
      <c r="AG1905">
        <v>1</v>
      </c>
      <c r="AH1905">
        <v>0</v>
      </c>
      <c r="AI1905">
        <v>120.1</v>
      </c>
      <c r="AL1905" t="s">
        <v>12460</v>
      </c>
      <c r="AM1905">
        <v>15000</v>
      </c>
      <c r="AS1905">
        <v>0</v>
      </c>
      <c r="AU1905" t="s">
        <v>218</v>
      </c>
    </row>
    <row r="1906" spans="1:48">
      <c r="A1906" s="1">
        <f>HYPERLINK("https://cms.ls-nyc.org/matter/dynamic-profile/view/1871760","18-1871760")</f>
        <v>0</v>
      </c>
      <c r="B1906" t="s">
        <v>102</v>
      </c>
      <c r="C1906" t="s">
        <v>440</v>
      </c>
      <c r="D1906" t="s">
        <v>414</v>
      </c>
      <c r="E1906" t="s">
        <v>1557</v>
      </c>
      <c r="F1906" t="s">
        <v>2629</v>
      </c>
      <c r="G1906" t="s">
        <v>4783</v>
      </c>
      <c r="H1906" t="s">
        <v>5444</v>
      </c>
      <c r="I1906" t="s">
        <v>6047</v>
      </c>
      <c r="J1906">
        <v>10452</v>
      </c>
      <c r="K1906" t="s">
        <v>6074</v>
      </c>
      <c r="L1906" t="s">
        <v>6074</v>
      </c>
      <c r="N1906" t="s">
        <v>7288</v>
      </c>
      <c r="O1906" t="s">
        <v>7311</v>
      </c>
      <c r="P1906" t="s">
        <v>7321</v>
      </c>
      <c r="Q1906" t="s">
        <v>7322</v>
      </c>
      <c r="R1906" t="s">
        <v>6076</v>
      </c>
      <c r="S1906" t="s">
        <v>7324</v>
      </c>
      <c r="U1906" t="s">
        <v>464</v>
      </c>
      <c r="V1906">
        <v>1200</v>
      </c>
      <c r="W1906" t="s">
        <v>7363</v>
      </c>
      <c r="X1906" t="s">
        <v>7377</v>
      </c>
      <c r="Y1906" t="s">
        <v>7390</v>
      </c>
      <c r="Z1906" t="s">
        <v>8870</v>
      </c>
      <c r="AB1906" t="s">
        <v>11574</v>
      </c>
      <c r="AC1906">
        <v>74</v>
      </c>
      <c r="AD1906" t="s">
        <v>12422</v>
      </c>
      <c r="AE1906" t="s">
        <v>12434</v>
      </c>
      <c r="AF1906">
        <v>21</v>
      </c>
      <c r="AG1906">
        <v>2</v>
      </c>
      <c r="AH1906">
        <v>1</v>
      </c>
      <c r="AI1906">
        <v>120.12</v>
      </c>
      <c r="AL1906" t="s">
        <v>12480</v>
      </c>
      <c r="AM1906">
        <v>24960</v>
      </c>
      <c r="AS1906">
        <v>17.74</v>
      </c>
      <c r="AT1906" t="s">
        <v>468</v>
      </c>
      <c r="AU1906" t="s">
        <v>13089</v>
      </c>
    </row>
    <row r="1907" spans="1:48">
      <c r="A1907" s="1">
        <f>HYPERLINK("https://cms.ls-nyc.org/matter/dynamic-profile/view/1881411","18-1881411")</f>
        <v>0</v>
      </c>
      <c r="B1907" t="s">
        <v>108</v>
      </c>
      <c r="C1907" t="s">
        <v>414</v>
      </c>
      <c r="E1907" t="s">
        <v>765</v>
      </c>
      <c r="F1907" t="s">
        <v>3049</v>
      </c>
      <c r="G1907" t="s">
        <v>4784</v>
      </c>
      <c r="H1907" t="s">
        <v>5789</v>
      </c>
      <c r="I1907" t="s">
        <v>6047</v>
      </c>
      <c r="J1907">
        <v>10461</v>
      </c>
      <c r="K1907" t="s">
        <v>6074</v>
      </c>
      <c r="L1907" t="s">
        <v>6074</v>
      </c>
      <c r="N1907" t="s">
        <v>7278</v>
      </c>
      <c r="O1907" t="s">
        <v>7307</v>
      </c>
      <c r="Q1907" t="s">
        <v>7322</v>
      </c>
      <c r="R1907" t="s">
        <v>6076</v>
      </c>
      <c r="S1907" t="s">
        <v>7331</v>
      </c>
      <c r="U1907" t="s">
        <v>414</v>
      </c>
      <c r="V1907">
        <v>0</v>
      </c>
      <c r="W1907" t="s">
        <v>7363</v>
      </c>
      <c r="X1907" t="s">
        <v>7368</v>
      </c>
      <c r="Z1907" t="s">
        <v>8871</v>
      </c>
      <c r="AB1907" t="s">
        <v>11575</v>
      </c>
      <c r="AC1907">
        <v>62</v>
      </c>
      <c r="AD1907" t="s">
        <v>12422</v>
      </c>
      <c r="AE1907" t="s">
        <v>12434</v>
      </c>
      <c r="AF1907">
        <v>41</v>
      </c>
      <c r="AG1907">
        <v>1</v>
      </c>
      <c r="AH1907">
        <v>0</v>
      </c>
      <c r="AI1907">
        <v>120.2</v>
      </c>
      <c r="AL1907" t="s">
        <v>12461</v>
      </c>
      <c r="AM1907">
        <v>14592</v>
      </c>
      <c r="AS1907">
        <v>0.4</v>
      </c>
      <c r="AT1907" t="s">
        <v>426</v>
      </c>
      <c r="AU1907" t="s">
        <v>13099</v>
      </c>
    </row>
    <row r="1908" spans="1:48">
      <c r="A1908" s="1">
        <f>HYPERLINK("https://cms.ls-nyc.org/matter/dynamic-profile/view/1901243","19-1901243")</f>
        <v>0</v>
      </c>
      <c r="B1908" t="s">
        <v>133</v>
      </c>
      <c r="C1908" t="s">
        <v>496</v>
      </c>
      <c r="E1908" t="s">
        <v>618</v>
      </c>
      <c r="F1908" t="s">
        <v>3050</v>
      </c>
      <c r="G1908" t="s">
        <v>4542</v>
      </c>
      <c r="H1908">
        <v>45</v>
      </c>
      <c r="I1908" t="s">
        <v>6049</v>
      </c>
      <c r="J1908">
        <v>10032</v>
      </c>
      <c r="K1908" t="s">
        <v>6075</v>
      </c>
      <c r="L1908" t="s">
        <v>6075</v>
      </c>
      <c r="N1908" t="s">
        <v>7278</v>
      </c>
      <c r="O1908" t="s">
        <v>7307</v>
      </c>
      <c r="Q1908" t="s">
        <v>7322</v>
      </c>
      <c r="R1908" t="s">
        <v>6076</v>
      </c>
      <c r="S1908" t="s">
        <v>7324</v>
      </c>
      <c r="U1908" t="s">
        <v>496</v>
      </c>
      <c r="V1908">
        <v>0</v>
      </c>
      <c r="W1908" t="s">
        <v>7365</v>
      </c>
      <c r="X1908" t="s">
        <v>7367</v>
      </c>
      <c r="Z1908" t="s">
        <v>8872</v>
      </c>
      <c r="AC1908">
        <v>30</v>
      </c>
      <c r="AD1908" t="s">
        <v>12422</v>
      </c>
      <c r="AE1908" t="s">
        <v>6110</v>
      </c>
      <c r="AF1908">
        <v>22</v>
      </c>
      <c r="AG1908">
        <v>6</v>
      </c>
      <c r="AH1908">
        <v>0</v>
      </c>
      <c r="AI1908">
        <v>120.27</v>
      </c>
      <c r="AL1908" t="s">
        <v>12461</v>
      </c>
      <c r="AM1908">
        <v>41600</v>
      </c>
      <c r="AS1908">
        <v>0</v>
      </c>
      <c r="AU1908" t="s">
        <v>13106</v>
      </c>
      <c r="AV1908" t="s">
        <v>13145</v>
      </c>
    </row>
    <row r="1909" spans="1:48">
      <c r="A1909" s="1">
        <f>HYPERLINK("https://cms.ls-nyc.org/matter/dynamic-profile/view/1878288","18-1878288")</f>
        <v>0</v>
      </c>
      <c r="B1909" t="s">
        <v>77</v>
      </c>
      <c r="C1909" t="s">
        <v>248</v>
      </c>
      <c r="D1909" t="s">
        <v>429</v>
      </c>
      <c r="E1909" t="s">
        <v>649</v>
      </c>
      <c r="F1909" t="s">
        <v>3051</v>
      </c>
      <c r="G1909" t="s">
        <v>4111</v>
      </c>
      <c r="H1909">
        <v>15</v>
      </c>
      <c r="I1909" t="s">
        <v>6043</v>
      </c>
      <c r="J1909">
        <v>11212</v>
      </c>
      <c r="K1909" t="s">
        <v>6074</v>
      </c>
      <c r="L1909" t="s">
        <v>6074</v>
      </c>
      <c r="M1909" t="s">
        <v>6877</v>
      </c>
      <c r="N1909" t="s">
        <v>7276</v>
      </c>
      <c r="O1909" t="s">
        <v>7308</v>
      </c>
      <c r="P1909" t="s">
        <v>7315</v>
      </c>
      <c r="Q1909" t="s">
        <v>7322</v>
      </c>
      <c r="S1909" t="s">
        <v>7324</v>
      </c>
      <c r="U1909" t="s">
        <v>248</v>
      </c>
      <c r="V1909">
        <v>2177</v>
      </c>
      <c r="W1909" t="s">
        <v>7362</v>
      </c>
      <c r="X1909" t="s">
        <v>7305</v>
      </c>
      <c r="Y1909" t="s">
        <v>7388</v>
      </c>
      <c r="Z1909" t="s">
        <v>8873</v>
      </c>
      <c r="AB1909" t="s">
        <v>11576</v>
      </c>
      <c r="AC1909">
        <v>16</v>
      </c>
      <c r="AE1909" t="s">
        <v>12434</v>
      </c>
      <c r="AF1909">
        <v>1</v>
      </c>
      <c r="AG1909">
        <v>3</v>
      </c>
      <c r="AH1909">
        <v>0</v>
      </c>
      <c r="AI1909">
        <v>120.31</v>
      </c>
      <c r="AL1909" t="s">
        <v>12460</v>
      </c>
      <c r="AM1909">
        <v>25000</v>
      </c>
      <c r="AS1909">
        <v>4.3</v>
      </c>
      <c r="AT1909" t="s">
        <v>355</v>
      </c>
      <c r="AU1909" t="s">
        <v>13085</v>
      </c>
    </row>
    <row r="1910" spans="1:48">
      <c r="A1910" s="1">
        <f>HYPERLINK("https://cms.ls-nyc.org/matter/dynamic-profile/view/1863331","18-1863331")</f>
        <v>0</v>
      </c>
      <c r="B1910" t="s">
        <v>82</v>
      </c>
      <c r="C1910" t="s">
        <v>444</v>
      </c>
      <c r="D1910" t="s">
        <v>298</v>
      </c>
      <c r="E1910" t="s">
        <v>657</v>
      </c>
      <c r="F1910" t="s">
        <v>3052</v>
      </c>
      <c r="G1910" t="s">
        <v>4785</v>
      </c>
      <c r="H1910" t="s">
        <v>5561</v>
      </c>
      <c r="I1910" t="s">
        <v>6043</v>
      </c>
      <c r="J1910">
        <v>11210</v>
      </c>
      <c r="K1910" t="s">
        <v>6074</v>
      </c>
      <c r="L1910" t="s">
        <v>6074</v>
      </c>
      <c r="M1910" t="s">
        <v>6878</v>
      </c>
      <c r="N1910" t="s">
        <v>7276</v>
      </c>
      <c r="O1910" t="s">
        <v>7308</v>
      </c>
      <c r="P1910" t="s">
        <v>7316</v>
      </c>
      <c r="Q1910" t="s">
        <v>7322</v>
      </c>
      <c r="R1910" t="s">
        <v>6076</v>
      </c>
      <c r="S1910" t="s">
        <v>7324</v>
      </c>
      <c r="U1910" t="s">
        <v>333</v>
      </c>
      <c r="V1910">
        <v>1398</v>
      </c>
      <c r="W1910" t="s">
        <v>7362</v>
      </c>
      <c r="X1910" t="s">
        <v>7376</v>
      </c>
      <c r="Y1910" t="s">
        <v>7388</v>
      </c>
      <c r="Z1910" t="s">
        <v>8282</v>
      </c>
      <c r="AA1910" t="s">
        <v>10213</v>
      </c>
      <c r="AB1910" t="s">
        <v>11577</v>
      </c>
      <c r="AC1910">
        <v>59</v>
      </c>
      <c r="AD1910" t="s">
        <v>12422</v>
      </c>
      <c r="AE1910" t="s">
        <v>6110</v>
      </c>
      <c r="AF1910">
        <v>9</v>
      </c>
      <c r="AG1910">
        <v>1</v>
      </c>
      <c r="AH1910">
        <v>1</v>
      </c>
      <c r="AI1910">
        <v>120.5</v>
      </c>
      <c r="AL1910" t="s">
        <v>12460</v>
      </c>
      <c r="AM1910">
        <v>19835</v>
      </c>
      <c r="AP1910" t="s">
        <v>12863</v>
      </c>
      <c r="AQ1910" t="s">
        <v>12909</v>
      </c>
      <c r="AR1910" t="s">
        <v>13013</v>
      </c>
      <c r="AS1910">
        <v>47.75</v>
      </c>
      <c r="AT1910" t="s">
        <v>341</v>
      </c>
      <c r="AU1910" t="s">
        <v>13087</v>
      </c>
    </row>
    <row r="1911" spans="1:48">
      <c r="A1911" s="1">
        <f>HYPERLINK("https://cms.ls-nyc.org/matter/dynamic-profile/view/1872408","18-1872408")</f>
        <v>0</v>
      </c>
      <c r="B1911" t="s">
        <v>137</v>
      </c>
      <c r="C1911" t="s">
        <v>394</v>
      </c>
      <c r="D1911" t="s">
        <v>466</v>
      </c>
      <c r="E1911" t="s">
        <v>1558</v>
      </c>
      <c r="F1911" t="s">
        <v>3053</v>
      </c>
      <c r="G1911" t="s">
        <v>4786</v>
      </c>
      <c r="H1911">
        <v>606</v>
      </c>
      <c r="I1911" t="s">
        <v>6049</v>
      </c>
      <c r="J1911">
        <v>10029</v>
      </c>
      <c r="K1911" t="s">
        <v>6074</v>
      </c>
      <c r="L1911" t="s">
        <v>6074</v>
      </c>
      <c r="M1911" t="s">
        <v>6879</v>
      </c>
      <c r="N1911" t="s">
        <v>7274</v>
      </c>
      <c r="O1911" t="s">
        <v>7306</v>
      </c>
      <c r="P1911" t="s">
        <v>7314</v>
      </c>
      <c r="Q1911" t="s">
        <v>7322</v>
      </c>
      <c r="R1911" t="s">
        <v>6076</v>
      </c>
      <c r="S1911" t="s">
        <v>7324</v>
      </c>
      <c r="T1911" t="s">
        <v>7336</v>
      </c>
      <c r="U1911" t="s">
        <v>281</v>
      </c>
      <c r="V1911">
        <v>4000</v>
      </c>
      <c r="W1911" t="s">
        <v>7365</v>
      </c>
      <c r="X1911" t="s">
        <v>7366</v>
      </c>
      <c r="Y1911" t="s">
        <v>7386</v>
      </c>
      <c r="Z1911" t="s">
        <v>8874</v>
      </c>
      <c r="AB1911" t="s">
        <v>11578</v>
      </c>
      <c r="AC1911">
        <v>54</v>
      </c>
      <c r="AD1911" t="s">
        <v>12419</v>
      </c>
      <c r="AE1911" t="s">
        <v>6110</v>
      </c>
      <c r="AF1911">
        <v>9</v>
      </c>
      <c r="AG1911">
        <v>1</v>
      </c>
      <c r="AH1911">
        <v>0</v>
      </c>
      <c r="AI1911">
        <v>120.59</v>
      </c>
      <c r="AL1911" t="s">
        <v>12466</v>
      </c>
      <c r="AM1911">
        <v>14640</v>
      </c>
      <c r="AS1911">
        <v>6.3</v>
      </c>
      <c r="AT1911" t="s">
        <v>331</v>
      </c>
      <c r="AU1911" t="s">
        <v>13111</v>
      </c>
      <c r="AV1911" t="s">
        <v>13145</v>
      </c>
    </row>
    <row r="1912" spans="1:48">
      <c r="A1912" s="1">
        <f>HYPERLINK("https://cms.ls-nyc.org/matter/dynamic-profile/view/1887292","19-1887292")</f>
        <v>0</v>
      </c>
      <c r="B1912" t="s">
        <v>113</v>
      </c>
      <c r="C1912" t="s">
        <v>267</v>
      </c>
      <c r="E1912" t="s">
        <v>896</v>
      </c>
      <c r="F1912" t="s">
        <v>3054</v>
      </c>
      <c r="G1912" t="s">
        <v>3932</v>
      </c>
      <c r="H1912" t="s">
        <v>5400</v>
      </c>
      <c r="I1912" t="s">
        <v>6047</v>
      </c>
      <c r="J1912">
        <v>10459</v>
      </c>
      <c r="K1912" t="s">
        <v>6074</v>
      </c>
      <c r="L1912" t="s">
        <v>6074</v>
      </c>
      <c r="N1912" t="s">
        <v>7273</v>
      </c>
      <c r="O1912" t="s">
        <v>7308</v>
      </c>
      <c r="Q1912" t="s">
        <v>7322</v>
      </c>
      <c r="R1912" t="s">
        <v>6074</v>
      </c>
      <c r="S1912" t="s">
        <v>7324</v>
      </c>
      <c r="U1912" t="s">
        <v>267</v>
      </c>
      <c r="V1912">
        <v>466</v>
      </c>
      <c r="W1912" t="s">
        <v>7363</v>
      </c>
      <c r="X1912" t="s">
        <v>7376</v>
      </c>
      <c r="Z1912" t="s">
        <v>8875</v>
      </c>
      <c r="AB1912" t="s">
        <v>11579</v>
      </c>
      <c r="AC1912">
        <v>48</v>
      </c>
      <c r="AD1912" t="s">
        <v>12420</v>
      </c>
      <c r="AE1912" t="s">
        <v>12434</v>
      </c>
      <c r="AF1912">
        <v>1</v>
      </c>
      <c r="AG1912">
        <v>2</v>
      </c>
      <c r="AH1912">
        <v>0</v>
      </c>
      <c r="AI1912">
        <v>120.66</v>
      </c>
      <c r="AL1912" t="s">
        <v>12460</v>
      </c>
      <c r="AM1912">
        <v>19860</v>
      </c>
      <c r="AS1912">
        <v>11.3</v>
      </c>
      <c r="AT1912" t="s">
        <v>276</v>
      </c>
      <c r="AU1912" t="s">
        <v>13095</v>
      </c>
    </row>
    <row r="1913" spans="1:48">
      <c r="A1913" s="1">
        <f>HYPERLINK("https://cms.ls-nyc.org/matter/dynamic-profile/view/1877323","18-1877323")</f>
        <v>0</v>
      </c>
      <c r="B1913" t="s">
        <v>128</v>
      </c>
      <c r="C1913" t="s">
        <v>409</v>
      </c>
      <c r="D1913" t="s">
        <v>561</v>
      </c>
      <c r="E1913" t="s">
        <v>1493</v>
      </c>
      <c r="F1913" t="s">
        <v>2458</v>
      </c>
      <c r="G1913" t="s">
        <v>4753</v>
      </c>
      <c r="H1913" t="s">
        <v>5609</v>
      </c>
      <c r="I1913" t="s">
        <v>6049</v>
      </c>
      <c r="J1913">
        <v>10034</v>
      </c>
      <c r="K1913" t="s">
        <v>6074</v>
      </c>
      <c r="L1913" t="s">
        <v>6074</v>
      </c>
      <c r="M1913" t="s">
        <v>6880</v>
      </c>
      <c r="N1913" t="s">
        <v>7276</v>
      </c>
      <c r="O1913" t="s">
        <v>7307</v>
      </c>
      <c r="P1913" t="s">
        <v>7315</v>
      </c>
      <c r="Q1913" t="s">
        <v>7322</v>
      </c>
      <c r="R1913" t="s">
        <v>6076</v>
      </c>
      <c r="S1913" t="s">
        <v>7324</v>
      </c>
      <c r="T1913" t="s">
        <v>7336</v>
      </c>
      <c r="U1913" t="s">
        <v>409</v>
      </c>
      <c r="V1913">
        <v>1049.5</v>
      </c>
      <c r="W1913" t="s">
        <v>7365</v>
      </c>
      <c r="X1913" t="s">
        <v>7367</v>
      </c>
      <c r="Y1913" t="s">
        <v>7386</v>
      </c>
      <c r="Z1913" t="s">
        <v>8876</v>
      </c>
      <c r="AB1913" t="s">
        <v>11580</v>
      </c>
      <c r="AC1913">
        <v>101</v>
      </c>
      <c r="AD1913" t="s">
        <v>12422</v>
      </c>
      <c r="AE1913" t="s">
        <v>6110</v>
      </c>
      <c r="AF1913">
        <v>25</v>
      </c>
      <c r="AG1913">
        <v>1</v>
      </c>
      <c r="AH1913">
        <v>0</v>
      </c>
      <c r="AI1913">
        <v>120.79</v>
      </c>
      <c r="AL1913" t="s">
        <v>12461</v>
      </c>
      <c r="AM1913">
        <v>14664</v>
      </c>
      <c r="AS1913">
        <v>3.9</v>
      </c>
      <c r="AT1913" t="s">
        <v>561</v>
      </c>
      <c r="AU1913" t="s">
        <v>13106</v>
      </c>
    </row>
    <row r="1914" spans="1:48">
      <c r="A1914" s="1">
        <f>HYPERLINK("https://cms.ls-nyc.org/matter/dynamic-profile/view/1895304","19-1895304")</f>
        <v>0</v>
      </c>
      <c r="B1914" t="s">
        <v>133</v>
      </c>
      <c r="C1914" t="s">
        <v>247</v>
      </c>
      <c r="E1914" t="s">
        <v>1559</v>
      </c>
      <c r="F1914" t="s">
        <v>2395</v>
      </c>
      <c r="G1914" t="s">
        <v>4787</v>
      </c>
      <c r="H1914" t="s">
        <v>5598</v>
      </c>
      <c r="I1914" t="s">
        <v>6049</v>
      </c>
      <c r="J1914">
        <v>10034</v>
      </c>
      <c r="K1914" t="s">
        <v>6074</v>
      </c>
      <c r="L1914" t="s">
        <v>6075</v>
      </c>
      <c r="M1914" t="s">
        <v>6881</v>
      </c>
      <c r="N1914" t="s">
        <v>7303</v>
      </c>
      <c r="O1914" t="s">
        <v>7307</v>
      </c>
      <c r="Q1914" t="s">
        <v>7322</v>
      </c>
      <c r="R1914" t="s">
        <v>6076</v>
      </c>
      <c r="S1914" t="s">
        <v>7324</v>
      </c>
      <c r="T1914" t="s">
        <v>7336</v>
      </c>
      <c r="U1914" t="s">
        <v>247</v>
      </c>
      <c r="V1914">
        <v>789.63</v>
      </c>
      <c r="W1914" t="s">
        <v>7365</v>
      </c>
      <c r="X1914" t="s">
        <v>7375</v>
      </c>
      <c r="Z1914" t="s">
        <v>8877</v>
      </c>
      <c r="AB1914" t="s">
        <v>11581</v>
      </c>
      <c r="AC1914">
        <v>49</v>
      </c>
      <c r="AD1914" t="s">
        <v>12422</v>
      </c>
      <c r="AF1914">
        <v>41</v>
      </c>
      <c r="AG1914">
        <v>1</v>
      </c>
      <c r="AH1914">
        <v>0</v>
      </c>
      <c r="AI1914">
        <v>121.06</v>
      </c>
      <c r="AL1914" t="s">
        <v>12461</v>
      </c>
      <c r="AM1914">
        <v>15120</v>
      </c>
      <c r="AS1914">
        <v>1.5</v>
      </c>
      <c r="AT1914" t="s">
        <v>247</v>
      </c>
      <c r="AU1914" t="s">
        <v>133</v>
      </c>
    </row>
    <row r="1915" spans="1:48">
      <c r="A1915" s="1">
        <f>HYPERLINK("https://cms.ls-nyc.org/matter/dynamic-profile/view/1889372","19-1889372")</f>
        <v>0</v>
      </c>
      <c r="B1915" t="s">
        <v>96</v>
      </c>
      <c r="C1915" t="s">
        <v>261</v>
      </c>
      <c r="E1915" t="s">
        <v>689</v>
      </c>
      <c r="F1915" t="s">
        <v>2236</v>
      </c>
      <c r="G1915" t="s">
        <v>4152</v>
      </c>
      <c r="H1915" t="s">
        <v>5485</v>
      </c>
      <c r="I1915" t="s">
        <v>6047</v>
      </c>
      <c r="J1915">
        <v>10456</v>
      </c>
      <c r="K1915" t="s">
        <v>6074</v>
      </c>
      <c r="L1915" t="s">
        <v>6074</v>
      </c>
      <c r="M1915" t="s">
        <v>6623</v>
      </c>
      <c r="N1915" t="s">
        <v>7279</v>
      </c>
      <c r="O1915" t="s">
        <v>7311</v>
      </c>
      <c r="Q1915" t="s">
        <v>7322</v>
      </c>
      <c r="R1915" t="s">
        <v>6074</v>
      </c>
      <c r="S1915" t="s">
        <v>7324</v>
      </c>
      <c r="U1915" t="s">
        <v>424</v>
      </c>
      <c r="V1915">
        <v>1573</v>
      </c>
      <c r="W1915" t="s">
        <v>7363</v>
      </c>
      <c r="X1915" t="s">
        <v>7376</v>
      </c>
      <c r="Z1915" t="s">
        <v>8878</v>
      </c>
      <c r="AB1915" t="s">
        <v>11582</v>
      </c>
      <c r="AC1915">
        <v>61</v>
      </c>
      <c r="AD1915" t="s">
        <v>12422</v>
      </c>
      <c r="AE1915" t="s">
        <v>6110</v>
      </c>
      <c r="AF1915">
        <v>6</v>
      </c>
      <c r="AG1915">
        <v>4</v>
      </c>
      <c r="AH1915">
        <v>1</v>
      </c>
      <c r="AI1915">
        <v>121.15</v>
      </c>
      <c r="AL1915" t="s">
        <v>12461</v>
      </c>
      <c r="AM1915">
        <v>36552</v>
      </c>
      <c r="AS1915">
        <v>0</v>
      </c>
      <c r="AU1915" t="s">
        <v>13095</v>
      </c>
    </row>
    <row r="1916" spans="1:48">
      <c r="A1916" s="1">
        <f>HYPERLINK("https://cms.ls-nyc.org/matter/dynamic-profile/view/1877499","18-1877499")</f>
        <v>0</v>
      </c>
      <c r="B1916" t="s">
        <v>71</v>
      </c>
      <c r="C1916" t="s">
        <v>372</v>
      </c>
      <c r="D1916" t="s">
        <v>395</v>
      </c>
      <c r="E1916" t="s">
        <v>1560</v>
      </c>
      <c r="F1916" t="s">
        <v>2077</v>
      </c>
      <c r="G1916" t="s">
        <v>4788</v>
      </c>
      <c r="H1916">
        <v>2</v>
      </c>
      <c r="I1916" t="s">
        <v>6043</v>
      </c>
      <c r="J1916">
        <v>11207</v>
      </c>
      <c r="K1916" t="s">
        <v>6074</v>
      </c>
      <c r="L1916" t="s">
        <v>6074</v>
      </c>
      <c r="M1916" t="s">
        <v>6882</v>
      </c>
      <c r="N1916" t="s">
        <v>7274</v>
      </c>
      <c r="O1916" t="s">
        <v>7308</v>
      </c>
      <c r="P1916" t="s">
        <v>7317</v>
      </c>
      <c r="Q1916" t="s">
        <v>7322</v>
      </c>
      <c r="R1916" t="s">
        <v>6076</v>
      </c>
      <c r="S1916" t="s">
        <v>7324</v>
      </c>
      <c r="U1916" t="s">
        <v>365</v>
      </c>
      <c r="V1916">
        <v>1500</v>
      </c>
      <c r="W1916" t="s">
        <v>7362</v>
      </c>
      <c r="X1916" t="s">
        <v>7366</v>
      </c>
      <c r="Y1916" t="s">
        <v>7391</v>
      </c>
      <c r="Z1916" t="s">
        <v>8879</v>
      </c>
      <c r="AB1916" t="s">
        <v>11583</v>
      </c>
      <c r="AC1916">
        <v>5</v>
      </c>
      <c r="AE1916" t="s">
        <v>12434</v>
      </c>
      <c r="AF1916">
        <v>12</v>
      </c>
      <c r="AG1916">
        <v>1</v>
      </c>
      <c r="AH1916">
        <v>1</v>
      </c>
      <c r="AI1916">
        <v>121.51</v>
      </c>
      <c r="AL1916" t="s">
        <v>12461</v>
      </c>
      <c r="AM1916">
        <v>20000</v>
      </c>
      <c r="AS1916">
        <v>16.15</v>
      </c>
      <c r="AT1916" t="s">
        <v>395</v>
      </c>
      <c r="AU1916" t="s">
        <v>13083</v>
      </c>
    </row>
    <row r="1917" spans="1:48">
      <c r="A1917" s="1">
        <f>HYPERLINK("https://cms.ls-nyc.org/matter/dynamic-profile/view/1887570","19-1887570")</f>
        <v>0</v>
      </c>
      <c r="B1917" t="s">
        <v>76</v>
      </c>
      <c r="C1917" t="s">
        <v>492</v>
      </c>
      <c r="E1917" t="s">
        <v>686</v>
      </c>
      <c r="F1917" t="s">
        <v>3037</v>
      </c>
      <c r="G1917" t="s">
        <v>4770</v>
      </c>
      <c r="H1917" t="s">
        <v>5398</v>
      </c>
      <c r="I1917" t="s">
        <v>6043</v>
      </c>
      <c r="J1917">
        <v>11207</v>
      </c>
      <c r="K1917" t="s">
        <v>6074</v>
      </c>
      <c r="L1917" t="s">
        <v>6074</v>
      </c>
      <c r="M1917" t="s">
        <v>6883</v>
      </c>
      <c r="N1917" t="s">
        <v>7276</v>
      </c>
      <c r="Q1917" t="s">
        <v>7322</v>
      </c>
      <c r="R1917" t="s">
        <v>6076</v>
      </c>
      <c r="S1917" t="s">
        <v>7324</v>
      </c>
      <c r="T1917" t="s">
        <v>7336</v>
      </c>
      <c r="U1917" t="s">
        <v>337</v>
      </c>
      <c r="V1917">
        <v>1337</v>
      </c>
      <c r="W1917" t="s">
        <v>7362</v>
      </c>
      <c r="X1917" t="s">
        <v>7368</v>
      </c>
      <c r="Z1917" t="s">
        <v>8852</v>
      </c>
      <c r="AA1917" t="s">
        <v>10214</v>
      </c>
      <c r="AB1917" t="s">
        <v>11560</v>
      </c>
      <c r="AC1917">
        <v>25</v>
      </c>
      <c r="AD1917" t="s">
        <v>12422</v>
      </c>
      <c r="AE1917" t="s">
        <v>12434</v>
      </c>
      <c r="AF1917">
        <v>7</v>
      </c>
      <c r="AG1917">
        <v>2</v>
      </c>
      <c r="AH1917">
        <v>0</v>
      </c>
      <c r="AI1917">
        <v>121.51</v>
      </c>
      <c r="AL1917" t="s">
        <v>12460</v>
      </c>
      <c r="AM1917">
        <v>20000</v>
      </c>
      <c r="AS1917">
        <v>7.6</v>
      </c>
      <c r="AT1917" t="s">
        <v>270</v>
      </c>
      <c r="AU1917" t="s">
        <v>218</v>
      </c>
    </row>
    <row r="1918" spans="1:48">
      <c r="A1918" s="1">
        <f>HYPERLINK("https://cms.ls-nyc.org/matter/dynamic-profile/view/1875207","18-1875207")</f>
        <v>0</v>
      </c>
      <c r="B1918" t="s">
        <v>61</v>
      </c>
      <c r="C1918" t="s">
        <v>427</v>
      </c>
      <c r="D1918" t="s">
        <v>273</v>
      </c>
      <c r="E1918" t="s">
        <v>1128</v>
      </c>
      <c r="F1918" t="s">
        <v>3055</v>
      </c>
      <c r="G1918" t="s">
        <v>4789</v>
      </c>
      <c r="H1918">
        <v>2</v>
      </c>
      <c r="I1918" t="s">
        <v>6050</v>
      </c>
      <c r="J1918">
        <v>11413</v>
      </c>
      <c r="K1918" t="s">
        <v>6074</v>
      </c>
      <c r="L1918" t="s">
        <v>6074</v>
      </c>
      <c r="M1918" t="s">
        <v>6884</v>
      </c>
      <c r="N1918" t="s">
        <v>7274</v>
      </c>
      <c r="O1918" t="s">
        <v>7306</v>
      </c>
      <c r="P1918" t="s">
        <v>7314</v>
      </c>
      <c r="Q1918" t="s">
        <v>7322</v>
      </c>
      <c r="R1918" t="s">
        <v>6076</v>
      </c>
      <c r="S1918" t="s">
        <v>7324</v>
      </c>
      <c r="T1918" t="s">
        <v>7336</v>
      </c>
      <c r="U1918" t="s">
        <v>427</v>
      </c>
      <c r="V1918">
        <v>1600</v>
      </c>
      <c r="W1918" t="s">
        <v>7361</v>
      </c>
      <c r="X1918" t="s">
        <v>7366</v>
      </c>
      <c r="Y1918" t="s">
        <v>7386</v>
      </c>
      <c r="Z1918" t="s">
        <v>8880</v>
      </c>
      <c r="AB1918" t="s">
        <v>11584</v>
      </c>
      <c r="AC1918">
        <v>2</v>
      </c>
      <c r="AD1918" t="s">
        <v>12419</v>
      </c>
      <c r="AE1918" t="s">
        <v>6110</v>
      </c>
      <c r="AF1918">
        <v>4</v>
      </c>
      <c r="AG1918">
        <v>1</v>
      </c>
      <c r="AH1918">
        <v>1</v>
      </c>
      <c r="AI1918">
        <v>121.61</v>
      </c>
      <c r="AL1918" t="s">
        <v>12460</v>
      </c>
      <c r="AM1918">
        <v>20017.4</v>
      </c>
      <c r="AS1918">
        <v>1.1</v>
      </c>
      <c r="AT1918" t="s">
        <v>273</v>
      </c>
      <c r="AU1918" t="s">
        <v>189</v>
      </c>
    </row>
    <row r="1919" spans="1:48">
      <c r="A1919" s="1">
        <f>HYPERLINK("https://cms.ls-nyc.org/matter/dynamic-profile/view/1881323","18-1881323")</f>
        <v>0</v>
      </c>
      <c r="B1919" t="s">
        <v>55</v>
      </c>
      <c r="C1919" t="s">
        <v>414</v>
      </c>
      <c r="D1919" t="s">
        <v>417</v>
      </c>
      <c r="E1919" t="s">
        <v>1271</v>
      </c>
      <c r="F1919" t="s">
        <v>3056</v>
      </c>
      <c r="G1919" t="s">
        <v>4431</v>
      </c>
      <c r="H1919" t="s">
        <v>5790</v>
      </c>
      <c r="I1919" t="s">
        <v>6045</v>
      </c>
      <c r="J1919">
        <v>11101</v>
      </c>
      <c r="K1919" t="s">
        <v>6074</v>
      </c>
      <c r="L1919" t="s">
        <v>6074</v>
      </c>
      <c r="M1919" t="s">
        <v>6885</v>
      </c>
      <c r="N1919" t="s">
        <v>7276</v>
      </c>
      <c r="O1919" t="s">
        <v>7308</v>
      </c>
      <c r="P1919" t="s">
        <v>7316</v>
      </c>
      <c r="Q1919" t="s">
        <v>7322</v>
      </c>
      <c r="R1919" t="s">
        <v>6076</v>
      </c>
      <c r="S1919" t="s">
        <v>7324</v>
      </c>
      <c r="T1919" t="s">
        <v>7336</v>
      </c>
      <c r="U1919" t="s">
        <v>414</v>
      </c>
      <c r="V1919">
        <v>1500</v>
      </c>
      <c r="W1919" t="s">
        <v>7361</v>
      </c>
      <c r="X1919" t="s">
        <v>7366</v>
      </c>
      <c r="Y1919" t="s">
        <v>7388</v>
      </c>
      <c r="Z1919" t="s">
        <v>8881</v>
      </c>
      <c r="AA1919" t="s">
        <v>10215</v>
      </c>
      <c r="AB1919" t="s">
        <v>11585</v>
      </c>
      <c r="AC1919">
        <v>974</v>
      </c>
      <c r="AD1919" t="s">
        <v>6322</v>
      </c>
      <c r="AE1919" t="s">
        <v>12437</v>
      </c>
      <c r="AF1919">
        <v>1</v>
      </c>
      <c r="AG1919">
        <v>2</v>
      </c>
      <c r="AH1919">
        <v>0</v>
      </c>
      <c r="AI1919">
        <v>122.04</v>
      </c>
      <c r="AL1919" t="s">
        <v>12460</v>
      </c>
      <c r="AM1919">
        <v>20088</v>
      </c>
      <c r="AO1919" t="s">
        <v>12846</v>
      </c>
      <c r="AP1919" t="s">
        <v>12857</v>
      </c>
      <c r="AQ1919" t="s">
        <v>12909</v>
      </c>
      <c r="AR1919" t="s">
        <v>13028</v>
      </c>
      <c r="AS1919">
        <v>9.9</v>
      </c>
      <c r="AT1919" t="s">
        <v>420</v>
      </c>
      <c r="AU1919" t="s">
        <v>48</v>
      </c>
    </row>
    <row r="1920" spans="1:48">
      <c r="A1920" s="1">
        <f>HYPERLINK("https://cms.ls-nyc.org/matter/dynamic-profile/view/1886304","18-1886304")</f>
        <v>0</v>
      </c>
      <c r="B1920" t="s">
        <v>97</v>
      </c>
      <c r="C1920" t="s">
        <v>389</v>
      </c>
      <c r="D1920" t="s">
        <v>332</v>
      </c>
      <c r="E1920" t="s">
        <v>1033</v>
      </c>
      <c r="F1920" t="s">
        <v>3057</v>
      </c>
      <c r="G1920" t="s">
        <v>4790</v>
      </c>
      <c r="H1920" t="s">
        <v>5441</v>
      </c>
      <c r="I1920" t="s">
        <v>6047</v>
      </c>
      <c r="J1920">
        <v>10453</v>
      </c>
      <c r="K1920" t="s">
        <v>6074</v>
      </c>
      <c r="L1920" t="s">
        <v>6074</v>
      </c>
      <c r="N1920" t="s">
        <v>6104</v>
      </c>
      <c r="O1920" t="s">
        <v>7307</v>
      </c>
      <c r="P1920" t="s">
        <v>7315</v>
      </c>
      <c r="Q1920" t="s">
        <v>7322</v>
      </c>
      <c r="R1920" t="s">
        <v>6076</v>
      </c>
      <c r="S1920" t="s">
        <v>7324</v>
      </c>
      <c r="U1920" t="s">
        <v>7343</v>
      </c>
      <c r="V1920">
        <v>1067.91</v>
      </c>
      <c r="W1920" t="s">
        <v>7363</v>
      </c>
      <c r="X1920" t="s">
        <v>7368</v>
      </c>
      <c r="Y1920" t="s">
        <v>7386</v>
      </c>
      <c r="Z1920" t="s">
        <v>8882</v>
      </c>
      <c r="AB1920" t="s">
        <v>11586</v>
      </c>
      <c r="AC1920">
        <v>70</v>
      </c>
      <c r="AD1920" t="s">
        <v>12422</v>
      </c>
      <c r="AE1920" t="s">
        <v>12434</v>
      </c>
      <c r="AF1920">
        <v>20</v>
      </c>
      <c r="AG1920">
        <v>1</v>
      </c>
      <c r="AH1920">
        <v>0</v>
      </c>
      <c r="AI1920">
        <v>122.08</v>
      </c>
      <c r="AL1920" t="s">
        <v>12461</v>
      </c>
      <c r="AM1920">
        <v>14820</v>
      </c>
      <c r="AS1920">
        <v>2.5</v>
      </c>
      <c r="AT1920" t="s">
        <v>332</v>
      </c>
      <c r="AU1920" t="s">
        <v>97</v>
      </c>
    </row>
    <row r="1921" spans="1:48">
      <c r="A1921" s="1">
        <f>HYPERLINK("https://cms.ls-nyc.org/matter/dynamic-profile/view/1891100","19-1891100")</f>
        <v>0</v>
      </c>
      <c r="B1921" t="s">
        <v>86</v>
      </c>
      <c r="C1921" t="s">
        <v>393</v>
      </c>
      <c r="D1921" t="s">
        <v>557</v>
      </c>
      <c r="E1921" t="s">
        <v>656</v>
      </c>
      <c r="F1921" t="s">
        <v>2100</v>
      </c>
      <c r="G1921" t="s">
        <v>4791</v>
      </c>
      <c r="H1921" t="s">
        <v>5438</v>
      </c>
      <c r="I1921" t="s">
        <v>6043</v>
      </c>
      <c r="J1921">
        <v>11233</v>
      </c>
      <c r="K1921" t="s">
        <v>6074</v>
      </c>
      <c r="L1921" t="s">
        <v>6074</v>
      </c>
      <c r="M1921" t="s">
        <v>6886</v>
      </c>
      <c r="N1921" t="s">
        <v>7276</v>
      </c>
      <c r="O1921" t="s">
        <v>7309</v>
      </c>
      <c r="P1921" t="s">
        <v>7321</v>
      </c>
      <c r="Q1921" t="s">
        <v>7322</v>
      </c>
      <c r="R1921" t="s">
        <v>6076</v>
      </c>
      <c r="S1921" t="s">
        <v>7327</v>
      </c>
      <c r="U1921" t="s">
        <v>346</v>
      </c>
      <c r="V1921">
        <v>1950</v>
      </c>
      <c r="W1921" t="s">
        <v>7362</v>
      </c>
      <c r="X1921" t="s">
        <v>7373</v>
      </c>
      <c r="Y1921" t="s">
        <v>7397</v>
      </c>
      <c r="Z1921" t="s">
        <v>8883</v>
      </c>
      <c r="AB1921" t="s">
        <v>11587</v>
      </c>
      <c r="AC1921">
        <v>4</v>
      </c>
      <c r="AD1921" t="s">
        <v>12419</v>
      </c>
      <c r="AE1921" t="s">
        <v>6110</v>
      </c>
      <c r="AF1921">
        <v>0</v>
      </c>
      <c r="AG1921">
        <v>1</v>
      </c>
      <c r="AH1921">
        <v>0</v>
      </c>
      <c r="AI1921">
        <v>122.4</v>
      </c>
      <c r="AL1921" t="s">
        <v>12460</v>
      </c>
      <c r="AM1921">
        <v>15288</v>
      </c>
      <c r="AS1921">
        <v>12</v>
      </c>
      <c r="AT1921" t="s">
        <v>557</v>
      </c>
      <c r="AU1921" t="s">
        <v>180</v>
      </c>
    </row>
    <row r="1922" spans="1:48">
      <c r="A1922" s="1">
        <f>HYPERLINK("https://cms.ls-nyc.org/matter/dynamic-profile/view/1894924","19-1894924")</f>
        <v>0</v>
      </c>
      <c r="B1922" t="s">
        <v>130</v>
      </c>
      <c r="C1922" t="s">
        <v>361</v>
      </c>
      <c r="D1922" t="s">
        <v>343</v>
      </c>
      <c r="E1922" t="s">
        <v>1190</v>
      </c>
      <c r="F1922" t="s">
        <v>2279</v>
      </c>
      <c r="G1922" t="s">
        <v>4792</v>
      </c>
      <c r="H1922" t="s">
        <v>5418</v>
      </c>
      <c r="I1922" t="s">
        <v>6049</v>
      </c>
      <c r="J1922">
        <v>10040</v>
      </c>
      <c r="K1922" t="s">
        <v>6074</v>
      </c>
      <c r="L1922" t="s">
        <v>6074</v>
      </c>
      <c r="N1922" t="s">
        <v>7274</v>
      </c>
      <c r="O1922" t="s">
        <v>7306</v>
      </c>
      <c r="P1922" t="s">
        <v>7314</v>
      </c>
      <c r="Q1922" t="s">
        <v>7322</v>
      </c>
      <c r="R1922" t="s">
        <v>6076</v>
      </c>
      <c r="S1922" t="s">
        <v>7324</v>
      </c>
      <c r="U1922" t="s">
        <v>361</v>
      </c>
      <c r="V1922">
        <v>1016</v>
      </c>
      <c r="W1922" t="s">
        <v>7365</v>
      </c>
      <c r="X1922" t="s">
        <v>7367</v>
      </c>
      <c r="Y1922" t="s">
        <v>7386</v>
      </c>
      <c r="Z1922" t="s">
        <v>8884</v>
      </c>
      <c r="AB1922" t="s">
        <v>11588</v>
      </c>
      <c r="AC1922">
        <v>75</v>
      </c>
      <c r="AD1922" t="s">
        <v>12425</v>
      </c>
      <c r="AE1922" t="s">
        <v>6110</v>
      </c>
      <c r="AF1922">
        <v>37</v>
      </c>
      <c r="AG1922">
        <v>2</v>
      </c>
      <c r="AH1922">
        <v>1</v>
      </c>
      <c r="AI1922">
        <v>122.76</v>
      </c>
      <c r="AL1922" t="s">
        <v>12461</v>
      </c>
      <c r="AM1922">
        <v>26184</v>
      </c>
      <c r="AS1922">
        <v>2.05</v>
      </c>
      <c r="AT1922" t="s">
        <v>279</v>
      </c>
      <c r="AU1922" t="s">
        <v>13119</v>
      </c>
    </row>
    <row r="1923" spans="1:48">
      <c r="A1923" s="1">
        <f>HYPERLINK("https://cms.ls-nyc.org/matter/dynamic-profile/view/1863490","18-1863490")</f>
        <v>0</v>
      </c>
      <c r="B1923" t="s">
        <v>82</v>
      </c>
      <c r="C1923" t="s">
        <v>308</v>
      </c>
      <c r="E1923" t="s">
        <v>1049</v>
      </c>
      <c r="F1923" t="s">
        <v>3058</v>
      </c>
      <c r="G1923" t="s">
        <v>3728</v>
      </c>
      <c r="H1923" t="s">
        <v>5791</v>
      </c>
      <c r="I1923" t="s">
        <v>6043</v>
      </c>
      <c r="J1923">
        <v>11226</v>
      </c>
      <c r="K1923" t="s">
        <v>6074</v>
      </c>
      <c r="L1923" t="s">
        <v>6074</v>
      </c>
      <c r="N1923" t="s">
        <v>7278</v>
      </c>
      <c r="O1923" t="s">
        <v>7309</v>
      </c>
      <c r="Q1923" t="s">
        <v>7322</v>
      </c>
      <c r="R1923" t="s">
        <v>6074</v>
      </c>
      <c r="S1923" t="s">
        <v>7324</v>
      </c>
      <c r="U1923" t="s">
        <v>333</v>
      </c>
      <c r="V1923">
        <v>0</v>
      </c>
      <c r="W1923" t="s">
        <v>7362</v>
      </c>
      <c r="X1923" t="s">
        <v>7368</v>
      </c>
      <c r="Z1923" t="s">
        <v>8203</v>
      </c>
      <c r="AC1923">
        <v>65</v>
      </c>
      <c r="AF1923">
        <v>31</v>
      </c>
      <c r="AG1923">
        <v>3</v>
      </c>
      <c r="AH1923">
        <v>2</v>
      </c>
      <c r="AI1923">
        <v>122.81</v>
      </c>
      <c r="AL1923" t="s">
        <v>12460</v>
      </c>
      <c r="AM1923">
        <v>36132</v>
      </c>
      <c r="AN1923" t="s">
        <v>12655</v>
      </c>
      <c r="AS1923">
        <v>0.7</v>
      </c>
      <c r="AT1923" t="s">
        <v>266</v>
      </c>
      <c r="AU1923" t="s">
        <v>13087</v>
      </c>
    </row>
    <row r="1924" spans="1:48">
      <c r="A1924" s="1">
        <f>HYPERLINK("https://cms.ls-nyc.org/matter/dynamic-profile/view/1889466","19-1889466")</f>
        <v>0</v>
      </c>
      <c r="B1924" t="s">
        <v>90</v>
      </c>
      <c r="C1924" t="s">
        <v>366</v>
      </c>
      <c r="E1924" t="s">
        <v>1561</v>
      </c>
      <c r="F1924" t="s">
        <v>3059</v>
      </c>
      <c r="G1924" t="s">
        <v>4793</v>
      </c>
      <c r="H1924" t="s">
        <v>5361</v>
      </c>
      <c r="I1924" t="s">
        <v>6043</v>
      </c>
      <c r="J1924">
        <v>11208</v>
      </c>
      <c r="K1924" t="s">
        <v>6074</v>
      </c>
      <c r="L1924" t="s">
        <v>6074</v>
      </c>
      <c r="M1924" t="s">
        <v>6887</v>
      </c>
      <c r="N1924" t="s">
        <v>7274</v>
      </c>
      <c r="O1924" t="s">
        <v>7307</v>
      </c>
      <c r="Q1924" t="s">
        <v>7322</v>
      </c>
      <c r="R1924" t="s">
        <v>6076</v>
      </c>
      <c r="S1924" t="s">
        <v>7324</v>
      </c>
      <c r="U1924" t="s">
        <v>359</v>
      </c>
      <c r="V1924">
        <v>1150</v>
      </c>
      <c r="W1924" t="s">
        <v>7362</v>
      </c>
      <c r="X1924" t="s">
        <v>7374</v>
      </c>
      <c r="Z1924" t="s">
        <v>8885</v>
      </c>
      <c r="AB1924" t="s">
        <v>11589</v>
      </c>
      <c r="AC1924">
        <v>5</v>
      </c>
      <c r="AD1924" t="s">
        <v>12419</v>
      </c>
      <c r="AE1924" t="s">
        <v>6110</v>
      </c>
      <c r="AF1924">
        <v>6</v>
      </c>
      <c r="AG1924">
        <v>2</v>
      </c>
      <c r="AH1924">
        <v>0</v>
      </c>
      <c r="AI1924">
        <v>123</v>
      </c>
      <c r="AL1924" t="s">
        <v>12460</v>
      </c>
      <c r="AM1924">
        <v>20800</v>
      </c>
      <c r="AS1924">
        <v>3</v>
      </c>
      <c r="AT1924" t="s">
        <v>359</v>
      </c>
      <c r="AU1924" t="s">
        <v>180</v>
      </c>
    </row>
    <row r="1925" spans="1:48">
      <c r="A1925" s="1">
        <f>HYPERLINK("https://cms.ls-nyc.org/matter/dynamic-profile/view/1875367","18-1875367")</f>
        <v>0</v>
      </c>
      <c r="B1925" t="s">
        <v>77</v>
      </c>
      <c r="C1925" t="s">
        <v>406</v>
      </c>
      <c r="D1925" t="s">
        <v>344</v>
      </c>
      <c r="E1925" t="s">
        <v>1562</v>
      </c>
      <c r="F1925" t="s">
        <v>3060</v>
      </c>
      <c r="G1925" t="s">
        <v>4794</v>
      </c>
      <c r="H1925">
        <v>1</v>
      </c>
      <c r="I1925" t="s">
        <v>6043</v>
      </c>
      <c r="J1925">
        <v>11208</v>
      </c>
      <c r="K1925" t="s">
        <v>6074</v>
      </c>
      <c r="L1925" t="s">
        <v>6074</v>
      </c>
      <c r="M1925" t="s">
        <v>6888</v>
      </c>
      <c r="N1925" t="s">
        <v>7274</v>
      </c>
      <c r="O1925" t="s">
        <v>7306</v>
      </c>
      <c r="P1925" t="s">
        <v>7314</v>
      </c>
      <c r="Q1925" t="s">
        <v>7322</v>
      </c>
      <c r="S1925" t="s">
        <v>7324</v>
      </c>
      <c r="U1925" t="s">
        <v>344</v>
      </c>
      <c r="V1925">
        <v>1301</v>
      </c>
      <c r="W1925" t="s">
        <v>7362</v>
      </c>
      <c r="X1925" t="s">
        <v>7366</v>
      </c>
      <c r="Y1925" t="s">
        <v>7386</v>
      </c>
      <c r="Z1925" t="s">
        <v>8886</v>
      </c>
      <c r="AB1925" t="s">
        <v>11590</v>
      </c>
      <c r="AC1925">
        <v>3</v>
      </c>
      <c r="AD1925" t="s">
        <v>12420</v>
      </c>
      <c r="AE1925" t="s">
        <v>12434</v>
      </c>
      <c r="AF1925">
        <v>16</v>
      </c>
      <c r="AG1925">
        <v>2</v>
      </c>
      <c r="AH1925">
        <v>0</v>
      </c>
      <c r="AI1925">
        <v>123.21</v>
      </c>
      <c r="AL1925" t="s">
        <v>12460</v>
      </c>
      <c r="AM1925">
        <v>20280</v>
      </c>
      <c r="AS1925">
        <v>3.95</v>
      </c>
      <c r="AT1925" t="s">
        <v>377</v>
      </c>
      <c r="AU1925" t="s">
        <v>13082</v>
      </c>
    </row>
    <row r="1926" spans="1:48">
      <c r="A1926" s="1">
        <f>HYPERLINK("https://cms.ls-nyc.org/matter/dynamic-profile/view/1871457","18-1871457")</f>
        <v>0</v>
      </c>
      <c r="B1926" t="s">
        <v>96</v>
      </c>
      <c r="C1926" t="s">
        <v>342</v>
      </c>
      <c r="D1926" t="s">
        <v>389</v>
      </c>
      <c r="E1926" t="s">
        <v>1022</v>
      </c>
      <c r="F1926" t="s">
        <v>3061</v>
      </c>
      <c r="G1926" t="s">
        <v>3772</v>
      </c>
      <c r="H1926" t="s">
        <v>5378</v>
      </c>
      <c r="I1926" t="s">
        <v>6047</v>
      </c>
      <c r="J1926">
        <v>10468</v>
      </c>
      <c r="K1926" t="s">
        <v>6074</v>
      </c>
      <c r="L1926" t="s">
        <v>6074</v>
      </c>
      <c r="N1926" t="s">
        <v>7285</v>
      </c>
      <c r="O1926" t="s">
        <v>7309</v>
      </c>
      <c r="P1926" t="s">
        <v>7314</v>
      </c>
      <c r="Q1926" t="s">
        <v>7322</v>
      </c>
      <c r="R1926" t="s">
        <v>6074</v>
      </c>
      <c r="S1926" t="s">
        <v>7324</v>
      </c>
      <c r="U1926" t="s">
        <v>342</v>
      </c>
      <c r="V1926">
        <v>1286.46</v>
      </c>
      <c r="W1926" t="s">
        <v>7363</v>
      </c>
      <c r="X1926" t="s">
        <v>7376</v>
      </c>
      <c r="Y1926" t="s">
        <v>7386</v>
      </c>
      <c r="Z1926" t="s">
        <v>8887</v>
      </c>
      <c r="AB1926" t="s">
        <v>11591</v>
      </c>
      <c r="AC1926">
        <v>58</v>
      </c>
      <c r="AD1926" t="s">
        <v>12422</v>
      </c>
      <c r="AE1926" t="s">
        <v>6110</v>
      </c>
      <c r="AF1926">
        <v>19</v>
      </c>
      <c r="AG1926">
        <v>3</v>
      </c>
      <c r="AH1926">
        <v>1</v>
      </c>
      <c r="AI1926">
        <v>123.51</v>
      </c>
      <c r="AL1926" t="s">
        <v>12461</v>
      </c>
      <c r="AM1926">
        <v>31000</v>
      </c>
      <c r="AS1926">
        <v>0.5</v>
      </c>
      <c r="AT1926" t="s">
        <v>342</v>
      </c>
      <c r="AU1926" t="s">
        <v>13092</v>
      </c>
    </row>
    <row r="1927" spans="1:48">
      <c r="A1927" s="1">
        <f>HYPERLINK("https://cms.ls-nyc.org/matter/dynamic-profile/view/1871456","18-1871456")</f>
        <v>0</v>
      </c>
      <c r="B1927" t="s">
        <v>97</v>
      </c>
      <c r="C1927" t="s">
        <v>342</v>
      </c>
      <c r="D1927" t="s">
        <v>472</v>
      </c>
      <c r="E1927" t="s">
        <v>1022</v>
      </c>
      <c r="F1927" t="s">
        <v>3061</v>
      </c>
      <c r="G1927" t="s">
        <v>3772</v>
      </c>
      <c r="H1927" t="s">
        <v>5378</v>
      </c>
      <c r="I1927" t="s">
        <v>6047</v>
      </c>
      <c r="J1927">
        <v>10468</v>
      </c>
      <c r="K1927" t="s">
        <v>6074</v>
      </c>
      <c r="L1927" t="s">
        <v>6074</v>
      </c>
      <c r="N1927" t="s">
        <v>7273</v>
      </c>
      <c r="O1927" t="s">
        <v>7306</v>
      </c>
      <c r="P1927" t="s">
        <v>7314</v>
      </c>
      <c r="Q1927" t="s">
        <v>7322</v>
      </c>
      <c r="R1927" t="s">
        <v>6074</v>
      </c>
      <c r="S1927" t="s">
        <v>7324</v>
      </c>
      <c r="U1927" t="s">
        <v>342</v>
      </c>
      <c r="V1927">
        <v>1286.46</v>
      </c>
      <c r="W1927" t="s">
        <v>7363</v>
      </c>
      <c r="X1927" t="s">
        <v>7376</v>
      </c>
      <c r="Y1927" t="s">
        <v>7386</v>
      </c>
      <c r="Z1927" t="s">
        <v>8887</v>
      </c>
      <c r="AB1927" t="s">
        <v>11591</v>
      </c>
      <c r="AC1927">
        <v>58</v>
      </c>
      <c r="AD1927" t="s">
        <v>12422</v>
      </c>
      <c r="AE1927" t="s">
        <v>6110</v>
      </c>
      <c r="AF1927">
        <v>19</v>
      </c>
      <c r="AG1927">
        <v>3</v>
      </c>
      <c r="AH1927">
        <v>1</v>
      </c>
      <c r="AI1927">
        <v>123.51</v>
      </c>
      <c r="AL1927" t="s">
        <v>12461</v>
      </c>
      <c r="AM1927">
        <v>31000</v>
      </c>
      <c r="AS1927">
        <v>0.7</v>
      </c>
      <c r="AT1927" t="s">
        <v>310</v>
      </c>
      <c r="AU1927" t="s">
        <v>13092</v>
      </c>
    </row>
    <row r="1928" spans="1:48">
      <c r="A1928" s="1">
        <f>HYPERLINK("https://cms.ls-nyc.org/matter/dynamic-profile/view/1871565","18-1871565")</f>
        <v>0</v>
      </c>
      <c r="B1928" t="s">
        <v>128</v>
      </c>
      <c r="C1928" t="s">
        <v>374</v>
      </c>
      <c r="E1928" t="s">
        <v>1563</v>
      </c>
      <c r="F1928" t="s">
        <v>3062</v>
      </c>
      <c r="G1928" t="s">
        <v>3838</v>
      </c>
      <c r="H1928" t="s">
        <v>5373</v>
      </c>
      <c r="I1928" t="s">
        <v>6049</v>
      </c>
      <c r="J1928">
        <v>10034</v>
      </c>
      <c r="K1928" t="s">
        <v>6074</v>
      </c>
      <c r="L1928" t="s">
        <v>6074</v>
      </c>
      <c r="N1928" t="s">
        <v>7273</v>
      </c>
      <c r="O1928" t="s">
        <v>7308</v>
      </c>
      <c r="Q1928" t="s">
        <v>7322</v>
      </c>
      <c r="R1928" t="s">
        <v>6074</v>
      </c>
      <c r="S1928" t="s">
        <v>7324</v>
      </c>
      <c r="U1928" t="s">
        <v>374</v>
      </c>
      <c r="V1928">
        <v>693</v>
      </c>
      <c r="W1928" t="s">
        <v>7365</v>
      </c>
      <c r="X1928" t="s">
        <v>7367</v>
      </c>
      <c r="Z1928" t="s">
        <v>8888</v>
      </c>
      <c r="AC1928">
        <v>67</v>
      </c>
      <c r="AD1928" t="s">
        <v>12422</v>
      </c>
      <c r="AE1928" t="s">
        <v>6110</v>
      </c>
      <c r="AF1928">
        <v>17</v>
      </c>
      <c r="AG1928">
        <v>1</v>
      </c>
      <c r="AH1928">
        <v>0</v>
      </c>
      <c r="AI1928">
        <v>123.56</v>
      </c>
      <c r="AL1928" t="s">
        <v>12460</v>
      </c>
      <c r="AM1928">
        <v>15000</v>
      </c>
      <c r="AS1928">
        <v>1</v>
      </c>
      <c r="AT1928" t="s">
        <v>340</v>
      </c>
      <c r="AU1928" t="s">
        <v>13106</v>
      </c>
    </row>
    <row r="1929" spans="1:48">
      <c r="A1929" s="1">
        <f>HYPERLINK("https://cms.ls-nyc.org/matter/dynamic-profile/view/1873835","18-1873835")</f>
        <v>0</v>
      </c>
      <c r="B1929" t="s">
        <v>130</v>
      </c>
      <c r="C1929" t="s">
        <v>402</v>
      </c>
      <c r="E1929" t="s">
        <v>1564</v>
      </c>
      <c r="F1929" t="s">
        <v>2546</v>
      </c>
      <c r="G1929" t="s">
        <v>3842</v>
      </c>
      <c r="H1929" t="s">
        <v>5792</v>
      </c>
      <c r="I1929" t="s">
        <v>6049</v>
      </c>
      <c r="J1929">
        <v>10033</v>
      </c>
      <c r="K1929" t="s">
        <v>6074</v>
      </c>
      <c r="L1929" t="s">
        <v>6074</v>
      </c>
      <c r="N1929" t="s">
        <v>7273</v>
      </c>
      <c r="O1929" t="s">
        <v>7307</v>
      </c>
      <c r="Q1929" t="s">
        <v>7322</v>
      </c>
      <c r="R1929" t="s">
        <v>6074</v>
      </c>
      <c r="S1929" t="s">
        <v>7324</v>
      </c>
      <c r="U1929" t="s">
        <v>402</v>
      </c>
      <c r="V1929">
        <v>1454.57</v>
      </c>
      <c r="W1929" t="s">
        <v>7365</v>
      </c>
      <c r="X1929" t="s">
        <v>7375</v>
      </c>
      <c r="Z1929" t="s">
        <v>8889</v>
      </c>
      <c r="AB1929" t="s">
        <v>11592</v>
      </c>
      <c r="AC1929">
        <v>232</v>
      </c>
      <c r="AD1929" t="s">
        <v>12422</v>
      </c>
      <c r="AE1929" t="s">
        <v>6110</v>
      </c>
      <c r="AF1929">
        <v>10</v>
      </c>
      <c r="AG1929">
        <v>1</v>
      </c>
      <c r="AH1929">
        <v>0</v>
      </c>
      <c r="AI1929">
        <v>123.56</v>
      </c>
      <c r="AL1929" t="s">
        <v>12461</v>
      </c>
      <c r="AM1929">
        <v>15000</v>
      </c>
      <c r="AS1929">
        <v>0.2</v>
      </c>
      <c r="AT1929" t="s">
        <v>496</v>
      </c>
      <c r="AU1929" t="s">
        <v>13106</v>
      </c>
    </row>
    <row r="1930" spans="1:48">
      <c r="A1930" s="1">
        <f>HYPERLINK("https://cms.ls-nyc.org/matter/dynamic-profile/view/1872323","18-1872323")</f>
        <v>0</v>
      </c>
      <c r="B1930" t="s">
        <v>139</v>
      </c>
      <c r="C1930" t="s">
        <v>394</v>
      </c>
      <c r="D1930" t="s">
        <v>290</v>
      </c>
      <c r="E1930" t="s">
        <v>576</v>
      </c>
      <c r="F1930" t="s">
        <v>3063</v>
      </c>
      <c r="G1930" t="s">
        <v>4795</v>
      </c>
      <c r="H1930">
        <v>32</v>
      </c>
      <c r="I1930" t="s">
        <v>6049</v>
      </c>
      <c r="J1930">
        <v>10032</v>
      </c>
      <c r="K1930" t="s">
        <v>6074</v>
      </c>
      <c r="L1930" t="s">
        <v>6074</v>
      </c>
      <c r="N1930" t="s">
        <v>7285</v>
      </c>
      <c r="O1930" t="s">
        <v>7306</v>
      </c>
      <c r="P1930" t="s">
        <v>7314</v>
      </c>
      <c r="Q1930" t="s">
        <v>7322</v>
      </c>
      <c r="R1930" t="s">
        <v>6076</v>
      </c>
      <c r="S1930" t="s">
        <v>7324</v>
      </c>
      <c r="U1930" t="s">
        <v>394</v>
      </c>
      <c r="V1930">
        <v>2580</v>
      </c>
      <c r="W1930" t="s">
        <v>7365</v>
      </c>
      <c r="X1930" t="s">
        <v>7367</v>
      </c>
      <c r="Y1930" t="s">
        <v>7386</v>
      </c>
      <c r="Z1930" t="s">
        <v>8890</v>
      </c>
      <c r="AB1930" t="s">
        <v>11593</v>
      </c>
      <c r="AC1930">
        <v>56</v>
      </c>
      <c r="AD1930" t="s">
        <v>12422</v>
      </c>
      <c r="AE1930" t="s">
        <v>6110</v>
      </c>
      <c r="AF1930">
        <v>3</v>
      </c>
      <c r="AG1930">
        <v>1</v>
      </c>
      <c r="AH1930">
        <v>0</v>
      </c>
      <c r="AI1930">
        <v>123.56</v>
      </c>
      <c r="AL1930" t="s">
        <v>12460</v>
      </c>
      <c r="AM1930">
        <v>15000</v>
      </c>
      <c r="AS1930">
        <v>0.9</v>
      </c>
      <c r="AT1930" t="s">
        <v>312</v>
      </c>
      <c r="AU1930" t="s">
        <v>13106</v>
      </c>
    </row>
    <row r="1931" spans="1:48">
      <c r="A1931" s="1">
        <f>HYPERLINK("https://cms.ls-nyc.org/matter/dynamic-profile/view/1892836","19-1892836")</f>
        <v>0</v>
      </c>
      <c r="B1931" t="s">
        <v>129</v>
      </c>
      <c r="C1931" t="s">
        <v>356</v>
      </c>
      <c r="E1931" t="s">
        <v>1508</v>
      </c>
      <c r="F1931" t="s">
        <v>2474</v>
      </c>
      <c r="G1931" t="s">
        <v>4796</v>
      </c>
      <c r="H1931">
        <v>5</v>
      </c>
      <c r="I1931" t="s">
        <v>6049</v>
      </c>
      <c r="J1931">
        <v>10034</v>
      </c>
      <c r="K1931" t="s">
        <v>6074</v>
      </c>
      <c r="L1931" t="s">
        <v>6074</v>
      </c>
      <c r="O1931" t="s">
        <v>7306</v>
      </c>
      <c r="Q1931" t="s">
        <v>7322</v>
      </c>
      <c r="R1931" t="s">
        <v>6074</v>
      </c>
      <c r="S1931" t="s">
        <v>7324</v>
      </c>
      <c r="U1931" t="s">
        <v>356</v>
      </c>
      <c r="V1931">
        <v>694.11</v>
      </c>
      <c r="W1931" t="s">
        <v>7365</v>
      </c>
      <c r="X1931" t="s">
        <v>7368</v>
      </c>
      <c r="Z1931" t="s">
        <v>8776</v>
      </c>
      <c r="AB1931" t="s">
        <v>11496</v>
      </c>
      <c r="AC1931">
        <v>25</v>
      </c>
      <c r="AD1931" t="s">
        <v>12422</v>
      </c>
      <c r="AE1931" t="s">
        <v>12441</v>
      </c>
      <c r="AF1931">
        <v>47</v>
      </c>
      <c r="AG1931">
        <v>2</v>
      </c>
      <c r="AH1931">
        <v>0</v>
      </c>
      <c r="AI1931">
        <v>123.62</v>
      </c>
      <c r="AL1931" t="s">
        <v>12460</v>
      </c>
      <c r="AM1931">
        <v>20904</v>
      </c>
      <c r="AS1931">
        <v>6.2</v>
      </c>
      <c r="AT1931" t="s">
        <v>397</v>
      </c>
      <c r="AU1931" t="s">
        <v>13106</v>
      </c>
    </row>
    <row r="1932" spans="1:48">
      <c r="A1932" s="1">
        <f>HYPERLINK("https://cms.ls-nyc.org/matter/dynamic-profile/view/1896375","19-1896375")</f>
        <v>0</v>
      </c>
      <c r="B1932" t="s">
        <v>70</v>
      </c>
      <c r="C1932" t="s">
        <v>302</v>
      </c>
      <c r="E1932" t="s">
        <v>1224</v>
      </c>
      <c r="F1932" t="s">
        <v>2785</v>
      </c>
      <c r="G1932" t="s">
        <v>3698</v>
      </c>
      <c r="H1932">
        <v>2</v>
      </c>
      <c r="I1932" t="s">
        <v>6043</v>
      </c>
      <c r="J1932">
        <v>11238</v>
      </c>
      <c r="K1932" t="s">
        <v>6074</v>
      </c>
      <c r="L1932" t="s">
        <v>6074</v>
      </c>
      <c r="N1932" t="s">
        <v>7283</v>
      </c>
      <c r="O1932" t="s">
        <v>7309</v>
      </c>
      <c r="Q1932" t="s">
        <v>7322</v>
      </c>
      <c r="S1932" t="s">
        <v>7324</v>
      </c>
      <c r="U1932" t="s">
        <v>302</v>
      </c>
      <c r="V1932">
        <v>909</v>
      </c>
      <c r="W1932" t="s">
        <v>7362</v>
      </c>
      <c r="X1932" t="s">
        <v>7368</v>
      </c>
      <c r="Z1932" t="s">
        <v>8410</v>
      </c>
      <c r="AB1932" t="s">
        <v>11165</v>
      </c>
      <c r="AC1932">
        <v>0</v>
      </c>
      <c r="AD1932" t="s">
        <v>12422</v>
      </c>
      <c r="AF1932">
        <v>0</v>
      </c>
      <c r="AG1932">
        <v>2</v>
      </c>
      <c r="AH1932">
        <v>0</v>
      </c>
      <c r="AI1932">
        <v>123.83</v>
      </c>
      <c r="AL1932" t="s">
        <v>12460</v>
      </c>
      <c r="AM1932">
        <v>20940</v>
      </c>
      <c r="AS1932">
        <v>2.85</v>
      </c>
      <c r="AT1932" t="s">
        <v>446</v>
      </c>
      <c r="AU1932" t="s">
        <v>70</v>
      </c>
    </row>
    <row r="1933" spans="1:48">
      <c r="A1933" s="1">
        <f>HYPERLINK("https://cms.ls-nyc.org/matter/dynamic-profile/view/1895760","19-1895760")</f>
        <v>0</v>
      </c>
      <c r="B1933" t="s">
        <v>83</v>
      </c>
      <c r="C1933" t="s">
        <v>315</v>
      </c>
      <c r="E1933" t="s">
        <v>1565</v>
      </c>
      <c r="F1933" t="s">
        <v>3064</v>
      </c>
      <c r="G1933" t="s">
        <v>4797</v>
      </c>
      <c r="H1933" t="s">
        <v>5408</v>
      </c>
      <c r="I1933" t="s">
        <v>6043</v>
      </c>
      <c r="J1933">
        <v>11226</v>
      </c>
      <c r="K1933" t="s">
        <v>6074</v>
      </c>
      <c r="L1933" t="s">
        <v>6074</v>
      </c>
      <c r="O1933" t="s">
        <v>7309</v>
      </c>
      <c r="Q1933" t="s">
        <v>7322</v>
      </c>
      <c r="S1933" t="s">
        <v>7324</v>
      </c>
      <c r="U1933" t="s">
        <v>322</v>
      </c>
      <c r="V1933">
        <v>950</v>
      </c>
      <c r="W1933" t="s">
        <v>7362</v>
      </c>
      <c r="X1933" t="s">
        <v>7375</v>
      </c>
      <c r="Z1933" t="s">
        <v>8891</v>
      </c>
      <c r="AB1933" t="s">
        <v>11594</v>
      </c>
      <c r="AC1933">
        <v>54</v>
      </c>
      <c r="AD1933" t="s">
        <v>12422</v>
      </c>
      <c r="AE1933" t="s">
        <v>12434</v>
      </c>
      <c r="AF1933">
        <v>19</v>
      </c>
      <c r="AG1933">
        <v>2</v>
      </c>
      <c r="AH1933">
        <v>3</v>
      </c>
      <c r="AI1933">
        <v>124.1</v>
      </c>
      <c r="AL1933" t="s">
        <v>12460</v>
      </c>
      <c r="AM1933">
        <v>37440</v>
      </c>
      <c r="AS1933">
        <v>2.9</v>
      </c>
      <c r="AT1933" t="s">
        <v>445</v>
      </c>
      <c r="AU1933" t="s">
        <v>88</v>
      </c>
      <c r="AV1933" t="s">
        <v>13145</v>
      </c>
    </row>
    <row r="1934" spans="1:48">
      <c r="A1934" s="1">
        <f>HYPERLINK("https://cms.ls-nyc.org/matter/dynamic-profile/view/1891359","19-1891359")</f>
        <v>0</v>
      </c>
      <c r="B1934" t="s">
        <v>96</v>
      </c>
      <c r="C1934" t="s">
        <v>366</v>
      </c>
      <c r="E1934" t="s">
        <v>1133</v>
      </c>
      <c r="F1934" t="s">
        <v>3065</v>
      </c>
      <c r="G1934" t="s">
        <v>3792</v>
      </c>
      <c r="H1934" t="s">
        <v>5793</v>
      </c>
      <c r="I1934" t="s">
        <v>6047</v>
      </c>
      <c r="J1934">
        <v>10453</v>
      </c>
      <c r="K1934" t="s">
        <v>6074</v>
      </c>
      <c r="L1934" t="s">
        <v>6074</v>
      </c>
      <c r="N1934" t="s">
        <v>7279</v>
      </c>
      <c r="O1934" t="s">
        <v>7311</v>
      </c>
      <c r="Q1934" t="s">
        <v>7322</v>
      </c>
      <c r="R1934" t="s">
        <v>6074</v>
      </c>
      <c r="S1934" t="s">
        <v>7324</v>
      </c>
      <c r="U1934" t="s">
        <v>457</v>
      </c>
      <c r="V1934">
        <v>802.4400000000001</v>
      </c>
      <c r="W1934" t="s">
        <v>7363</v>
      </c>
      <c r="X1934" t="s">
        <v>7376</v>
      </c>
      <c r="Z1934" t="s">
        <v>8892</v>
      </c>
      <c r="AB1934" t="s">
        <v>11595</v>
      </c>
      <c r="AC1934">
        <v>170</v>
      </c>
      <c r="AD1934" t="s">
        <v>12422</v>
      </c>
      <c r="AE1934" t="s">
        <v>6110</v>
      </c>
      <c r="AF1934">
        <v>30</v>
      </c>
      <c r="AG1934">
        <v>2</v>
      </c>
      <c r="AH1934">
        <v>0</v>
      </c>
      <c r="AI1934">
        <v>124.19</v>
      </c>
      <c r="AL1934" t="s">
        <v>12460</v>
      </c>
      <c r="AM1934">
        <v>21000</v>
      </c>
      <c r="AS1934">
        <v>0</v>
      </c>
      <c r="AU1934" t="s">
        <v>13095</v>
      </c>
    </row>
    <row r="1935" spans="1:48">
      <c r="A1935" s="1">
        <f>HYPERLINK("https://cms.ls-nyc.org/matter/dynamic-profile/view/1891355","19-1891355")</f>
        <v>0</v>
      </c>
      <c r="B1935" t="s">
        <v>96</v>
      </c>
      <c r="C1935" t="s">
        <v>366</v>
      </c>
      <c r="E1935" t="s">
        <v>1133</v>
      </c>
      <c r="F1935" t="s">
        <v>3065</v>
      </c>
      <c r="G1935" t="s">
        <v>3792</v>
      </c>
      <c r="H1935" t="s">
        <v>5793</v>
      </c>
      <c r="I1935" t="s">
        <v>6047</v>
      </c>
      <c r="J1935">
        <v>10453</v>
      </c>
      <c r="K1935" t="s">
        <v>6074</v>
      </c>
      <c r="L1935" t="s">
        <v>6074</v>
      </c>
      <c r="M1935" t="s">
        <v>6259</v>
      </c>
      <c r="N1935" t="s">
        <v>7273</v>
      </c>
      <c r="O1935" t="s">
        <v>7308</v>
      </c>
      <c r="Q1935" t="s">
        <v>7322</v>
      </c>
      <c r="R1935" t="s">
        <v>6074</v>
      </c>
      <c r="S1935" t="s">
        <v>7324</v>
      </c>
      <c r="U1935" t="s">
        <v>457</v>
      </c>
      <c r="V1935">
        <v>802.4400000000001</v>
      </c>
      <c r="W1935" t="s">
        <v>7363</v>
      </c>
      <c r="X1935" t="s">
        <v>7376</v>
      </c>
      <c r="Z1935" t="s">
        <v>8892</v>
      </c>
      <c r="AB1935" t="s">
        <v>11595</v>
      </c>
      <c r="AC1935">
        <v>170</v>
      </c>
      <c r="AD1935" t="s">
        <v>12422</v>
      </c>
      <c r="AE1935" t="s">
        <v>6110</v>
      </c>
      <c r="AF1935">
        <v>30</v>
      </c>
      <c r="AG1935">
        <v>2</v>
      </c>
      <c r="AH1935">
        <v>0</v>
      </c>
      <c r="AI1935">
        <v>124.19</v>
      </c>
      <c r="AL1935" t="s">
        <v>12460</v>
      </c>
      <c r="AM1935">
        <v>21000</v>
      </c>
      <c r="AS1935">
        <v>0.5</v>
      </c>
      <c r="AT1935" t="s">
        <v>247</v>
      </c>
      <c r="AU1935" t="s">
        <v>13095</v>
      </c>
    </row>
    <row r="1936" spans="1:48">
      <c r="A1936" s="1">
        <f>HYPERLINK("https://cms.ls-nyc.org/matter/dynamic-profile/view/1889851","19-1889851")</f>
        <v>0</v>
      </c>
      <c r="B1936" t="s">
        <v>96</v>
      </c>
      <c r="C1936" t="s">
        <v>286</v>
      </c>
      <c r="D1936" t="s">
        <v>334</v>
      </c>
      <c r="E1936" t="s">
        <v>1566</v>
      </c>
      <c r="F1936" t="s">
        <v>2461</v>
      </c>
      <c r="G1936" t="s">
        <v>4798</v>
      </c>
      <c r="H1936" t="s">
        <v>5504</v>
      </c>
      <c r="I1936" t="s">
        <v>6047</v>
      </c>
      <c r="J1936">
        <v>10455</v>
      </c>
      <c r="K1936" t="s">
        <v>6074</v>
      </c>
      <c r="L1936" t="s">
        <v>6074</v>
      </c>
      <c r="N1936" t="s">
        <v>7278</v>
      </c>
      <c r="O1936" t="s">
        <v>7306</v>
      </c>
      <c r="P1936" t="s">
        <v>7314</v>
      </c>
      <c r="Q1936" t="s">
        <v>7322</v>
      </c>
      <c r="R1936" t="s">
        <v>6076</v>
      </c>
      <c r="S1936" t="s">
        <v>7324</v>
      </c>
      <c r="U1936" t="s">
        <v>334</v>
      </c>
      <c r="V1936">
        <v>568.88</v>
      </c>
      <c r="W1936" t="s">
        <v>7363</v>
      </c>
      <c r="X1936" t="s">
        <v>7376</v>
      </c>
      <c r="Y1936" t="s">
        <v>7386</v>
      </c>
      <c r="Z1936" t="s">
        <v>8893</v>
      </c>
      <c r="AB1936" t="s">
        <v>11596</v>
      </c>
      <c r="AC1936">
        <v>54</v>
      </c>
      <c r="AD1936" t="s">
        <v>12422</v>
      </c>
      <c r="AE1936" t="s">
        <v>6110</v>
      </c>
      <c r="AF1936">
        <v>3</v>
      </c>
      <c r="AG1936">
        <v>3</v>
      </c>
      <c r="AH1936">
        <v>1</v>
      </c>
      <c r="AI1936">
        <v>124.27</v>
      </c>
      <c r="AL1936" t="s">
        <v>12460</v>
      </c>
      <c r="AM1936">
        <v>32000</v>
      </c>
      <c r="AS1936">
        <v>0.1</v>
      </c>
      <c r="AT1936" t="s">
        <v>334</v>
      </c>
      <c r="AU1936" t="s">
        <v>13092</v>
      </c>
    </row>
    <row r="1937" spans="1:48">
      <c r="A1937" s="1">
        <f>HYPERLINK("https://cms.ls-nyc.org/matter/dynamic-profile/view/1891354","19-1891354")</f>
        <v>0</v>
      </c>
      <c r="B1937" t="s">
        <v>175</v>
      </c>
      <c r="C1937" t="s">
        <v>287</v>
      </c>
      <c r="D1937" t="s">
        <v>287</v>
      </c>
      <c r="E1937" t="s">
        <v>985</v>
      </c>
      <c r="F1937" t="s">
        <v>3066</v>
      </c>
      <c r="G1937" t="s">
        <v>4799</v>
      </c>
      <c r="H1937" t="s">
        <v>5400</v>
      </c>
      <c r="I1937" t="s">
        <v>6049</v>
      </c>
      <c r="J1937">
        <v>10034</v>
      </c>
      <c r="K1937" t="s">
        <v>6074</v>
      </c>
      <c r="L1937" t="s">
        <v>6075</v>
      </c>
      <c r="N1937" t="s">
        <v>6104</v>
      </c>
      <c r="O1937" t="s">
        <v>7307</v>
      </c>
      <c r="P1937" t="s">
        <v>7315</v>
      </c>
      <c r="Q1937" t="s">
        <v>7322</v>
      </c>
      <c r="R1937" t="s">
        <v>6076</v>
      </c>
      <c r="S1937" t="s">
        <v>7324</v>
      </c>
      <c r="U1937" t="s">
        <v>287</v>
      </c>
      <c r="V1937">
        <v>1098.91</v>
      </c>
      <c r="W1937" t="s">
        <v>7365</v>
      </c>
      <c r="X1937" t="s">
        <v>7367</v>
      </c>
      <c r="Y1937" t="s">
        <v>7387</v>
      </c>
      <c r="Z1937" t="s">
        <v>8894</v>
      </c>
      <c r="AB1937" t="s">
        <v>11597</v>
      </c>
      <c r="AC1937">
        <v>52</v>
      </c>
      <c r="AD1937" t="s">
        <v>12422</v>
      </c>
      <c r="AE1937" t="s">
        <v>7305</v>
      </c>
      <c r="AF1937">
        <v>18</v>
      </c>
      <c r="AG1937">
        <v>1</v>
      </c>
      <c r="AH1937">
        <v>0</v>
      </c>
      <c r="AI1937">
        <v>124.8</v>
      </c>
      <c r="AL1937" t="s">
        <v>12460</v>
      </c>
      <c r="AM1937">
        <v>15588</v>
      </c>
      <c r="AS1937">
        <v>2</v>
      </c>
      <c r="AT1937" t="s">
        <v>287</v>
      </c>
      <c r="AU1937" t="s">
        <v>175</v>
      </c>
      <c r="AV1937" t="s">
        <v>13145</v>
      </c>
    </row>
    <row r="1938" spans="1:48">
      <c r="A1938" s="1">
        <f>HYPERLINK("https://cms.ls-nyc.org/matter/dynamic-profile/view/1891373","19-1891373")</f>
        <v>0</v>
      </c>
      <c r="B1938" t="s">
        <v>175</v>
      </c>
      <c r="C1938" t="s">
        <v>287</v>
      </c>
      <c r="E1938" t="s">
        <v>985</v>
      </c>
      <c r="F1938" t="s">
        <v>3066</v>
      </c>
      <c r="G1938" t="s">
        <v>4799</v>
      </c>
      <c r="H1938" t="s">
        <v>5400</v>
      </c>
      <c r="I1938" t="s">
        <v>6049</v>
      </c>
      <c r="J1938">
        <v>10034</v>
      </c>
      <c r="K1938" t="s">
        <v>6074</v>
      </c>
      <c r="L1938" t="s">
        <v>6076</v>
      </c>
      <c r="N1938" t="s">
        <v>6104</v>
      </c>
      <c r="O1938" t="s">
        <v>7307</v>
      </c>
      <c r="Q1938" t="s">
        <v>7322</v>
      </c>
      <c r="R1938" t="s">
        <v>6076</v>
      </c>
      <c r="S1938" t="s">
        <v>7324</v>
      </c>
      <c r="U1938" t="s">
        <v>287</v>
      </c>
      <c r="V1938">
        <v>1077</v>
      </c>
      <c r="W1938" t="s">
        <v>7365</v>
      </c>
      <c r="X1938" t="s">
        <v>7367</v>
      </c>
      <c r="Z1938" t="s">
        <v>8894</v>
      </c>
      <c r="AA1938" t="s">
        <v>10216</v>
      </c>
      <c r="AB1938" t="s">
        <v>11597</v>
      </c>
      <c r="AC1938">
        <v>52</v>
      </c>
      <c r="AD1938" t="s">
        <v>12422</v>
      </c>
      <c r="AE1938" t="s">
        <v>7305</v>
      </c>
      <c r="AF1938">
        <v>18</v>
      </c>
      <c r="AG1938">
        <v>1</v>
      </c>
      <c r="AH1938">
        <v>0</v>
      </c>
      <c r="AI1938">
        <v>124.8</v>
      </c>
      <c r="AM1938">
        <v>15588</v>
      </c>
      <c r="AS1938">
        <v>10.1</v>
      </c>
      <c r="AT1938" t="s">
        <v>505</v>
      </c>
      <c r="AU1938" t="s">
        <v>175</v>
      </c>
      <c r="AV1938" t="s">
        <v>13145</v>
      </c>
    </row>
    <row r="1939" spans="1:48">
      <c r="A1939" s="1">
        <f>HYPERLINK("https://cms.ls-nyc.org/matter/dynamic-profile/view/1889043","19-1889043")</f>
        <v>0</v>
      </c>
      <c r="B1939" t="s">
        <v>61</v>
      </c>
      <c r="C1939" t="s">
        <v>379</v>
      </c>
      <c r="E1939" t="s">
        <v>1567</v>
      </c>
      <c r="F1939" t="s">
        <v>2268</v>
      </c>
      <c r="G1939" t="s">
        <v>3661</v>
      </c>
      <c r="H1939" t="s">
        <v>5698</v>
      </c>
      <c r="I1939" t="s">
        <v>6025</v>
      </c>
      <c r="J1939">
        <v>11691</v>
      </c>
      <c r="K1939" t="s">
        <v>6074</v>
      </c>
      <c r="L1939" t="s">
        <v>6074</v>
      </c>
      <c r="M1939" t="s">
        <v>6889</v>
      </c>
      <c r="N1939" t="s">
        <v>7275</v>
      </c>
      <c r="O1939" t="s">
        <v>7309</v>
      </c>
      <c r="Q1939" t="s">
        <v>7322</v>
      </c>
      <c r="R1939" t="s">
        <v>6076</v>
      </c>
      <c r="S1939" t="s">
        <v>7324</v>
      </c>
      <c r="T1939" t="s">
        <v>7338</v>
      </c>
      <c r="U1939" t="s">
        <v>379</v>
      </c>
      <c r="V1939">
        <v>1020</v>
      </c>
      <c r="W1939" t="s">
        <v>7361</v>
      </c>
      <c r="X1939" t="s">
        <v>7368</v>
      </c>
      <c r="Z1939" t="s">
        <v>8895</v>
      </c>
      <c r="AB1939" t="s">
        <v>11598</v>
      </c>
      <c r="AC1939">
        <v>231</v>
      </c>
      <c r="AD1939" t="s">
        <v>12423</v>
      </c>
      <c r="AE1939" t="s">
        <v>6110</v>
      </c>
      <c r="AF1939">
        <v>7</v>
      </c>
      <c r="AG1939">
        <v>1</v>
      </c>
      <c r="AH1939">
        <v>0</v>
      </c>
      <c r="AI1939">
        <v>124.9</v>
      </c>
      <c r="AL1939" t="s">
        <v>12460</v>
      </c>
      <c r="AM1939">
        <v>15600</v>
      </c>
      <c r="AS1939">
        <v>1</v>
      </c>
      <c r="AT1939" t="s">
        <v>379</v>
      </c>
      <c r="AU1939" t="s">
        <v>189</v>
      </c>
    </row>
    <row r="1940" spans="1:48">
      <c r="A1940" s="1">
        <f>HYPERLINK("https://cms.ls-nyc.org/matter/dynamic-profile/view/1889066","19-1889066")</f>
        <v>0</v>
      </c>
      <c r="B1940" t="s">
        <v>64</v>
      </c>
      <c r="C1940" t="s">
        <v>379</v>
      </c>
      <c r="D1940" t="s">
        <v>277</v>
      </c>
      <c r="E1940" t="s">
        <v>1567</v>
      </c>
      <c r="F1940" t="s">
        <v>2268</v>
      </c>
      <c r="G1940" t="s">
        <v>3661</v>
      </c>
      <c r="H1940" t="s">
        <v>5698</v>
      </c>
      <c r="I1940" t="s">
        <v>6025</v>
      </c>
      <c r="J1940">
        <v>11691</v>
      </c>
      <c r="K1940" t="s">
        <v>6074</v>
      </c>
      <c r="L1940" t="s">
        <v>6074</v>
      </c>
      <c r="M1940" t="s">
        <v>6890</v>
      </c>
      <c r="N1940" t="s">
        <v>7276</v>
      </c>
      <c r="O1940" t="s">
        <v>7308</v>
      </c>
      <c r="P1940" t="s">
        <v>7316</v>
      </c>
      <c r="Q1940" t="s">
        <v>7322</v>
      </c>
      <c r="R1940" t="s">
        <v>6076</v>
      </c>
      <c r="S1940" t="s">
        <v>7324</v>
      </c>
      <c r="T1940" t="s">
        <v>7339</v>
      </c>
      <c r="U1940" t="s">
        <v>259</v>
      </c>
      <c r="V1940">
        <v>1174</v>
      </c>
      <c r="W1940" t="s">
        <v>7361</v>
      </c>
      <c r="X1940" t="s">
        <v>7372</v>
      </c>
      <c r="Y1940" t="s">
        <v>7388</v>
      </c>
      <c r="Z1940" t="s">
        <v>8895</v>
      </c>
      <c r="AB1940" t="s">
        <v>11598</v>
      </c>
      <c r="AC1940">
        <v>232</v>
      </c>
      <c r="AD1940" t="s">
        <v>12423</v>
      </c>
      <c r="AE1940" t="s">
        <v>6110</v>
      </c>
      <c r="AF1940">
        <v>9</v>
      </c>
      <c r="AG1940">
        <v>1</v>
      </c>
      <c r="AH1940">
        <v>0</v>
      </c>
      <c r="AI1940">
        <v>124.9</v>
      </c>
      <c r="AL1940" t="s">
        <v>12460</v>
      </c>
      <c r="AM1940">
        <v>15600</v>
      </c>
      <c r="AO1940" t="s">
        <v>12850</v>
      </c>
      <c r="AP1940" t="s">
        <v>12858</v>
      </c>
      <c r="AQ1940" t="s">
        <v>12909</v>
      </c>
      <c r="AR1940" t="s">
        <v>13029</v>
      </c>
      <c r="AS1940">
        <v>1.8</v>
      </c>
      <c r="AT1940" t="s">
        <v>277</v>
      </c>
      <c r="AU1940" t="s">
        <v>64</v>
      </c>
    </row>
    <row r="1941" spans="1:48">
      <c r="A1941" s="1">
        <f>HYPERLINK("https://cms.ls-nyc.org/matter/dynamic-profile/view/1893565","19-1893565")</f>
        <v>0</v>
      </c>
      <c r="B1941" t="s">
        <v>60</v>
      </c>
      <c r="C1941" t="s">
        <v>367</v>
      </c>
      <c r="D1941" t="s">
        <v>367</v>
      </c>
      <c r="E1941" t="s">
        <v>1398</v>
      </c>
      <c r="F1941" t="s">
        <v>2285</v>
      </c>
      <c r="G1941" t="s">
        <v>4800</v>
      </c>
      <c r="H1941" t="s">
        <v>5346</v>
      </c>
      <c r="I1941" t="s">
        <v>6033</v>
      </c>
      <c r="J1941">
        <v>11417</v>
      </c>
      <c r="K1941" t="s">
        <v>6074</v>
      </c>
      <c r="L1941" t="s">
        <v>6074</v>
      </c>
      <c r="M1941" t="s">
        <v>6329</v>
      </c>
      <c r="N1941" t="s">
        <v>6104</v>
      </c>
      <c r="O1941" t="s">
        <v>7306</v>
      </c>
      <c r="P1941" t="s">
        <v>7320</v>
      </c>
      <c r="Q1941" t="s">
        <v>7323</v>
      </c>
      <c r="R1941" t="s">
        <v>6076</v>
      </c>
      <c r="S1941" t="s">
        <v>7324</v>
      </c>
      <c r="T1941" t="s">
        <v>7336</v>
      </c>
      <c r="U1941" t="s">
        <v>367</v>
      </c>
      <c r="V1941">
        <v>1900</v>
      </c>
      <c r="W1941" t="s">
        <v>7361</v>
      </c>
      <c r="X1941" t="s">
        <v>7369</v>
      </c>
      <c r="Y1941" t="s">
        <v>7386</v>
      </c>
      <c r="Z1941" t="s">
        <v>8896</v>
      </c>
      <c r="AA1941" t="s">
        <v>9863</v>
      </c>
      <c r="AB1941" t="s">
        <v>9856</v>
      </c>
      <c r="AC1941">
        <v>4</v>
      </c>
      <c r="AD1941" t="s">
        <v>12419</v>
      </c>
      <c r="AE1941" t="s">
        <v>6110</v>
      </c>
      <c r="AF1941">
        <v>4</v>
      </c>
      <c r="AG1941">
        <v>1</v>
      </c>
      <c r="AH1941">
        <v>0</v>
      </c>
      <c r="AI1941">
        <v>124.9</v>
      </c>
      <c r="AJ1941" t="s">
        <v>12443</v>
      </c>
      <c r="AK1941" t="s">
        <v>12455</v>
      </c>
      <c r="AL1941" t="s">
        <v>12461</v>
      </c>
      <c r="AM1941">
        <v>15600</v>
      </c>
      <c r="AS1941">
        <v>2.4</v>
      </c>
      <c r="AT1941" t="s">
        <v>445</v>
      </c>
      <c r="AU1941" t="s">
        <v>60</v>
      </c>
    </row>
    <row r="1942" spans="1:48">
      <c r="A1942" s="1">
        <f>HYPERLINK("https://cms.ls-nyc.org/matter/dynamic-profile/view/1900452","19-1900452")</f>
        <v>0</v>
      </c>
      <c r="B1942" t="s">
        <v>83</v>
      </c>
      <c r="C1942" t="s">
        <v>241</v>
      </c>
      <c r="E1942" t="s">
        <v>657</v>
      </c>
      <c r="F1942" t="s">
        <v>3067</v>
      </c>
      <c r="G1942" t="s">
        <v>4209</v>
      </c>
      <c r="H1942" t="s">
        <v>5373</v>
      </c>
      <c r="I1942" t="s">
        <v>6043</v>
      </c>
      <c r="J1942">
        <v>11226</v>
      </c>
      <c r="K1942" t="s">
        <v>6074</v>
      </c>
      <c r="L1942" t="s">
        <v>6075</v>
      </c>
      <c r="Q1942" t="s">
        <v>7322</v>
      </c>
      <c r="S1942" t="s">
        <v>7324</v>
      </c>
      <c r="U1942" t="s">
        <v>241</v>
      </c>
      <c r="V1942">
        <v>0</v>
      </c>
      <c r="W1942" t="s">
        <v>7362</v>
      </c>
      <c r="Z1942" t="s">
        <v>8897</v>
      </c>
      <c r="AB1942" t="s">
        <v>11599</v>
      </c>
      <c r="AC1942">
        <v>0</v>
      </c>
      <c r="AF1942">
        <v>0</v>
      </c>
      <c r="AG1942">
        <v>1</v>
      </c>
      <c r="AH1942">
        <v>0</v>
      </c>
      <c r="AI1942">
        <v>124.9</v>
      </c>
      <c r="AL1942" t="s">
        <v>12477</v>
      </c>
      <c r="AM1942">
        <v>15600</v>
      </c>
      <c r="AS1942">
        <v>0.3</v>
      </c>
      <c r="AT1942" t="s">
        <v>241</v>
      </c>
      <c r="AU1942" t="s">
        <v>69</v>
      </c>
    </row>
    <row r="1943" spans="1:48">
      <c r="A1943" s="1">
        <f>HYPERLINK("https://cms.ls-nyc.org/matter/dynamic-profile/view/1894211","19-1894211")</f>
        <v>0</v>
      </c>
      <c r="B1943" t="s">
        <v>121</v>
      </c>
      <c r="C1943" t="s">
        <v>334</v>
      </c>
      <c r="E1943" t="s">
        <v>716</v>
      </c>
      <c r="F1943" t="s">
        <v>3068</v>
      </c>
      <c r="G1943" t="s">
        <v>4801</v>
      </c>
      <c r="H1943" t="s">
        <v>5794</v>
      </c>
      <c r="I1943" t="s">
        <v>6043</v>
      </c>
      <c r="J1943">
        <v>11208</v>
      </c>
      <c r="K1943" t="s">
        <v>6074</v>
      </c>
      <c r="L1943" t="s">
        <v>6074</v>
      </c>
      <c r="M1943" t="s">
        <v>6891</v>
      </c>
      <c r="N1943" t="s">
        <v>7274</v>
      </c>
      <c r="O1943" t="s">
        <v>7308</v>
      </c>
      <c r="Q1943" t="s">
        <v>7322</v>
      </c>
      <c r="R1943" t="s">
        <v>6076</v>
      </c>
      <c r="S1943" t="s">
        <v>7324</v>
      </c>
      <c r="T1943" t="s">
        <v>7336</v>
      </c>
      <c r="U1943" t="s">
        <v>337</v>
      </c>
      <c r="V1943">
        <v>800</v>
      </c>
      <c r="W1943" t="s">
        <v>7362</v>
      </c>
      <c r="X1943" t="s">
        <v>7366</v>
      </c>
      <c r="Z1943" t="s">
        <v>8898</v>
      </c>
      <c r="AA1943" t="s">
        <v>6110</v>
      </c>
      <c r="AB1943" t="s">
        <v>11600</v>
      </c>
      <c r="AC1943">
        <v>3</v>
      </c>
      <c r="AD1943" t="s">
        <v>12419</v>
      </c>
      <c r="AE1943" t="s">
        <v>12433</v>
      </c>
      <c r="AF1943">
        <v>1</v>
      </c>
      <c r="AG1943">
        <v>1</v>
      </c>
      <c r="AH1943">
        <v>0</v>
      </c>
      <c r="AI1943">
        <v>124.9</v>
      </c>
      <c r="AL1943" t="s">
        <v>12460</v>
      </c>
      <c r="AM1943">
        <v>15600</v>
      </c>
      <c r="AS1943">
        <v>15</v>
      </c>
      <c r="AT1943" t="s">
        <v>382</v>
      </c>
      <c r="AU1943" t="s">
        <v>13085</v>
      </c>
    </row>
    <row r="1944" spans="1:48">
      <c r="A1944" s="1">
        <f>HYPERLINK("https://cms.ls-nyc.org/matter/dynamic-profile/view/1901265","19-1901265")</f>
        <v>0</v>
      </c>
      <c r="B1944" t="s">
        <v>199</v>
      </c>
      <c r="C1944" t="s">
        <v>496</v>
      </c>
      <c r="E1944" t="s">
        <v>1568</v>
      </c>
      <c r="F1944" t="s">
        <v>3069</v>
      </c>
      <c r="G1944" t="s">
        <v>4802</v>
      </c>
      <c r="H1944">
        <v>8</v>
      </c>
      <c r="I1944" t="s">
        <v>6049</v>
      </c>
      <c r="J1944">
        <v>10128</v>
      </c>
      <c r="K1944" t="s">
        <v>6075</v>
      </c>
      <c r="L1944" t="s">
        <v>6075</v>
      </c>
      <c r="M1944" t="s">
        <v>6892</v>
      </c>
      <c r="N1944" t="s">
        <v>7276</v>
      </c>
      <c r="O1944" t="s">
        <v>7310</v>
      </c>
      <c r="Q1944" t="s">
        <v>7322</v>
      </c>
      <c r="R1944" t="s">
        <v>6076</v>
      </c>
      <c r="S1944" t="s">
        <v>7324</v>
      </c>
      <c r="T1944" t="s">
        <v>7340</v>
      </c>
      <c r="U1944" t="s">
        <v>496</v>
      </c>
      <c r="V1944">
        <v>1138.34</v>
      </c>
      <c r="W1944" t="s">
        <v>7365</v>
      </c>
      <c r="X1944" t="s">
        <v>7366</v>
      </c>
      <c r="Z1944" t="s">
        <v>8899</v>
      </c>
      <c r="AC1944">
        <v>20</v>
      </c>
      <c r="AE1944" t="s">
        <v>6110</v>
      </c>
      <c r="AF1944">
        <v>20</v>
      </c>
      <c r="AG1944">
        <v>1</v>
      </c>
      <c r="AH1944">
        <v>0</v>
      </c>
      <c r="AI1944">
        <v>124.9</v>
      </c>
      <c r="AL1944" t="s">
        <v>12460</v>
      </c>
      <c r="AM1944">
        <v>15600</v>
      </c>
      <c r="AS1944">
        <v>0</v>
      </c>
      <c r="AU1944" t="s">
        <v>13107</v>
      </c>
      <c r="AV1944" t="s">
        <v>13145</v>
      </c>
    </row>
    <row r="1945" spans="1:48">
      <c r="A1945" s="1">
        <f>HYPERLINK("https://cms.ls-nyc.org/matter/dynamic-profile/view/1889088","19-1889088")</f>
        <v>0</v>
      </c>
      <c r="B1945" t="s">
        <v>128</v>
      </c>
      <c r="C1945" t="s">
        <v>379</v>
      </c>
      <c r="E1945" t="s">
        <v>699</v>
      </c>
      <c r="F1945" t="s">
        <v>2237</v>
      </c>
      <c r="G1945" t="s">
        <v>4803</v>
      </c>
      <c r="H1945">
        <v>33</v>
      </c>
      <c r="I1945" t="s">
        <v>6049</v>
      </c>
      <c r="J1945">
        <v>10034</v>
      </c>
      <c r="K1945" t="s">
        <v>6074</v>
      </c>
      <c r="L1945" t="s">
        <v>6074</v>
      </c>
      <c r="M1945" t="s">
        <v>6893</v>
      </c>
      <c r="N1945" t="s">
        <v>7276</v>
      </c>
      <c r="O1945" t="s">
        <v>7308</v>
      </c>
      <c r="Q1945" t="s">
        <v>7322</v>
      </c>
      <c r="R1945" t="s">
        <v>6076</v>
      </c>
      <c r="S1945" t="s">
        <v>7324</v>
      </c>
      <c r="U1945" t="s">
        <v>379</v>
      </c>
      <c r="V1945">
        <v>1059</v>
      </c>
      <c r="W1945" t="s">
        <v>7365</v>
      </c>
      <c r="X1945" t="s">
        <v>7368</v>
      </c>
      <c r="Z1945" t="s">
        <v>8900</v>
      </c>
      <c r="AB1945" t="s">
        <v>11601</v>
      </c>
      <c r="AC1945">
        <v>25</v>
      </c>
      <c r="AD1945" t="s">
        <v>12432</v>
      </c>
      <c r="AE1945" t="s">
        <v>12438</v>
      </c>
      <c r="AF1945">
        <v>4</v>
      </c>
      <c r="AG1945">
        <v>1</v>
      </c>
      <c r="AH1945">
        <v>4</v>
      </c>
      <c r="AI1945">
        <v>124.97</v>
      </c>
      <c r="AL1945" t="s">
        <v>12461</v>
      </c>
      <c r="AM1945">
        <v>37704</v>
      </c>
      <c r="AS1945">
        <v>20.95</v>
      </c>
      <c r="AT1945" t="s">
        <v>496</v>
      </c>
      <c r="AU1945" t="s">
        <v>13106</v>
      </c>
    </row>
    <row r="1946" spans="1:48">
      <c r="A1946" s="1">
        <f>HYPERLINK("https://cms.ls-nyc.org/matter/dynamic-profile/view/1889085","19-1889085")</f>
        <v>0</v>
      </c>
      <c r="B1946" t="s">
        <v>128</v>
      </c>
      <c r="C1946" t="s">
        <v>379</v>
      </c>
      <c r="E1946" t="s">
        <v>699</v>
      </c>
      <c r="F1946" t="s">
        <v>2237</v>
      </c>
      <c r="G1946" t="s">
        <v>4803</v>
      </c>
      <c r="H1946">
        <v>33</v>
      </c>
      <c r="I1946" t="s">
        <v>6049</v>
      </c>
      <c r="J1946">
        <v>10034</v>
      </c>
      <c r="K1946" t="s">
        <v>6074</v>
      </c>
      <c r="L1946" t="s">
        <v>6074</v>
      </c>
      <c r="N1946" t="s">
        <v>7278</v>
      </c>
      <c r="O1946" t="s">
        <v>7309</v>
      </c>
      <c r="Q1946" t="s">
        <v>7322</v>
      </c>
      <c r="R1946" t="s">
        <v>6076</v>
      </c>
      <c r="S1946" t="s">
        <v>7324</v>
      </c>
      <c r="U1946" t="s">
        <v>379</v>
      </c>
      <c r="V1946">
        <v>1059.36</v>
      </c>
      <c r="W1946" t="s">
        <v>7365</v>
      </c>
      <c r="X1946" t="s">
        <v>7368</v>
      </c>
      <c r="Z1946" t="s">
        <v>8900</v>
      </c>
      <c r="AB1946" t="s">
        <v>11601</v>
      </c>
      <c r="AC1946">
        <v>25</v>
      </c>
      <c r="AD1946" t="s">
        <v>12422</v>
      </c>
      <c r="AE1946" t="s">
        <v>12438</v>
      </c>
      <c r="AF1946">
        <v>4</v>
      </c>
      <c r="AG1946">
        <v>1</v>
      </c>
      <c r="AH1946">
        <v>4</v>
      </c>
      <c r="AI1946">
        <v>124.97</v>
      </c>
      <c r="AL1946" t="s">
        <v>12461</v>
      </c>
      <c r="AM1946">
        <v>37704</v>
      </c>
      <c r="AS1946">
        <v>5.2</v>
      </c>
      <c r="AT1946" t="s">
        <v>496</v>
      </c>
      <c r="AU1946" t="s">
        <v>13106</v>
      </c>
    </row>
    <row r="1947" spans="1:48">
      <c r="A1947" s="1">
        <f>HYPERLINK("https://cms.ls-nyc.org/matter/dynamic-profile/view/1884173","18-1884173")</f>
        <v>0</v>
      </c>
      <c r="B1947" t="s">
        <v>68</v>
      </c>
      <c r="C1947" t="s">
        <v>504</v>
      </c>
      <c r="D1947" t="s">
        <v>344</v>
      </c>
      <c r="E1947" t="s">
        <v>1096</v>
      </c>
      <c r="F1947" t="s">
        <v>2475</v>
      </c>
      <c r="G1947" t="s">
        <v>4804</v>
      </c>
      <c r="I1947" t="s">
        <v>6043</v>
      </c>
      <c r="J1947">
        <v>11207</v>
      </c>
      <c r="K1947" t="s">
        <v>6074</v>
      </c>
      <c r="L1947" t="s">
        <v>6074</v>
      </c>
      <c r="M1947" t="s">
        <v>6894</v>
      </c>
      <c r="N1947" t="s">
        <v>7276</v>
      </c>
      <c r="O1947" t="s">
        <v>7306</v>
      </c>
      <c r="P1947" t="s">
        <v>7314</v>
      </c>
      <c r="Q1947" t="s">
        <v>7322</v>
      </c>
      <c r="R1947" t="s">
        <v>6076</v>
      </c>
      <c r="S1947" t="s">
        <v>7324</v>
      </c>
      <c r="T1947" t="s">
        <v>7338</v>
      </c>
      <c r="U1947" t="s">
        <v>297</v>
      </c>
      <c r="V1947">
        <v>1775</v>
      </c>
      <c r="W1947" t="s">
        <v>7362</v>
      </c>
      <c r="X1947" t="s">
        <v>7373</v>
      </c>
      <c r="Y1947" t="s">
        <v>7386</v>
      </c>
      <c r="Z1947" t="s">
        <v>8901</v>
      </c>
      <c r="AB1947" t="s">
        <v>11602</v>
      </c>
      <c r="AC1947">
        <v>4</v>
      </c>
      <c r="AD1947" t="s">
        <v>12419</v>
      </c>
      <c r="AE1947" t="s">
        <v>6110</v>
      </c>
      <c r="AF1947">
        <v>2</v>
      </c>
      <c r="AG1947">
        <v>2</v>
      </c>
      <c r="AH1947">
        <v>1</v>
      </c>
      <c r="AI1947">
        <v>125.12</v>
      </c>
      <c r="AL1947" t="s">
        <v>12460</v>
      </c>
      <c r="AM1947">
        <v>26000</v>
      </c>
      <c r="AS1947">
        <v>1.5</v>
      </c>
      <c r="AT1947" t="s">
        <v>504</v>
      </c>
      <c r="AU1947" t="s">
        <v>180</v>
      </c>
    </row>
    <row r="1948" spans="1:48">
      <c r="A1948" s="1">
        <f>HYPERLINK("https://cms.ls-nyc.org/matter/dynamic-profile/view/1876839","18-1876839")</f>
        <v>0</v>
      </c>
      <c r="B1948" t="s">
        <v>101</v>
      </c>
      <c r="C1948" t="s">
        <v>289</v>
      </c>
      <c r="E1948" t="s">
        <v>1208</v>
      </c>
      <c r="F1948" t="s">
        <v>3001</v>
      </c>
      <c r="G1948" t="s">
        <v>3939</v>
      </c>
      <c r="H1948" t="s">
        <v>5470</v>
      </c>
      <c r="I1948" t="s">
        <v>6047</v>
      </c>
      <c r="J1948">
        <v>10456</v>
      </c>
      <c r="K1948" t="s">
        <v>6074</v>
      </c>
      <c r="L1948" t="s">
        <v>6074</v>
      </c>
      <c r="M1948" t="s">
        <v>6305</v>
      </c>
      <c r="N1948" t="s">
        <v>7279</v>
      </c>
      <c r="O1948" t="s">
        <v>7311</v>
      </c>
      <c r="Q1948" t="s">
        <v>7322</v>
      </c>
      <c r="R1948" t="s">
        <v>6074</v>
      </c>
      <c r="S1948" t="s">
        <v>7324</v>
      </c>
      <c r="U1948" t="s">
        <v>502</v>
      </c>
      <c r="V1948">
        <v>1330.07</v>
      </c>
      <c r="W1948" t="s">
        <v>7363</v>
      </c>
      <c r="X1948" t="s">
        <v>7376</v>
      </c>
      <c r="Z1948" t="s">
        <v>8902</v>
      </c>
      <c r="AB1948" t="s">
        <v>11603</v>
      </c>
      <c r="AC1948">
        <v>131</v>
      </c>
      <c r="AD1948" t="s">
        <v>12422</v>
      </c>
      <c r="AE1948" t="s">
        <v>6110</v>
      </c>
      <c r="AF1948">
        <v>3</v>
      </c>
      <c r="AG1948">
        <v>1</v>
      </c>
      <c r="AH1948">
        <v>2</v>
      </c>
      <c r="AI1948">
        <v>125.12</v>
      </c>
      <c r="AL1948" t="s">
        <v>12461</v>
      </c>
      <c r="AM1948">
        <v>26000</v>
      </c>
      <c r="AS1948">
        <v>0</v>
      </c>
      <c r="AU1948" t="s">
        <v>13095</v>
      </c>
    </row>
    <row r="1949" spans="1:48">
      <c r="A1949" s="1">
        <f>HYPERLINK("https://cms.ls-nyc.org/matter/dynamic-profile/view/1886865","19-1886865")</f>
        <v>0</v>
      </c>
      <c r="B1949" t="s">
        <v>101</v>
      </c>
      <c r="C1949" t="s">
        <v>422</v>
      </c>
      <c r="E1949" t="s">
        <v>1208</v>
      </c>
      <c r="F1949" t="s">
        <v>3001</v>
      </c>
      <c r="G1949" t="s">
        <v>3939</v>
      </c>
      <c r="H1949" t="s">
        <v>5470</v>
      </c>
      <c r="I1949" t="s">
        <v>6047</v>
      </c>
      <c r="J1949">
        <v>10456</v>
      </c>
      <c r="K1949" t="s">
        <v>6074</v>
      </c>
      <c r="L1949" t="s">
        <v>6074</v>
      </c>
      <c r="M1949" t="s">
        <v>6303</v>
      </c>
      <c r="N1949" t="s">
        <v>7279</v>
      </c>
      <c r="O1949" t="s">
        <v>7311</v>
      </c>
      <c r="Q1949" t="s">
        <v>7322</v>
      </c>
      <c r="R1949" t="s">
        <v>6074</v>
      </c>
      <c r="S1949" t="s">
        <v>7324</v>
      </c>
      <c r="U1949" t="s">
        <v>457</v>
      </c>
      <c r="V1949">
        <v>1330.07</v>
      </c>
      <c r="W1949" t="s">
        <v>7363</v>
      </c>
      <c r="X1949" t="s">
        <v>7376</v>
      </c>
      <c r="Z1949" t="s">
        <v>8902</v>
      </c>
      <c r="AB1949" t="s">
        <v>11603</v>
      </c>
      <c r="AC1949">
        <v>131</v>
      </c>
      <c r="AD1949" t="s">
        <v>12422</v>
      </c>
      <c r="AE1949" t="s">
        <v>6110</v>
      </c>
      <c r="AF1949">
        <v>3</v>
      </c>
      <c r="AG1949">
        <v>1</v>
      </c>
      <c r="AH1949">
        <v>2</v>
      </c>
      <c r="AI1949">
        <v>125.12</v>
      </c>
      <c r="AL1949" t="s">
        <v>12461</v>
      </c>
      <c r="AM1949">
        <v>26000</v>
      </c>
      <c r="AS1949">
        <v>0</v>
      </c>
      <c r="AU1949" t="s">
        <v>13095</v>
      </c>
    </row>
    <row r="1950" spans="1:48">
      <c r="A1950" s="1">
        <f>HYPERLINK("https://cms.ls-nyc.org/matter/dynamic-profile/view/1876836","18-1876836")</f>
        <v>0</v>
      </c>
      <c r="B1950" t="s">
        <v>101</v>
      </c>
      <c r="C1950" t="s">
        <v>238</v>
      </c>
      <c r="E1950" t="s">
        <v>1208</v>
      </c>
      <c r="F1950" t="s">
        <v>3001</v>
      </c>
      <c r="G1950" t="s">
        <v>3939</v>
      </c>
      <c r="H1950" t="s">
        <v>5470</v>
      </c>
      <c r="I1950" t="s">
        <v>6047</v>
      </c>
      <c r="J1950">
        <v>10456</v>
      </c>
      <c r="K1950" t="s">
        <v>6074</v>
      </c>
      <c r="L1950" t="s">
        <v>6074</v>
      </c>
      <c r="M1950" t="s">
        <v>6895</v>
      </c>
      <c r="N1950" t="s">
        <v>7273</v>
      </c>
      <c r="O1950" t="s">
        <v>7308</v>
      </c>
      <c r="Q1950" t="s">
        <v>7322</v>
      </c>
      <c r="R1950" t="s">
        <v>6074</v>
      </c>
      <c r="S1950" t="s">
        <v>7324</v>
      </c>
      <c r="U1950" t="s">
        <v>238</v>
      </c>
      <c r="V1950">
        <v>1330.07</v>
      </c>
      <c r="W1950" t="s">
        <v>7363</v>
      </c>
      <c r="X1950" t="s">
        <v>7376</v>
      </c>
      <c r="Z1950" t="s">
        <v>8902</v>
      </c>
      <c r="AB1950" t="s">
        <v>11603</v>
      </c>
      <c r="AC1950">
        <v>131</v>
      </c>
      <c r="AD1950" t="s">
        <v>12422</v>
      </c>
      <c r="AE1950" t="s">
        <v>6110</v>
      </c>
      <c r="AF1950">
        <v>3</v>
      </c>
      <c r="AG1950">
        <v>1</v>
      </c>
      <c r="AH1950">
        <v>2</v>
      </c>
      <c r="AI1950">
        <v>125.12</v>
      </c>
      <c r="AL1950" t="s">
        <v>12461</v>
      </c>
      <c r="AM1950">
        <v>26000</v>
      </c>
      <c r="AS1950">
        <v>0</v>
      </c>
      <c r="AU1950" t="s">
        <v>13095</v>
      </c>
    </row>
    <row r="1951" spans="1:48">
      <c r="A1951" s="1">
        <f>HYPERLINK("https://cms.ls-nyc.org/matter/dynamic-profile/view/1876865","18-1876865")</f>
        <v>0</v>
      </c>
      <c r="B1951" t="s">
        <v>101</v>
      </c>
      <c r="C1951" t="s">
        <v>281</v>
      </c>
      <c r="D1951" t="s">
        <v>555</v>
      </c>
      <c r="E1951" t="s">
        <v>893</v>
      </c>
      <c r="F1951" t="s">
        <v>3070</v>
      </c>
      <c r="G1951" t="s">
        <v>4805</v>
      </c>
      <c r="H1951" t="s">
        <v>5387</v>
      </c>
      <c r="I1951" t="s">
        <v>6047</v>
      </c>
      <c r="J1951">
        <v>10452</v>
      </c>
      <c r="K1951" t="s">
        <v>6074</v>
      </c>
      <c r="L1951" t="s">
        <v>6074</v>
      </c>
      <c r="N1951" t="s">
        <v>6104</v>
      </c>
      <c r="O1951" t="s">
        <v>7307</v>
      </c>
      <c r="P1951" t="s">
        <v>7315</v>
      </c>
      <c r="Q1951" t="s">
        <v>7322</v>
      </c>
      <c r="R1951" t="s">
        <v>6076</v>
      </c>
      <c r="S1951" t="s">
        <v>7324</v>
      </c>
      <c r="U1951" t="s">
        <v>502</v>
      </c>
      <c r="V1951">
        <v>937</v>
      </c>
      <c r="W1951" t="s">
        <v>7363</v>
      </c>
      <c r="X1951" t="s">
        <v>7376</v>
      </c>
      <c r="Y1951" t="s">
        <v>7390</v>
      </c>
      <c r="Z1951" t="s">
        <v>8903</v>
      </c>
      <c r="AB1951" t="s">
        <v>11604</v>
      </c>
      <c r="AC1951">
        <v>63</v>
      </c>
      <c r="AD1951" t="s">
        <v>12422</v>
      </c>
      <c r="AE1951" t="s">
        <v>6110</v>
      </c>
      <c r="AF1951">
        <v>23</v>
      </c>
      <c r="AG1951">
        <v>2</v>
      </c>
      <c r="AH1951">
        <v>1</v>
      </c>
      <c r="AI1951">
        <v>125.12</v>
      </c>
      <c r="AL1951" t="s">
        <v>12461</v>
      </c>
      <c r="AM1951">
        <v>26000</v>
      </c>
      <c r="AS1951">
        <v>1.5</v>
      </c>
      <c r="AT1951" t="s">
        <v>350</v>
      </c>
      <c r="AU1951" t="s">
        <v>13095</v>
      </c>
    </row>
    <row r="1952" spans="1:48">
      <c r="A1952" s="1">
        <f>HYPERLINK("https://cms.ls-nyc.org/matter/dynamic-profile/view/1884751","18-1884751")</f>
        <v>0</v>
      </c>
      <c r="B1952" t="s">
        <v>114</v>
      </c>
      <c r="C1952" t="s">
        <v>297</v>
      </c>
      <c r="D1952" t="s">
        <v>434</v>
      </c>
      <c r="E1952" t="s">
        <v>581</v>
      </c>
      <c r="F1952" t="s">
        <v>2465</v>
      </c>
      <c r="G1952" t="s">
        <v>4555</v>
      </c>
      <c r="H1952" t="s">
        <v>5393</v>
      </c>
      <c r="I1952" t="s">
        <v>6047</v>
      </c>
      <c r="J1952">
        <v>10452</v>
      </c>
      <c r="K1952" t="s">
        <v>6074</v>
      </c>
      <c r="L1952" t="s">
        <v>6074</v>
      </c>
      <c r="M1952" t="s">
        <v>6896</v>
      </c>
      <c r="N1952" t="s">
        <v>7276</v>
      </c>
      <c r="O1952" t="s">
        <v>7306</v>
      </c>
      <c r="P1952" t="s">
        <v>7314</v>
      </c>
      <c r="Q1952" t="s">
        <v>7322</v>
      </c>
      <c r="R1952" t="s">
        <v>6076</v>
      </c>
      <c r="S1952" t="s">
        <v>7324</v>
      </c>
      <c r="U1952" t="s">
        <v>472</v>
      </c>
      <c r="V1952">
        <v>925</v>
      </c>
      <c r="W1952" t="s">
        <v>7363</v>
      </c>
      <c r="X1952" t="s">
        <v>7376</v>
      </c>
      <c r="Y1952" t="s">
        <v>7386</v>
      </c>
      <c r="Z1952" t="s">
        <v>8904</v>
      </c>
      <c r="AB1952" t="s">
        <v>11605</v>
      </c>
      <c r="AC1952">
        <v>37</v>
      </c>
      <c r="AD1952" t="s">
        <v>12422</v>
      </c>
      <c r="AE1952" t="s">
        <v>6110</v>
      </c>
      <c r="AF1952">
        <v>5</v>
      </c>
      <c r="AG1952">
        <v>2</v>
      </c>
      <c r="AH1952">
        <v>1</v>
      </c>
      <c r="AI1952">
        <v>125.12</v>
      </c>
      <c r="AL1952" t="s">
        <v>12460</v>
      </c>
      <c r="AM1952">
        <v>26000</v>
      </c>
      <c r="AS1952">
        <v>1.25</v>
      </c>
      <c r="AT1952" t="s">
        <v>434</v>
      </c>
      <c r="AU1952" t="s">
        <v>13095</v>
      </c>
    </row>
    <row r="1953" spans="1:47">
      <c r="A1953" s="1">
        <f>HYPERLINK("https://cms.ls-nyc.org/matter/dynamic-profile/view/1877574","18-1877574")</f>
        <v>0</v>
      </c>
      <c r="B1953" t="s">
        <v>131</v>
      </c>
      <c r="C1953" t="s">
        <v>372</v>
      </c>
      <c r="D1953" t="s">
        <v>442</v>
      </c>
      <c r="E1953" t="s">
        <v>1569</v>
      </c>
      <c r="F1953" t="s">
        <v>2337</v>
      </c>
      <c r="G1953" t="s">
        <v>4806</v>
      </c>
      <c r="H1953" t="s">
        <v>5446</v>
      </c>
      <c r="I1953" t="s">
        <v>6049</v>
      </c>
      <c r="J1953">
        <v>10034</v>
      </c>
      <c r="K1953" t="s">
        <v>6074</v>
      </c>
      <c r="L1953" t="s">
        <v>6074</v>
      </c>
      <c r="N1953" t="s">
        <v>6104</v>
      </c>
      <c r="O1953" t="s">
        <v>7306</v>
      </c>
      <c r="P1953" t="s">
        <v>7314</v>
      </c>
      <c r="Q1953" t="s">
        <v>7322</v>
      </c>
      <c r="R1953" t="s">
        <v>6076</v>
      </c>
      <c r="S1953" t="s">
        <v>7324</v>
      </c>
      <c r="U1953" t="s">
        <v>372</v>
      </c>
      <c r="V1953">
        <v>1270</v>
      </c>
      <c r="W1953" t="s">
        <v>7365</v>
      </c>
      <c r="X1953" t="s">
        <v>7367</v>
      </c>
      <c r="Y1953" t="s">
        <v>7386</v>
      </c>
      <c r="Z1953" t="s">
        <v>8905</v>
      </c>
      <c r="AB1953" t="s">
        <v>11606</v>
      </c>
      <c r="AC1953">
        <v>52</v>
      </c>
      <c r="AD1953" t="s">
        <v>12422</v>
      </c>
      <c r="AE1953" t="s">
        <v>6110</v>
      </c>
      <c r="AF1953">
        <v>22</v>
      </c>
      <c r="AG1953">
        <v>3</v>
      </c>
      <c r="AH1953">
        <v>0</v>
      </c>
      <c r="AI1953">
        <v>125.12</v>
      </c>
      <c r="AL1953" t="s">
        <v>12460</v>
      </c>
      <c r="AM1953">
        <v>26000</v>
      </c>
      <c r="AS1953">
        <v>0.1</v>
      </c>
      <c r="AT1953" t="s">
        <v>442</v>
      </c>
      <c r="AU1953" t="s">
        <v>13106</v>
      </c>
    </row>
    <row r="1954" spans="1:47">
      <c r="A1954" s="1">
        <f>HYPERLINK("https://cms.ls-nyc.org/matter/dynamic-profile/view/1886545","18-1886545")</f>
        <v>0</v>
      </c>
      <c r="B1954" t="s">
        <v>136</v>
      </c>
      <c r="C1954" t="s">
        <v>346</v>
      </c>
      <c r="D1954" t="s">
        <v>472</v>
      </c>
      <c r="E1954" t="s">
        <v>1570</v>
      </c>
      <c r="F1954" t="s">
        <v>2285</v>
      </c>
      <c r="G1954" t="s">
        <v>4807</v>
      </c>
      <c r="I1954" t="s">
        <v>6049</v>
      </c>
      <c r="J1954">
        <v>10026</v>
      </c>
      <c r="K1954" t="s">
        <v>6074</v>
      </c>
      <c r="L1954" t="s">
        <v>6074</v>
      </c>
      <c r="M1954" t="s">
        <v>6897</v>
      </c>
      <c r="N1954" t="s">
        <v>7274</v>
      </c>
      <c r="O1954" t="s">
        <v>7306</v>
      </c>
      <c r="P1954" t="s">
        <v>7314</v>
      </c>
      <c r="Q1954" t="s">
        <v>7322</v>
      </c>
      <c r="R1954" t="s">
        <v>6076</v>
      </c>
      <c r="S1954" t="s">
        <v>7326</v>
      </c>
      <c r="T1954" t="s">
        <v>7336</v>
      </c>
      <c r="U1954" t="s">
        <v>326</v>
      </c>
      <c r="V1954">
        <v>629</v>
      </c>
      <c r="W1954" t="s">
        <v>7365</v>
      </c>
      <c r="X1954" t="s">
        <v>7375</v>
      </c>
      <c r="Y1954" t="s">
        <v>7386</v>
      </c>
      <c r="Z1954" t="s">
        <v>8906</v>
      </c>
      <c r="AB1954" t="s">
        <v>11607</v>
      </c>
      <c r="AC1954">
        <v>15</v>
      </c>
      <c r="AD1954" t="s">
        <v>6322</v>
      </c>
      <c r="AE1954" t="s">
        <v>6110</v>
      </c>
      <c r="AF1954">
        <v>25</v>
      </c>
      <c r="AG1954">
        <v>2</v>
      </c>
      <c r="AH1954">
        <v>1</v>
      </c>
      <c r="AI1954">
        <v>125.12</v>
      </c>
      <c r="AL1954" t="s">
        <v>12461</v>
      </c>
      <c r="AM1954">
        <v>26000</v>
      </c>
      <c r="AS1954">
        <v>2</v>
      </c>
      <c r="AT1954" t="s">
        <v>326</v>
      </c>
      <c r="AU1954" t="s">
        <v>13107</v>
      </c>
    </row>
    <row r="1955" spans="1:47">
      <c r="A1955" s="1">
        <f>HYPERLINK("https://cms.ls-nyc.org/matter/dynamic-profile/view/1894943","19-1894943")</f>
        <v>0</v>
      </c>
      <c r="B1955" t="s">
        <v>130</v>
      </c>
      <c r="C1955" t="s">
        <v>361</v>
      </c>
      <c r="D1955" t="s">
        <v>343</v>
      </c>
      <c r="E1955" t="s">
        <v>1033</v>
      </c>
      <c r="F1955" t="s">
        <v>2486</v>
      </c>
      <c r="G1955" t="s">
        <v>4136</v>
      </c>
      <c r="H1955" t="s">
        <v>5495</v>
      </c>
      <c r="I1955" t="s">
        <v>6049</v>
      </c>
      <c r="J1955">
        <v>10034</v>
      </c>
      <c r="K1955" t="s">
        <v>6074</v>
      </c>
      <c r="L1955" t="s">
        <v>6074</v>
      </c>
      <c r="N1955" t="s">
        <v>7278</v>
      </c>
      <c r="O1955" t="s">
        <v>7307</v>
      </c>
      <c r="P1955" t="s">
        <v>7315</v>
      </c>
      <c r="Q1955" t="s">
        <v>7322</v>
      </c>
      <c r="R1955" t="s">
        <v>6076</v>
      </c>
      <c r="S1955" t="s">
        <v>7324</v>
      </c>
      <c r="U1955" t="s">
        <v>361</v>
      </c>
      <c r="V1955">
        <v>149</v>
      </c>
      <c r="W1955" t="s">
        <v>7365</v>
      </c>
      <c r="X1955" t="s">
        <v>7376</v>
      </c>
      <c r="Y1955" t="s">
        <v>7386</v>
      </c>
      <c r="Z1955" t="s">
        <v>7960</v>
      </c>
      <c r="AB1955" t="s">
        <v>10764</v>
      </c>
      <c r="AC1955">
        <v>95</v>
      </c>
      <c r="AD1955" t="s">
        <v>12422</v>
      </c>
      <c r="AE1955" t="s">
        <v>12439</v>
      </c>
      <c r="AF1955">
        <v>22</v>
      </c>
      <c r="AG1955">
        <v>2</v>
      </c>
      <c r="AH1955">
        <v>0</v>
      </c>
      <c r="AI1955">
        <v>125.37</v>
      </c>
      <c r="AL1955" t="s">
        <v>12461</v>
      </c>
      <c r="AM1955">
        <v>21200</v>
      </c>
      <c r="AS1955">
        <v>1.7</v>
      </c>
      <c r="AT1955" t="s">
        <v>309</v>
      </c>
      <c r="AU1955" t="s">
        <v>13119</v>
      </c>
    </row>
    <row r="1956" spans="1:47">
      <c r="A1956" s="1">
        <f>HYPERLINK("https://cms.ls-nyc.org/matter/dynamic-profile/view/1880596","18-1880596")</f>
        <v>0</v>
      </c>
      <c r="B1956" t="s">
        <v>54</v>
      </c>
      <c r="C1956" t="s">
        <v>360</v>
      </c>
      <c r="D1956" t="s">
        <v>360</v>
      </c>
      <c r="E1956" t="s">
        <v>706</v>
      </c>
      <c r="F1956" t="s">
        <v>3071</v>
      </c>
      <c r="G1956" t="s">
        <v>4808</v>
      </c>
      <c r="H1956" t="s">
        <v>5795</v>
      </c>
      <c r="I1956" t="s">
        <v>6056</v>
      </c>
      <c r="J1956">
        <v>11375</v>
      </c>
      <c r="K1956" t="s">
        <v>6074</v>
      </c>
      <c r="L1956" t="s">
        <v>6074</v>
      </c>
      <c r="M1956" t="s">
        <v>6898</v>
      </c>
      <c r="N1956" t="s">
        <v>7276</v>
      </c>
      <c r="O1956" t="s">
        <v>7306</v>
      </c>
      <c r="P1956" t="s">
        <v>7314</v>
      </c>
      <c r="Q1956" t="s">
        <v>7322</v>
      </c>
      <c r="R1956" t="s">
        <v>6076</v>
      </c>
      <c r="S1956" t="s">
        <v>7324</v>
      </c>
      <c r="T1956" t="s">
        <v>7336</v>
      </c>
      <c r="U1956" t="s">
        <v>360</v>
      </c>
      <c r="V1956">
        <v>2066</v>
      </c>
      <c r="W1956" t="s">
        <v>7361</v>
      </c>
      <c r="X1956" t="s">
        <v>7366</v>
      </c>
      <c r="Y1956" t="s">
        <v>7386</v>
      </c>
      <c r="Z1956" t="s">
        <v>8907</v>
      </c>
      <c r="AB1956" t="s">
        <v>11608</v>
      </c>
      <c r="AC1956">
        <v>425</v>
      </c>
      <c r="AD1956" t="s">
        <v>12422</v>
      </c>
      <c r="AE1956" t="s">
        <v>6110</v>
      </c>
      <c r="AF1956">
        <v>25</v>
      </c>
      <c r="AG1956">
        <v>1</v>
      </c>
      <c r="AH1956">
        <v>0</v>
      </c>
      <c r="AI1956">
        <v>125.44</v>
      </c>
      <c r="AL1956" t="s">
        <v>12481</v>
      </c>
      <c r="AM1956">
        <v>15228</v>
      </c>
      <c r="AS1956">
        <v>0.7</v>
      </c>
      <c r="AT1956" t="s">
        <v>360</v>
      </c>
      <c r="AU1956" t="s">
        <v>189</v>
      </c>
    </row>
    <row r="1957" spans="1:47">
      <c r="A1957" s="1">
        <f>HYPERLINK("https://cms.ls-nyc.org/matter/dynamic-profile/view/1886690","18-1886690")</f>
        <v>0</v>
      </c>
      <c r="B1957" t="s">
        <v>168</v>
      </c>
      <c r="C1957" t="s">
        <v>465</v>
      </c>
      <c r="D1957" t="s">
        <v>469</v>
      </c>
      <c r="E1957" t="s">
        <v>656</v>
      </c>
      <c r="F1957" t="s">
        <v>2100</v>
      </c>
      <c r="G1957" t="s">
        <v>4791</v>
      </c>
      <c r="H1957" t="s">
        <v>5438</v>
      </c>
      <c r="I1957" t="s">
        <v>6043</v>
      </c>
      <c r="J1957">
        <v>11233</v>
      </c>
      <c r="K1957" t="s">
        <v>6074</v>
      </c>
      <c r="L1957" t="s">
        <v>6074</v>
      </c>
      <c r="M1957" t="s">
        <v>6886</v>
      </c>
      <c r="N1957" t="s">
        <v>7276</v>
      </c>
      <c r="O1957" t="s">
        <v>7308</v>
      </c>
      <c r="P1957" t="s">
        <v>7316</v>
      </c>
      <c r="Q1957" t="s">
        <v>7322</v>
      </c>
      <c r="R1957" t="s">
        <v>6076</v>
      </c>
      <c r="S1957" t="s">
        <v>7324</v>
      </c>
      <c r="U1957" t="s">
        <v>346</v>
      </c>
      <c r="V1957">
        <v>1950</v>
      </c>
      <c r="W1957" t="s">
        <v>7362</v>
      </c>
      <c r="X1957" t="s">
        <v>7373</v>
      </c>
      <c r="Y1957" t="s">
        <v>7388</v>
      </c>
      <c r="Z1957" t="s">
        <v>8883</v>
      </c>
      <c r="AB1957" t="s">
        <v>11587</v>
      </c>
      <c r="AC1957">
        <v>4</v>
      </c>
      <c r="AD1957" t="s">
        <v>12419</v>
      </c>
      <c r="AE1957" t="s">
        <v>6110</v>
      </c>
      <c r="AF1957">
        <v>0</v>
      </c>
      <c r="AG1957">
        <v>1</v>
      </c>
      <c r="AH1957">
        <v>0</v>
      </c>
      <c r="AI1957">
        <v>125.93</v>
      </c>
      <c r="AL1957" t="s">
        <v>12460</v>
      </c>
      <c r="AM1957">
        <v>15288</v>
      </c>
      <c r="AS1957">
        <v>7.5</v>
      </c>
      <c r="AT1957" t="s">
        <v>251</v>
      </c>
      <c r="AU1957" t="s">
        <v>180</v>
      </c>
    </row>
    <row r="1958" spans="1:47">
      <c r="A1958" s="1">
        <f>HYPERLINK("https://cms.ls-nyc.org/matter/dynamic-profile/view/1894550","19-1894550")</f>
        <v>0</v>
      </c>
      <c r="B1958" t="s">
        <v>97</v>
      </c>
      <c r="C1958" t="s">
        <v>338</v>
      </c>
      <c r="E1958" t="s">
        <v>1571</v>
      </c>
      <c r="F1958" t="s">
        <v>3072</v>
      </c>
      <c r="G1958" t="s">
        <v>4667</v>
      </c>
      <c r="I1958" t="s">
        <v>6047</v>
      </c>
      <c r="J1958">
        <v>10453</v>
      </c>
      <c r="K1958" t="s">
        <v>6074</v>
      </c>
      <c r="L1958" t="s">
        <v>6074</v>
      </c>
      <c r="N1958" t="s">
        <v>6104</v>
      </c>
      <c r="O1958" t="s">
        <v>7306</v>
      </c>
      <c r="Q1958" t="s">
        <v>7322</v>
      </c>
      <c r="R1958" t="s">
        <v>6076</v>
      </c>
      <c r="S1958" t="s">
        <v>7324</v>
      </c>
      <c r="U1958" t="s">
        <v>338</v>
      </c>
      <c r="V1958">
        <v>1250</v>
      </c>
      <c r="W1958" t="s">
        <v>7363</v>
      </c>
      <c r="X1958" t="s">
        <v>7376</v>
      </c>
      <c r="Z1958" t="s">
        <v>8908</v>
      </c>
      <c r="AB1958" t="s">
        <v>11609</v>
      </c>
      <c r="AC1958">
        <v>53</v>
      </c>
      <c r="AD1958" t="s">
        <v>12422</v>
      </c>
      <c r="AE1958" t="s">
        <v>6110</v>
      </c>
      <c r="AF1958">
        <v>13</v>
      </c>
      <c r="AG1958">
        <v>3</v>
      </c>
      <c r="AH1958">
        <v>2</v>
      </c>
      <c r="AI1958">
        <v>125.95</v>
      </c>
      <c r="AL1958" t="s">
        <v>12461</v>
      </c>
      <c r="AM1958">
        <v>38000</v>
      </c>
      <c r="AS1958">
        <v>1.88</v>
      </c>
      <c r="AT1958" t="s">
        <v>270</v>
      </c>
      <c r="AU1958" t="s">
        <v>97</v>
      </c>
    </row>
    <row r="1959" spans="1:47">
      <c r="A1959" s="1">
        <f>HYPERLINK("https://cms.ls-nyc.org/matter/dynamic-profile/view/1877313","18-1877313")</f>
        <v>0</v>
      </c>
      <c r="B1959" t="s">
        <v>49</v>
      </c>
      <c r="C1959" t="s">
        <v>409</v>
      </c>
      <c r="E1959" t="s">
        <v>1572</v>
      </c>
      <c r="F1959" t="s">
        <v>3073</v>
      </c>
      <c r="G1959" t="s">
        <v>4809</v>
      </c>
      <c r="H1959" t="s">
        <v>5362</v>
      </c>
      <c r="I1959" t="s">
        <v>6025</v>
      </c>
      <c r="J1959">
        <v>11691</v>
      </c>
      <c r="K1959" t="s">
        <v>6074</v>
      </c>
      <c r="L1959" t="s">
        <v>6074</v>
      </c>
      <c r="M1959" t="s">
        <v>6899</v>
      </c>
      <c r="N1959" t="s">
        <v>7274</v>
      </c>
      <c r="O1959" t="s">
        <v>7306</v>
      </c>
      <c r="Q1959" t="s">
        <v>7322</v>
      </c>
      <c r="R1959" t="s">
        <v>6076</v>
      </c>
      <c r="S1959" t="s">
        <v>7324</v>
      </c>
      <c r="T1959" t="s">
        <v>7336</v>
      </c>
      <c r="U1959" t="s">
        <v>355</v>
      </c>
      <c r="V1959">
        <v>1500</v>
      </c>
      <c r="W1959" t="s">
        <v>7361</v>
      </c>
      <c r="X1959" t="s">
        <v>7366</v>
      </c>
      <c r="Z1959" t="s">
        <v>8909</v>
      </c>
      <c r="AB1959" t="s">
        <v>11610</v>
      </c>
      <c r="AC1959">
        <v>2</v>
      </c>
      <c r="AD1959" t="s">
        <v>12419</v>
      </c>
      <c r="AE1959" t="s">
        <v>12434</v>
      </c>
      <c r="AF1959">
        <v>15</v>
      </c>
      <c r="AG1959">
        <v>3</v>
      </c>
      <c r="AH1959">
        <v>0</v>
      </c>
      <c r="AI1959">
        <v>126.29</v>
      </c>
      <c r="AL1959" t="s">
        <v>12460</v>
      </c>
      <c r="AM1959">
        <v>26244</v>
      </c>
      <c r="AS1959">
        <v>2</v>
      </c>
      <c r="AT1959" t="s">
        <v>310</v>
      </c>
      <c r="AU1959" t="s">
        <v>51</v>
      </c>
    </row>
    <row r="1960" spans="1:47">
      <c r="A1960" s="1">
        <f>HYPERLINK("https://cms.ls-nyc.org/matter/dynamic-profile/view/1886593","18-1886593")</f>
        <v>0</v>
      </c>
      <c r="B1960" t="s">
        <v>60</v>
      </c>
      <c r="C1960" t="s">
        <v>346</v>
      </c>
      <c r="D1960" t="s">
        <v>472</v>
      </c>
      <c r="E1960" t="s">
        <v>1573</v>
      </c>
      <c r="F1960" t="s">
        <v>3074</v>
      </c>
      <c r="G1960" t="s">
        <v>4810</v>
      </c>
      <c r="H1960" t="s">
        <v>5796</v>
      </c>
      <c r="I1960" t="s">
        <v>6036</v>
      </c>
      <c r="J1960">
        <v>11374</v>
      </c>
      <c r="K1960" t="s">
        <v>6074</v>
      </c>
      <c r="L1960" t="s">
        <v>6074</v>
      </c>
      <c r="M1960" t="s">
        <v>6900</v>
      </c>
      <c r="N1960" t="s">
        <v>7274</v>
      </c>
      <c r="O1960" t="s">
        <v>7306</v>
      </c>
      <c r="P1960" t="s">
        <v>7314</v>
      </c>
      <c r="Q1960" t="s">
        <v>7322</v>
      </c>
      <c r="R1960" t="s">
        <v>6076</v>
      </c>
      <c r="S1960" t="s">
        <v>7324</v>
      </c>
      <c r="T1960" t="s">
        <v>7336</v>
      </c>
      <c r="U1960" t="s">
        <v>346</v>
      </c>
      <c r="V1960">
        <v>800</v>
      </c>
      <c r="W1960" t="s">
        <v>7361</v>
      </c>
      <c r="X1960" t="s">
        <v>7366</v>
      </c>
      <c r="Y1960" t="s">
        <v>7386</v>
      </c>
      <c r="Z1960" t="s">
        <v>8910</v>
      </c>
      <c r="AB1960" t="s">
        <v>11611</v>
      </c>
      <c r="AC1960">
        <v>65</v>
      </c>
      <c r="AD1960" t="s">
        <v>6322</v>
      </c>
      <c r="AE1960" t="s">
        <v>6110</v>
      </c>
      <c r="AF1960">
        <v>3</v>
      </c>
      <c r="AG1960">
        <v>2</v>
      </c>
      <c r="AH1960">
        <v>0</v>
      </c>
      <c r="AI1960">
        <v>126.34</v>
      </c>
      <c r="AL1960" t="s">
        <v>12460</v>
      </c>
      <c r="AM1960">
        <v>20796</v>
      </c>
      <c r="AS1960">
        <v>0.84</v>
      </c>
      <c r="AT1960" t="s">
        <v>346</v>
      </c>
      <c r="AU1960" t="s">
        <v>60</v>
      </c>
    </row>
    <row r="1961" spans="1:47">
      <c r="A1961" s="1">
        <f>HYPERLINK("https://cms.ls-nyc.org/matter/dynamic-profile/view/1874030","18-1874030")</f>
        <v>0</v>
      </c>
      <c r="B1961" t="s">
        <v>206</v>
      </c>
      <c r="C1961" t="s">
        <v>437</v>
      </c>
      <c r="D1961" t="s">
        <v>256</v>
      </c>
      <c r="E1961" t="s">
        <v>732</v>
      </c>
      <c r="F1961" t="s">
        <v>2318</v>
      </c>
      <c r="G1961" t="s">
        <v>3860</v>
      </c>
      <c r="H1961">
        <v>31</v>
      </c>
      <c r="I1961" t="s">
        <v>6049</v>
      </c>
      <c r="J1961">
        <v>10029</v>
      </c>
      <c r="K1961" t="s">
        <v>6074</v>
      </c>
      <c r="L1961" t="s">
        <v>6074</v>
      </c>
      <c r="N1961" t="s">
        <v>6104</v>
      </c>
      <c r="O1961" t="s">
        <v>7306</v>
      </c>
      <c r="P1961" t="s">
        <v>7314</v>
      </c>
      <c r="Q1961" t="s">
        <v>7322</v>
      </c>
      <c r="R1961" t="s">
        <v>6076</v>
      </c>
      <c r="S1961" t="s">
        <v>7324</v>
      </c>
      <c r="T1961" t="s">
        <v>7336</v>
      </c>
      <c r="U1961" t="s">
        <v>281</v>
      </c>
      <c r="V1961">
        <v>196.64</v>
      </c>
      <c r="W1961" t="s">
        <v>7365</v>
      </c>
      <c r="X1961" t="s">
        <v>7381</v>
      </c>
      <c r="Y1961" t="s">
        <v>7386</v>
      </c>
      <c r="Z1961" t="s">
        <v>8911</v>
      </c>
      <c r="AB1961" t="s">
        <v>11612</v>
      </c>
      <c r="AC1961">
        <v>33</v>
      </c>
      <c r="AD1961" t="s">
        <v>12425</v>
      </c>
      <c r="AE1961" t="s">
        <v>6110</v>
      </c>
      <c r="AF1961">
        <v>55</v>
      </c>
      <c r="AG1961">
        <v>2</v>
      </c>
      <c r="AH1961">
        <v>0</v>
      </c>
      <c r="AI1961">
        <v>126.34</v>
      </c>
      <c r="AL1961" t="s">
        <v>12461</v>
      </c>
      <c r="AM1961">
        <v>20796</v>
      </c>
      <c r="AS1961">
        <v>1.7</v>
      </c>
      <c r="AT1961" t="s">
        <v>281</v>
      </c>
      <c r="AU1961" t="s">
        <v>13079</v>
      </c>
    </row>
    <row r="1962" spans="1:47">
      <c r="A1962" s="1">
        <f>HYPERLINK("https://cms.ls-nyc.org/matter/dynamic-profile/view/1881618","18-1881618")</f>
        <v>0</v>
      </c>
      <c r="B1962" t="s">
        <v>71</v>
      </c>
      <c r="C1962" t="s">
        <v>298</v>
      </c>
      <c r="E1962" t="s">
        <v>1574</v>
      </c>
      <c r="F1962" t="s">
        <v>3075</v>
      </c>
      <c r="G1962" t="s">
        <v>4811</v>
      </c>
      <c r="H1962" t="s">
        <v>5400</v>
      </c>
      <c r="I1962" t="s">
        <v>6043</v>
      </c>
      <c r="J1962">
        <v>11212</v>
      </c>
      <c r="K1962" t="s">
        <v>6074</v>
      </c>
      <c r="L1962" t="s">
        <v>6074</v>
      </c>
      <c r="M1962" t="s">
        <v>6901</v>
      </c>
      <c r="N1962" t="s">
        <v>7276</v>
      </c>
      <c r="O1962" t="s">
        <v>7308</v>
      </c>
      <c r="Q1962" t="s">
        <v>7322</v>
      </c>
      <c r="R1962" t="s">
        <v>6076</v>
      </c>
      <c r="S1962" t="s">
        <v>7324</v>
      </c>
      <c r="T1962" t="s">
        <v>7340</v>
      </c>
      <c r="U1962" t="s">
        <v>298</v>
      </c>
      <c r="V1962">
        <v>1650</v>
      </c>
      <c r="W1962" t="s">
        <v>7362</v>
      </c>
      <c r="X1962" t="s">
        <v>7368</v>
      </c>
      <c r="Z1962" t="s">
        <v>8912</v>
      </c>
      <c r="AA1962" t="s">
        <v>10217</v>
      </c>
      <c r="AB1962" t="s">
        <v>11613</v>
      </c>
      <c r="AC1962">
        <v>49</v>
      </c>
      <c r="AD1962" t="s">
        <v>12422</v>
      </c>
      <c r="AE1962" t="s">
        <v>12438</v>
      </c>
      <c r="AF1962">
        <v>8</v>
      </c>
      <c r="AG1962">
        <v>1</v>
      </c>
      <c r="AH1962">
        <v>1</v>
      </c>
      <c r="AI1962">
        <v>126.37</v>
      </c>
      <c r="AL1962" t="s">
        <v>12460</v>
      </c>
      <c r="AM1962">
        <v>20800</v>
      </c>
      <c r="AN1962" t="s">
        <v>12532</v>
      </c>
      <c r="AS1962">
        <v>46.8</v>
      </c>
      <c r="AT1962" t="s">
        <v>564</v>
      </c>
      <c r="AU1962" t="s">
        <v>218</v>
      </c>
    </row>
    <row r="1963" spans="1:47">
      <c r="A1963" s="1">
        <f>HYPERLINK("https://cms.ls-nyc.org/matter/dynamic-profile/view/1886637","18-1886637")</f>
        <v>0</v>
      </c>
      <c r="B1963" t="s">
        <v>98</v>
      </c>
      <c r="C1963" t="s">
        <v>465</v>
      </c>
      <c r="D1963" t="s">
        <v>335</v>
      </c>
      <c r="E1963" t="s">
        <v>637</v>
      </c>
      <c r="F1963" t="s">
        <v>2946</v>
      </c>
      <c r="G1963" t="s">
        <v>4660</v>
      </c>
      <c r="H1963" t="s">
        <v>5786</v>
      </c>
      <c r="I1963" t="s">
        <v>6047</v>
      </c>
      <c r="J1963">
        <v>10452</v>
      </c>
      <c r="K1963" t="s">
        <v>6074</v>
      </c>
      <c r="L1963" t="s">
        <v>6074</v>
      </c>
      <c r="N1963" t="s">
        <v>7274</v>
      </c>
      <c r="O1963" t="s">
        <v>7306</v>
      </c>
      <c r="P1963" t="s">
        <v>7314</v>
      </c>
      <c r="Q1963" t="s">
        <v>7322</v>
      </c>
      <c r="R1963" t="s">
        <v>6076</v>
      </c>
      <c r="S1963" t="s">
        <v>7324</v>
      </c>
      <c r="U1963" t="s">
        <v>465</v>
      </c>
      <c r="V1963">
        <v>770.73</v>
      </c>
      <c r="W1963" t="s">
        <v>7363</v>
      </c>
      <c r="X1963" t="s">
        <v>7376</v>
      </c>
      <c r="Y1963" t="s">
        <v>7386</v>
      </c>
      <c r="Z1963" t="s">
        <v>8697</v>
      </c>
      <c r="AB1963" t="s">
        <v>11421</v>
      </c>
      <c r="AC1963">
        <v>100</v>
      </c>
      <c r="AD1963" t="s">
        <v>12425</v>
      </c>
      <c r="AE1963" t="s">
        <v>12441</v>
      </c>
      <c r="AF1963">
        <v>38</v>
      </c>
      <c r="AG1963">
        <v>2</v>
      </c>
      <c r="AH1963">
        <v>0</v>
      </c>
      <c r="AI1963">
        <v>126.37</v>
      </c>
      <c r="AL1963" t="s">
        <v>12461</v>
      </c>
      <c r="AM1963">
        <v>20800</v>
      </c>
      <c r="AS1963">
        <v>1.5</v>
      </c>
      <c r="AT1963" t="s">
        <v>492</v>
      </c>
      <c r="AU1963" t="s">
        <v>13092</v>
      </c>
    </row>
    <row r="1964" spans="1:47">
      <c r="A1964" s="1">
        <f>HYPERLINK("https://cms.ls-nyc.org/matter/dynamic-profile/view/1886222","18-1886222")</f>
        <v>0</v>
      </c>
      <c r="B1964" t="s">
        <v>98</v>
      </c>
      <c r="C1964" t="s">
        <v>389</v>
      </c>
      <c r="D1964" t="s">
        <v>335</v>
      </c>
      <c r="E1964" t="s">
        <v>637</v>
      </c>
      <c r="F1964" t="s">
        <v>2946</v>
      </c>
      <c r="G1964" t="s">
        <v>4660</v>
      </c>
      <c r="H1964" t="s">
        <v>5786</v>
      </c>
      <c r="I1964" t="s">
        <v>6047</v>
      </c>
      <c r="J1964">
        <v>10452</v>
      </c>
      <c r="K1964" t="s">
        <v>6074</v>
      </c>
      <c r="L1964" t="s">
        <v>6074</v>
      </c>
      <c r="N1964" t="s">
        <v>7283</v>
      </c>
      <c r="O1964" t="s">
        <v>7307</v>
      </c>
      <c r="P1964" t="s">
        <v>7315</v>
      </c>
      <c r="Q1964" t="s">
        <v>7322</v>
      </c>
      <c r="R1964" t="s">
        <v>6076</v>
      </c>
      <c r="S1964" t="s">
        <v>7324</v>
      </c>
      <c r="T1964" t="s">
        <v>7336</v>
      </c>
      <c r="U1964" t="s">
        <v>389</v>
      </c>
      <c r="V1964">
        <v>770.72</v>
      </c>
      <c r="W1964" t="s">
        <v>7363</v>
      </c>
      <c r="X1964" t="s">
        <v>7376</v>
      </c>
      <c r="Y1964" t="s">
        <v>7387</v>
      </c>
      <c r="Z1964" t="s">
        <v>8697</v>
      </c>
      <c r="AB1964" t="s">
        <v>11421</v>
      </c>
      <c r="AC1964">
        <v>100</v>
      </c>
      <c r="AD1964" t="s">
        <v>12422</v>
      </c>
      <c r="AE1964" t="s">
        <v>12441</v>
      </c>
      <c r="AF1964">
        <v>38</v>
      </c>
      <c r="AG1964">
        <v>2</v>
      </c>
      <c r="AH1964">
        <v>0</v>
      </c>
      <c r="AI1964">
        <v>126.37</v>
      </c>
      <c r="AL1964" t="s">
        <v>12461</v>
      </c>
      <c r="AM1964">
        <v>20800</v>
      </c>
      <c r="AN1964" t="s">
        <v>12640</v>
      </c>
      <c r="AS1964">
        <v>0.5</v>
      </c>
      <c r="AT1964" t="s">
        <v>300</v>
      </c>
      <c r="AU1964" t="s">
        <v>98</v>
      </c>
    </row>
    <row r="1965" spans="1:47">
      <c r="A1965" s="1">
        <f>HYPERLINK("https://cms.ls-nyc.org/matter/dynamic-profile/view/1872981","18-1872981")</f>
        <v>0</v>
      </c>
      <c r="B1965" t="s">
        <v>207</v>
      </c>
      <c r="C1965" t="s">
        <v>319</v>
      </c>
      <c r="D1965" t="s">
        <v>274</v>
      </c>
      <c r="E1965" t="s">
        <v>1158</v>
      </c>
      <c r="F1965" t="s">
        <v>3076</v>
      </c>
      <c r="G1965" t="s">
        <v>4812</v>
      </c>
      <c r="H1965">
        <v>3</v>
      </c>
      <c r="I1965" t="s">
        <v>6049</v>
      </c>
      <c r="J1965">
        <v>10027</v>
      </c>
      <c r="K1965" t="s">
        <v>6074</v>
      </c>
      <c r="L1965" t="s">
        <v>6074</v>
      </c>
      <c r="M1965" t="s">
        <v>6902</v>
      </c>
      <c r="N1965" t="s">
        <v>7274</v>
      </c>
      <c r="O1965" t="s">
        <v>7306</v>
      </c>
      <c r="P1965" t="s">
        <v>7314</v>
      </c>
      <c r="Q1965" t="s">
        <v>7322</v>
      </c>
      <c r="R1965" t="s">
        <v>6076</v>
      </c>
      <c r="S1965" t="s">
        <v>7324</v>
      </c>
      <c r="U1965" t="s">
        <v>231</v>
      </c>
      <c r="V1965">
        <v>1090</v>
      </c>
      <c r="W1965" t="s">
        <v>7365</v>
      </c>
      <c r="X1965" t="s">
        <v>7377</v>
      </c>
      <c r="Y1965" t="s">
        <v>7386</v>
      </c>
      <c r="Z1965" t="s">
        <v>8913</v>
      </c>
      <c r="AB1965" t="s">
        <v>11614</v>
      </c>
      <c r="AC1965">
        <v>0</v>
      </c>
      <c r="AD1965" t="s">
        <v>12431</v>
      </c>
      <c r="AE1965" t="s">
        <v>6110</v>
      </c>
      <c r="AF1965">
        <v>4</v>
      </c>
      <c r="AG1965">
        <v>2</v>
      </c>
      <c r="AH1965">
        <v>0</v>
      </c>
      <c r="AI1965">
        <v>126.37</v>
      </c>
      <c r="AL1965" t="s">
        <v>12460</v>
      </c>
      <c r="AM1965">
        <v>20800</v>
      </c>
      <c r="AS1965">
        <v>0.3</v>
      </c>
      <c r="AT1965" t="s">
        <v>467</v>
      </c>
      <c r="AU1965" t="s">
        <v>13111</v>
      </c>
    </row>
    <row r="1966" spans="1:47">
      <c r="A1966" s="1">
        <f>HYPERLINK("https://cms.ls-nyc.org/matter/dynamic-profile/view/1880947","18-1880947")</f>
        <v>0</v>
      </c>
      <c r="B1966" t="s">
        <v>113</v>
      </c>
      <c r="C1966" t="s">
        <v>391</v>
      </c>
      <c r="E1966" t="s">
        <v>1139</v>
      </c>
      <c r="F1966" t="s">
        <v>2813</v>
      </c>
      <c r="G1966" t="s">
        <v>4813</v>
      </c>
      <c r="H1966" t="s">
        <v>5588</v>
      </c>
      <c r="I1966" t="s">
        <v>6047</v>
      </c>
      <c r="J1966">
        <v>10452</v>
      </c>
      <c r="K1966" t="s">
        <v>6074</v>
      </c>
      <c r="L1966" t="s">
        <v>6074</v>
      </c>
      <c r="N1966" t="s">
        <v>7274</v>
      </c>
      <c r="O1966" t="s">
        <v>7308</v>
      </c>
      <c r="Q1966" t="s">
        <v>7322</v>
      </c>
      <c r="R1966" t="s">
        <v>6076</v>
      </c>
      <c r="S1966" t="s">
        <v>7324</v>
      </c>
      <c r="T1966" t="s">
        <v>7336</v>
      </c>
      <c r="U1966" t="s">
        <v>7343</v>
      </c>
      <c r="V1966">
        <v>1175</v>
      </c>
      <c r="W1966" t="s">
        <v>7363</v>
      </c>
      <c r="X1966" t="s">
        <v>7376</v>
      </c>
      <c r="Z1966" t="s">
        <v>8914</v>
      </c>
      <c r="AB1966" t="s">
        <v>11615</v>
      </c>
      <c r="AC1966">
        <v>67</v>
      </c>
      <c r="AD1966" t="s">
        <v>12422</v>
      </c>
      <c r="AE1966" t="s">
        <v>6110</v>
      </c>
      <c r="AF1966">
        <v>3</v>
      </c>
      <c r="AG1966">
        <v>1</v>
      </c>
      <c r="AH1966">
        <v>0</v>
      </c>
      <c r="AI1966">
        <v>126.52</v>
      </c>
      <c r="AL1966" t="s">
        <v>12460</v>
      </c>
      <c r="AM1966">
        <v>15360</v>
      </c>
      <c r="AS1966">
        <v>36.3</v>
      </c>
      <c r="AT1966" t="s">
        <v>564</v>
      </c>
      <c r="AU1966" t="s">
        <v>13095</v>
      </c>
    </row>
    <row r="1967" spans="1:47">
      <c r="A1967" s="1">
        <f>HYPERLINK("https://cms.ls-nyc.org/matter/dynamic-profile/view/1887246","19-1887246")</f>
        <v>0</v>
      </c>
      <c r="B1967" t="s">
        <v>113</v>
      </c>
      <c r="C1967" t="s">
        <v>452</v>
      </c>
      <c r="E1967" t="s">
        <v>1575</v>
      </c>
      <c r="F1967" t="s">
        <v>2528</v>
      </c>
      <c r="G1967" t="s">
        <v>4814</v>
      </c>
      <c r="H1967" t="s">
        <v>5476</v>
      </c>
      <c r="I1967" t="s">
        <v>6047</v>
      </c>
      <c r="J1967">
        <v>10457</v>
      </c>
      <c r="K1967" t="s">
        <v>6074</v>
      </c>
      <c r="L1967" t="s">
        <v>6074</v>
      </c>
      <c r="M1967" t="s">
        <v>6903</v>
      </c>
      <c r="N1967" t="s">
        <v>7276</v>
      </c>
      <c r="O1967" t="s">
        <v>7308</v>
      </c>
      <c r="Q1967" t="s">
        <v>7322</v>
      </c>
      <c r="R1967" t="s">
        <v>6076</v>
      </c>
      <c r="S1967" t="s">
        <v>7324</v>
      </c>
      <c r="U1967" t="s">
        <v>452</v>
      </c>
      <c r="V1967">
        <v>911.65</v>
      </c>
      <c r="W1967" t="s">
        <v>7363</v>
      </c>
      <c r="X1967" t="s">
        <v>7373</v>
      </c>
      <c r="Z1967" t="s">
        <v>8915</v>
      </c>
      <c r="AA1967" t="s">
        <v>10218</v>
      </c>
      <c r="AB1967" t="s">
        <v>11616</v>
      </c>
      <c r="AC1967">
        <v>0</v>
      </c>
      <c r="AD1967" t="s">
        <v>12422</v>
      </c>
      <c r="AE1967" t="s">
        <v>6110</v>
      </c>
      <c r="AF1967">
        <v>25</v>
      </c>
      <c r="AG1967">
        <v>1</v>
      </c>
      <c r="AH1967">
        <v>1</v>
      </c>
      <c r="AI1967">
        <v>126.97</v>
      </c>
      <c r="AL1967" t="s">
        <v>12460</v>
      </c>
      <c r="AM1967">
        <v>20900</v>
      </c>
      <c r="AS1967">
        <v>21.2</v>
      </c>
      <c r="AT1967" t="s">
        <v>364</v>
      </c>
      <c r="AU1967" t="s">
        <v>13116</v>
      </c>
    </row>
    <row r="1968" spans="1:47">
      <c r="A1968" s="1">
        <f>HYPERLINK("https://cms.ls-nyc.org/matter/dynamic-profile/view/1875189","18-1875189")</f>
        <v>0</v>
      </c>
      <c r="B1968" t="s">
        <v>148</v>
      </c>
      <c r="C1968" t="s">
        <v>427</v>
      </c>
      <c r="D1968" t="s">
        <v>472</v>
      </c>
      <c r="E1968" t="s">
        <v>1576</v>
      </c>
      <c r="F1968" t="s">
        <v>3077</v>
      </c>
      <c r="G1968" t="s">
        <v>3871</v>
      </c>
      <c r="H1968" t="s">
        <v>5417</v>
      </c>
      <c r="I1968" t="s">
        <v>6043</v>
      </c>
      <c r="J1968">
        <v>11213</v>
      </c>
      <c r="K1968" t="s">
        <v>6074</v>
      </c>
      <c r="L1968" t="s">
        <v>6074</v>
      </c>
      <c r="N1968" t="s">
        <v>7275</v>
      </c>
      <c r="O1968" t="s">
        <v>7307</v>
      </c>
      <c r="P1968" t="s">
        <v>7315</v>
      </c>
      <c r="Q1968" t="s">
        <v>7322</v>
      </c>
      <c r="R1968" t="s">
        <v>6074</v>
      </c>
      <c r="S1968" t="s">
        <v>7324</v>
      </c>
      <c r="U1968" t="s">
        <v>262</v>
      </c>
      <c r="V1968">
        <v>1507.16</v>
      </c>
      <c r="W1968" t="s">
        <v>7362</v>
      </c>
      <c r="X1968" t="s">
        <v>7376</v>
      </c>
      <c r="Y1968" t="s">
        <v>7394</v>
      </c>
      <c r="Z1968" t="s">
        <v>8916</v>
      </c>
      <c r="AA1968" t="s">
        <v>10142</v>
      </c>
      <c r="AB1968" t="s">
        <v>11617</v>
      </c>
      <c r="AC1968">
        <v>19</v>
      </c>
      <c r="AD1968" t="s">
        <v>12422</v>
      </c>
      <c r="AE1968" t="s">
        <v>12434</v>
      </c>
      <c r="AF1968">
        <v>22</v>
      </c>
      <c r="AG1968">
        <v>4</v>
      </c>
      <c r="AH1968">
        <v>0</v>
      </c>
      <c r="AI1968">
        <v>127.13</v>
      </c>
      <c r="AK1968" t="s">
        <v>12458</v>
      </c>
      <c r="AL1968" t="s">
        <v>12460</v>
      </c>
      <c r="AM1968">
        <v>31909.8</v>
      </c>
      <c r="AN1968" t="s">
        <v>12491</v>
      </c>
      <c r="AS1968">
        <v>141.4</v>
      </c>
      <c r="AT1968" t="s">
        <v>472</v>
      </c>
      <c r="AU1968" t="s">
        <v>218</v>
      </c>
    </row>
    <row r="1969" spans="1:48">
      <c r="A1969" s="1">
        <f>HYPERLINK("https://cms.ls-nyc.org/matter/dynamic-profile/view/1884456","18-1884456")</f>
        <v>0</v>
      </c>
      <c r="B1969" t="s">
        <v>167</v>
      </c>
      <c r="C1969" t="s">
        <v>345</v>
      </c>
      <c r="D1969" t="s">
        <v>278</v>
      </c>
      <c r="E1969" t="s">
        <v>767</v>
      </c>
      <c r="F1969" t="s">
        <v>2059</v>
      </c>
      <c r="G1969" t="s">
        <v>4815</v>
      </c>
      <c r="H1969" t="s">
        <v>5387</v>
      </c>
      <c r="I1969" t="s">
        <v>6047</v>
      </c>
      <c r="J1969">
        <v>10453</v>
      </c>
      <c r="K1969" t="s">
        <v>6074</v>
      </c>
      <c r="L1969" t="s">
        <v>6074</v>
      </c>
      <c r="N1969" t="s">
        <v>7286</v>
      </c>
      <c r="O1969" t="s">
        <v>7309</v>
      </c>
      <c r="P1969" t="s">
        <v>7319</v>
      </c>
      <c r="Q1969" t="s">
        <v>7322</v>
      </c>
      <c r="R1969" t="s">
        <v>6076</v>
      </c>
      <c r="S1969" t="s">
        <v>7331</v>
      </c>
      <c r="U1969" t="s">
        <v>345</v>
      </c>
      <c r="V1969">
        <v>1453</v>
      </c>
      <c r="W1969" t="s">
        <v>7363</v>
      </c>
      <c r="X1969" t="s">
        <v>7366</v>
      </c>
      <c r="Y1969" t="s">
        <v>7386</v>
      </c>
      <c r="Z1969" t="s">
        <v>8917</v>
      </c>
      <c r="AA1969" t="s">
        <v>10219</v>
      </c>
      <c r="AB1969" t="s">
        <v>11618</v>
      </c>
      <c r="AC1969">
        <v>22</v>
      </c>
      <c r="AD1969" t="s">
        <v>12422</v>
      </c>
      <c r="AE1969" t="s">
        <v>12434</v>
      </c>
      <c r="AF1969">
        <v>4</v>
      </c>
      <c r="AG1969">
        <v>1</v>
      </c>
      <c r="AH1969">
        <v>0</v>
      </c>
      <c r="AI1969">
        <v>127.22</v>
      </c>
      <c r="AL1969" t="s">
        <v>12461</v>
      </c>
      <c r="AM1969">
        <v>15444</v>
      </c>
      <c r="AP1969" t="s">
        <v>7305</v>
      </c>
      <c r="AQ1969" t="s">
        <v>12909</v>
      </c>
      <c r="AR1969" t="s">
        <v>13028</v>
      </c>
      <c r="AS1969">
        <v>1.25</v>
      </c>
      <c r="AT1969" t="s">
        <v>448</v>
      </c>
      <c r="AU1969" t="s">
        <v>13116</v>
      </c>
    </row>
    <row r="1970" spans="1:48">
      <c r="A1970" s="1">
        <f>HYPERLINK("https://cms.ls-nyc.org/matter/dynamic-profile/view/1885677","18-1885677")</f>
        <v>0</v>
      </c>
      <c r="B1970" t="s">
        <v>102</v>
      </c>
      <c r="C1970" t="s">
        <v>344</v>
      </c>
      <c r="E1970" t="s">
        <v>983</v>
      </c>
      <c r="F1970" t="s">
        <v>3078</v>
      </c>
      <c r="G1970" t="s">
        <v>3779</v>
      </c>
      <c r="H1970" t="s">
        <v>5446</v>
      </c>
      <c r="I1970" t="s">
        <v>6047</v>
      </c>
      <c r="J1970">
        <v>10460</v>
      </c>
      <c r="K1970" t="s">
        <v>6074</v>
      </c>
      <c r="L1970" t="s">
        <v>6074</v>
      </c>
      <c r="M1970" t="s">
        <v>6182</v>
      </c>
      <c r="N1970" t="s">
        <v>7273</v>
      </c>
      <c r="O1970" t="s">
        <v>7308</v>
      </c>
      <c r="Q1970" t="s">
        <v>7322</v>
      </c>
      <c r="R1970" t="s">
        <v>6074</v>
      </c>
      <c r="S1970" t="s">
        <v>7324</v>
      </c>
      <c r="U1970" t="s">
        <v>457</v>
      </c>
      <c r="V1970">
        <v>377</v>
      </c>
      <c r="W1970" t="s">
        <v>7363</v>
      </c>
      <c r="X1970" t="s">
        <v>7376</v>
      </c>
      <c r="Z1970" t="s">
        <v>8554</v>
      </c>
      <c r="AB1970" t="s">
        <v>11619</v>
      </c>
      <c r="AC1970">
        <v>168</v>
      </c>
      <c r="AD1970" t="s">
        <v>6322</v>
      </c>
      <c r="AE1970" t="s">
        <v>7305</v>
      </c>
      <c r="AF1970">
        <v>10</v>
      </c>
      <c r="AG1970">
        <v>1</v>
      </c>
      <c r="AH1970">
        <v>0</v>
      </c>
      <c r="AI1970">
        <v>127.31</v>
      </c>
      <c r="AL1970" t="s">
        <v>12460</v>
      </c>
      <c r="AM1970">
        <v>15456</v>
      </c>
      <c r="AS1970">
        <v>0</v>
      </c>
      <c r="AU1970" t="s">
        <v>13092</v>
      </c>
    </row>
    <row r="1971" spans="1:48">
      <c r="A1971" s="1">
        <f>HYPERLINK("https://cms.ls-nyc.org/matter/dynamic-profile/view/1878021","18-1878021")</f>
        <v>0</v>
      </c>
      <c r="B1971" t="s">
        <v>54</v>
      </c>
      <c r="C1971" t="s">
        <v>244</v>
      </c>
      <c r="E1971" t="s">
        <v>1577</v>
      </c>
      <c r="F1971" t="s">
        <v>2792</v>
      </c>
      <c r="G1971" t="s">
        <v>3649</v>
      </c>
      <c r="H1971">
        <v>807</v>
      </c>
      <c r="I1971" t="s">
        <v>6024</v>
      </c>
      <c r="J1971">
        <v>11692</v>
      </c>
      <c r="K1971" t="s">
        <v>6074</v>
      </c>
      <c r="L1971" t="s">
        <v>6074</v>
      </c>
      <c r="M1971" t="s">
        <v>6904</v>
      </c>
      <c r="N1971" t="s">
        <v>7276</v>
      </c>
      <c r="O1971" t="s">
        <v>7308</v>
      </c>
      <c r="Q1971" t="s">
        <v>7322</v>
      </c>
      <c r="R1971" t="s">
        <v>6076</v>
      </c>
      <c r="S1971" t="s">
        <v>7324</v>
      </c>
      <c r="T1971" t="s">
        <v>7338</v>
      </c>
      <c r="U1971" t="s">
        <v>244</v>
      </c>
      <c r="V1971">
        <v>1650</v>
      </c>
      <c r="W1971" t="s">
        <v>7361</v>
      </c>
      <c r="X1971" t="s">
        <v>7366</v>
      </c>
      <c r="Z1971" t="s">
        <v>8918</v>
      </c>
      <c r="AA1971" t="s">
        <v>10220</v>
      </c>
      <c r="AB1971" t="s">
        <v>11620</v>
      </c>
      <c r="AC1971">
        <v>103</v>
      </c>
      <c r="AD1971" t="s">
        <v>12422</v>
      </c>
      <c r="AE1971" t="s">
        <v>12433</v>
      </c>
      <c r="AF1971">
        <v>1</v>
      </c>
      <c r="AG1971">
        <v>1</v>
      </c>
      <c r="AH1971">
        <v>3</v>
      </c>
      <c r="AI1971">
        <v>127.49</v>
      </c>
      <c r="AL1971" t="s">
        <v>12460</v>
      </c>
      <c r="AM1971">
        <v>32000</v>
      </c>
      <c r="AO1971" t="s">
        <v>12853</v>
      </c>
      <c r="AP1971" t="s">
        <v>12897</v>
      </c>
      <c r="AQ1971" t="s">
        <v>12909</v>
      </c>
      <c r="AR1971" t="s">
        <v>13030</v>
      </c>
      <c r="AS1971">
        <v>6.65</v>
      </c>
      <c r="AT1971" t="s">
        <v>367</v>
      </c>
      <c r="AU1971" t="s">
        <v>189</v>
      </c>
    </row>
    <row r="1972" spans="1:48">
      <c r="A1972" s="1">
        <f>HYPERLINK("https://cms.ls-nyc.org/matter/dynamic-profile/view/1878499","18-1878499")</f>
        <v>0</v>
      </c>
      <c r="B1972" t="s">
        <v>53</v>
      </c>
      <c r="C1972" t="s">
        <v>425</v>
      </c>
      <c r="D1972" t="s">
        <v>472</v>
      </c>
      <c r="E1972" t="s">
        <v>1578</v>
      </c>
      <c r="F1972" t="s">
        <v>3079</v>
      </c>
      <c r="G1972" t="s">
        <v>4816</v>
      </c>
      <c r="H1972" t="s">
        <v>5400</v>
      </c>
      <c r="I1972" t="s">
        <v>6024</v>
      </c>
      <c r="J1972">
        <v>11692</v>
      </c>
      <c r="K1972" t="s">
        <v>6074</v>
      </c>
      <c r="L1972" t="s">
        <v>6074</v>
      </c>
      <c r="M1972" t="s">
        <v>6905</v>
      </c>
      <c r="N1972" t="s">
        <v>7276</v>
      </c>
      <c r="O1972" t="s">
        <v>7306</v>
      </c>
      <c r="P1972" t="s">
        <v>7314</v>
      </c>
      <c r="Q1972" t="s">
        <v>7322</v>
      </c>
      <c r="R1972" t="s">
        <v>6076</v>
      </c>
      <c r="S1972" t="s">
        <v>7324</v>
      </c>
      <c r="T1972" t="s">
        <v>7336</v>
      </c>
      <c r="U1972" t="s">
        <v>425</v>
      </c>
      <c r="V1972">
        <v>1141.54</v>
      </c>
      <c r="W1972" t="s">
        <v>7361</v>
      </c>
      <c r="X1972" t="s">
        <v>7366</v>
      </c>
      <c r="Y1972" t="s">
        <v>7386</v>
      </c>
      <c r="Z1972" t="s">
        <v>8919</v>
      </c>
      <c r="AB1972" t="s">
        <v>11621</v>
      </c>
      <c r="AC1972">
        <v>30</v>
      </c>
      <c r="AD1972" t="s">
        <v>12420</v>
      </c>
      <c r="AE1972" t="s">
        <v>12434</v>
      </c>
      <c r="AF1972">
        <v>3</v>
      </c>
      <c r="AG1972">
        <v>2</v>
      </c>
      <c r="AH1972">
        <v>2</v>
      </c>
      <c r="AI1972">
        <v>127.49</v>
      </c>
      <c r="AL1972" t="s">
        <v>12460</v>
      </c>
      <c r="AM1972">
        <v>32000</v>
      </c>
      <c r="AS1972">
        <v>1.8</v>
      </c>
      <c r="AT1972" t="s">
        <v>385</v>
      </c>
      <c r="AU1972" t="s">
        <v>189</v>
      </c>
    </row>
    <row r="1973" spans="1:48">
      <c r="A1973" s="1">
        <f>HYPERLINK("https://cms.ls-nyc.org/matter/dynamic-profile/view/1901313","19-1901313")</f>
        <v>0</v>
      </c>
      <c r="B1973" t="s">
        <v>142</v>
      </c>
      <c r="C1973" t="s">
        <v>460</v>
      </c>
      <c r="E1973" t="s">
        <v>1579</v>
      </c>
      <c r="F1973" t="s">
        <v>3080</v>
      </c>
      <c r="G1973" t="s">
        <v>4148</v>
      </c>
      <c r="H1973" t="s">
        <v>5376</v>
      </c>
      <c r="I1973" t="s">
        <v>6043</v>
      </c>
      <c r="J1973">
        <v>11212</v>
      </c>
      <c r="K1973" t="s">
        <v>6074</v>
      </c>
      <c r="L1973" t="s">
        <v>6075</v>
      </c>
      <c r="M1973" t="s">
        <v>6442</v>
      </c>
      <c r="N1973" t="s">
        <v>7282</v>
      </c>
      <c r="O1973" t="s">
        <v>7308</v>
      </c>
      <c r="Q1973" t="s">
        <v>7322</v>
      </c>
      <c r="R1973" t="s">
        <v>6074</v>
      </c>
      <c r="S1973" t="s">
        <v>7324</v>
      </c>
      <c r="T1973" t="s">
        <v>7336</v>
      </c>
      <c r="U1973" t="s">
        <v>324</v>
      </c>
      <c r="V1973">
        <v>1326</v>
      </c>
      <c r="W1973" t="s">
        <v>7362</v>
      </c>
      <c r="X1973" t="s">
        <v>7368</v>
      </c>
      <c r="Z1973" t="s">
        <v>8920</v>
      </c>
      <c r="AB1973" t="s">
        <v>11622</v>
      </c>
      <c r="AC1973">
        <v>4</v>
      </c>
      <c r="AD1973" t="s">
        <v>12419</v>
      </c>
      <c r="AE1973" t="s">
        <v>6110</v>
      </c>
      <c r="AF1973">
        <v>6</v>
      </c>
      <c r="AG1973">
        <v>2</v>
      </c>
      <c r="AH1973">
        <v>0</v>
      </c>
      <c r="AI1973">
        <v>127.74</v>
      </c>
      <c r="AL1973" t="s">
        <v>12460</v>
      </c>
      <c r="AM1973">
        <v>21600</v>
      </c>
      <c r="AS1973">
        <v>0</v>
      </c>
      <c r="AU1973" t="s">
        <v>218</v>
      </c>
      <c r="AV1973" t="s">
        <v>13145</v>
      </c>
    </row>
    <row r="1974" spans="1:48">
      <c r="A1974" s="1">
        <f>HYPERLINK("https://cms.ls-nyc.org/matter/dynamic-profile/view/1901324","19-1901324")</f>
        <v>0</v>
      </c>
      <c r="B1974" t="s">
        <v>142</v>
      </c>
      <c r="C1974" t="s">
        <v>460</v>
      </c>
      <c r="D1974" t="s">
        <v>460</v>
      </c>
      <c r="E1974" t="s">
        <v>1579</v>
      </c>
      <c r="F1974" t="s">
        <v>3080</v>
      </c>
      <c r="G1974" t="s">
        <v>4148</v>
      </c>
      <c r="H1974" t="s">
        <v>5376</v>
      </c>
      <c r="I1974" t="s">
        <v>6043</v>
      </c>
      <c r="J1974">
        <v>11212</v>
      </c>
      <c r="K1974" t="s">
        <v>6074</v>
      </c>
      <c r="L1974" t="s">
        <v>6075</v>
      </c>
      <c r="N1974" t="s">
        <v>6104</v>
      </c>
      <c r="O1974" t="s">
        <v>7307</v>
      </c>
      <c r="P1974" t="s">
        <v>7315</v>
      </c>
      <c r="Q1974" t="s">
        <v>7322</v>
      </c>
      <c r="R1974" t="s">
        <v>6074</v>
      </c>
      <c r="S1974" t="s">
        <v>7324</v>
      </c>
      <c r="U1974" t="s">
        <v>280</v>
      </c>
      <c r="V1974">
        <v>1326</v>
      </c>
      <c r="W1974" t="s">
        <v>7362</v>
      </c>
      <c r="X1974" t="s">
        <v>7368</v>
      </c>
      <c r="Y1974" t="s">
        <v>7394</v>
      </c>
      <c r="Z1974" t="s">
        <v>8920</v>
      </c>
      <c r="AB1974" t="s">
        <v>11622</v>
      </c>
      <c r="AC1974">
        <v>4</v>
      </c>
      <c r="AD1974" t="s">
        <v>12419</v>
      </c>
      <c r="AE1974" t="s">
        <v>6110</v>
      </c>
      <c r="AF1974">
        <v>6</v>
      </c>
      <c r="AG1974">
        <v>2</v>
      </c>
      <c r="AH1974">
        <v>0</v>
      </c>
      <c r="AI1974">
        <v>127.74</v>
      </c>
      <c r="AL1974" t="s">
        <v>12460</v>
      </c>
      <c r="AM1974">
        <v>21600</v>
      </c>
      <c r="AS1974">
        <v>0.5</v>
      </c>
      <c r="AT1974" t="s">
        <v>460</v>
      </c>
      <c r="AU1974" t="s">
        <v>218</v>
      </c>
      <c r="AV1974" t="s">
        <v>13145</v>
      </c>
    </row>
    <row r="1975" spans="1:48">
      <c r="A1975" s="1">
        <f>HYPERLINK("https://cms.ls-nyc.org/matter/dynamic-profile/view/1867711","18-1867711")</f>
        <v>0</v>
      </c>
      <c r="B1975" t="s">
        <v>104</v>
      </c>
      <c r="C1975" t="s">
        <v>492</v>
      </c>
      <c r="D1975" t="s">
        <v>315</v>
      </c>
      <c r="E1975" t="s">
        <v>705</v>
      </c>
      <c r="F1975" t="s">
        <v>3081</v>
      </c>
      <c r="G1975" t="s">
        <v>4817</v>
      </c>
      <c r="I1975" t="s">
        <v>6047</v>
      </c>
      <c r="J1975">
        <v>10453</v>
      </c>
      <c r="K1975" t="s">
        <v>6074</v>
      </c>
      <c r="L1975" t="s">
        <v>6074</v>
      </c>
      <c r="N1975" t="s">
        <v>6104</v>
      </c>
      <c r="O1975" t="s">
        <v>7306</v>
      </c>
      <c r="P1975" t="s">
        <v>7319</v>
      </c>
      <c r="Q1975" t="s">
        <v>7322</v>
      </c>
      <c r="S1975" t="s">
        <v>7324</v>
      </c>
      <c r="U1975" t="s">
        <v>492</v>
      </c>
      <c r="V1975">
        <v>751.88</v>
      </c>
      <c r="W1975" t="s">
        <v>7363</v>
      </c>
      <c r="X1975" t="s">
        <v>7367</v>
      </c>
      <c r="Y1975" t="s">
        <v>7393</v>
      </c>
      <c r="Z1975" t="s">
        <v>8921</v>
      </c>
      <c r="AB1975" t="s">
        <v>11623</v>
      </c>
      <c r="AC1975">
        <v>0</v>
      </c>
      <c r="AD1975" t="s">
        <v>12422</v>
      </c>
      <c r="AF1975">
        <v>28</v>
      </c>
      <c r="AG1975">
        <v>1</v>
      </c>
      <c r="AH1975">
        <v>0</v>
      </c>
      <c r="AI1975">
        <v>127.91</v>
      </c>
      <c r="AL1975" t="s">
        <v>12460</v>
      </c>
      <c r="AM1975">
        <v>15528</v>
      </c>
      <c r="AS1975">
        <v>0.1</v>
      </c>
      <c r="AT1975" t="s">
        <v>315</v>
      </c>
      <c r="AU1975" t="s">
        <v>104</v>
      </c>
    </row>
    <row r="1976" spans="1:48">
      <c r="A1976" s="1">
        <f>HYPERLINK("https://cms.ls-nyc.org/matter/dynamic-profile/view/1878449","18-1878449")</f>
        <v>0</v>
      </c>
      <c r="B1976" t="s">
        <v>126</v>
      </c>
      <c r="C1976" t="s">
        <v>425</v>
      </c>
      <c r="E1976" t="s">
        <v>630</v>
      </c>
      <c r="F1976" t="s">
        <v>3082</v>
      </c>
      <c r="G1976" t="s">
        <v>4818</v>
      </c>
      <c r="H1976" t="s">
        <v>5364</v>
      </c>
      <c r="I1976" t="s">
        <v>6049</v>
      </c>
      <c r="J1976">
        <v>10029</v>
      </c>
      <c r="K1976" t="s">
        <v>6074</v>
      </c>
      <c r="L1976" t="s">
        <v>6074</v>
      </c>
      <c r="M1976" t="s">
        <v>6906</v>
      </c>
      <c r="N1976" t="s">
        <v>7273</v>
      </c>
      <c r="O1976" t="s">
        <v>7308</v>
      </c>
      <c r="Q1976" t="s">
        <v>7322</v>
      </c>
      <c r="R1976" t="s">
        <v>6076</v>
      </c>
      <c r="S1976" t="s">
        <v>7324</v>
      </c>
      <c r="T1976" t="s">
        <v>7336</v>
      </c>
      <c r="U1976" t="s">
        <v>256</v>
      </c>
      <c r="V1976">
        <v>1138</v>
      </c>
      <c r="W1976" t="s">
        <v>7365</v>
      </c>
      <c r="X1976" t="s">
        <v>7367</v>
      </c>
      <c r="Z1976" t="s">
        <v>8301</v>
      </c>
      <c r="AB1976" t="s">
        <v>11624</v>
      </c>
      <c r="AC1976">
        <v>10</v>
      </c>
      <c r="AD1976" t="s">
        <v>12422</v>
      </c>
      <c r="AE1976" t="s">
        <v>6110</v>
      </c>
      <c r="AF1976">
        <v>15</v>
      </c>
      <c r="AG1976">
        <v>1</v>
      </c>
      <c r="AH1976">
        <v>2</v>
      </c>
      <c r="AI1976">
        <v>128.2</v>
      </c>
      <c r="AL1976" t="s">
        <v>12460</v>
      </c>
      <c r="AM1976">
        <v>26640</v>
      </c>
      <c r="AS1976">
        <v>58.3</v>
      </c>
      <c r="AT1976" t="s">
        <v>324</v>
      </c>
      <c r="AU1976" t="s">
        <v>13077</v>
      </c>
      <c r="AV1976" t="s">
        <v>13145</v>
      </c>
    </row>
    <row r="1977" spans="1:48">
      <c r="A1977" s="1">
        <f>HYPERLINK("https://cms.ls-nyc.org/matter/dynamic-profile/view/1893965","19-1893965")</f>
        <v>0</v>
      </c>
      <c r="B1977" t="s">
        <v>97</v>
      </c>
      <c r="C1977" t="s">
        <v>335</v>
      </c>
      <c r="E1977" t="s">
        <v>940</v>
      </c>
      <c r="F1977" t="s">
        <v>2587</v>
      </c>
      <c r="G1977" t="s">
        <v>4819</v>
      </c>
      <c r="H1977" t="s">
        <v>5372</v>
      </c>
      <c r="I1977" t="s">
        <v>6047</v>
      </c>
      <c r="J1977">
        <v>10457</v>
      </c>
      <c r="K1977" t="s">
        <v>6074</v>
      </c>
      <c r="L1977" t="s">
        <v>6074</v>
      </c>
      <c r="N1977" t="s">
        <v>6104</v>
      </c>
      <c r="O1977" t="s">
        <v>7306</v>
      </c>
      <c r="Q1977" t="s">
        <v>7322</v>
      </c>
      <c r="R1977" t="s">
        <v>6076</v>
      </c>
      <c r="S1977" t="s">
        <v>7324</v>
      </c>
      <c r="U1977" t="s">
        <v>335</v>
      </c>
      <c r="V1977">
        <v>187</v>
      </c>
      <c r="W1977" t="s">
        <v>7363</v>
      </c>
      <c r="X1977" t="s">
        <v>7376</v>
      </c>
      <c r="Z1977" t="s">
        <v>8922</v>
      </c>
      <c r="AB1977" t="s">
        <v>11625</v>
      </c>
      <c r="AC1977">
        <v>74</v>
      </c>
      <c r="AD1977" t="s">
        <v>12427</v>
      </c>
      <c r="AE1977" t="s">
        <v>6110</v>
      </c>
      <c r="AF1977">
        <v>10</v>
      </c>
      <c r="AG1977">
        <v>1</v>
      </c>
      <c r="AH1977">
        <v>0</v>
      </c>
      <c r="AI1977">
        <v>128.39</v>
      </c>
      <c r="AL1977" t="s">
        <v>12460</v>
      </c>
      <c r="AM1977">
        <v>16036.28</v>
      </c>
      <c r="AS1977">
        <v>1.2</v>
      </c>
      <c r="AT1977" t="s">
        <v>335</v>
      </c>
      <c r="AU1977" t="s">
        <v>97</v>
      </c>
    </row>
    <row r="1978" spans="1:48">
      <c r="A1978" s="1">
        <f>HYPERLINK("https://cms.ls-nyc.org/matter/dynamic-profile/view/1882610","18-1882610")</f>
        <v>0</v>
      </c>
      <c r="B1978" t="s">
        <v>75</v>
      </c>
      <c r="C1978" t="s">
        <v>296</v>
      </c>
      <c r="E1978" t="s">
        <v>684</v>
      </c>
      <c r="F1978" t="s">
        <v>3083</v>
      </c>
      <c r="G1978" t="s">
        <v>3705</v>
      </c>
      <c r="H1978" t="s">
        <v>5797</v>
      </c>
      <c r="I1978" t="s">
        <v>6043</v>
      </c>
      <c r="J1978">
        <v>11233</v>
      </c>
      <c r="K1978" t="s">
        <v>6074</v>
      </c>
      <c r="L1978" t="s">
        <v>6076</v>
      </c>
      <c r="M1978" t="s">
        <v>6128</v>
      </c>
      <c r="N1978" t="s">
        <v>7274</v>
      </c>
      <c r="O1978" t="s">
        <v>7308</v>
      </c>
      <c r="Q1978" t="s">
        <v>7322</v>
      </c>
      <c r="R1978" t="s">
        <v>6076</v>
      </c>
      <c r="S1978" t="s">
        <v>7324</v>
      </c>
      <c r="T1978" t="s">
        <v>7340</v>
      </c>
      <c r="U1978" t="s">
        <v>7343</v>
      </c>
      <c r="V1978">
        <v>50</v>
      </c>
      <c r="W1978" t="s">
        <v>7362</v>
      </c>
      <c r="X1978" t="s">
        <v>7366</v>
      </c>
      <c r="Z1978" t="s">
        <v>8923</v>
      </c>
      <c r="AA1978" t="s">
        <v>6322</v>
      </c>
      <c r="AB1978" t="s">
        <v>11626</v>
      </c>
      <c r="AC1978">
        <v>3</v>
      </c>
      <c r="AD1978" t="s">
        <v>12419</v>
      </c>
      <c r="AE1978" t="s">
        <v>12436</v>
      </c>
      <c r="AF1978">
        <v>0</v>
      </c>
      <c r="AG1978">
        <v>1</v>
      </c>
      <c r="AH1978">
        <v>0</v>
      </c>
      <c r="AI1978">
        <v>128.5</v>
      </c>
      <c r="AL1978" t="s">
        <v>12460</v>
      </c>
      <c r="AM1978">
        <v>15600</v>
      </c>
      <c r="AS1978">
        <v>0.5</v>
      </c>
      <c r="AT1978" t="s">
        <v>412</v>
      </c>
      <c r="AU1978" t="s">
        <v>218</v>
      </c>
    </row>
    <row r="1979" spans="1:48">
      <c r="A1979" s="1">
        <f>HYPERLINK("https://cms.ls-nyc.org/matter/dynamic-profile/view/1880801","18-1880801")</f>
        <v>0</v>
      </c>
      <c r="B1979" t="s">
        <v>83</v>
      </c>
      <c r="C1979" t="s">
        <v>256</v>
      </c>
      <c r="D1979" t="s">
        <v>492</v>
      </c>
      <c r="E1979" t="s">
        <v>1234</v>
      </c>
      <c r="F1979" t="s">
        <v>2104</v>
      </c>
      <c r="G1979" t="s">
        <v>4650</v>
      </c>
      <c r="H1979" t="s">
        <v>5364</v>
      </c>
      <c r="I1979" t="s">
        <v>6043</v>
      </c>
      <c r="J1979">
        <v>11226</v>
      </c>
      <c r="K1979" t="s">
        <v>6074</v>
      </c>
      <c r="L1979" t="s">
        <v>6074</v>
      </c>
      <c r="N1979" t="s">
        <v>7273</v>
      </c>
      <c r="O1979" t="s">
        <v>7310</v>
      </c>
      <c r="P1979" t="s">
        <v>7319</v>
      </c>
      <c r="Q1979" t="s">
        <v>7322</v>
      </c>
      <c r="R1979" t="s">
        <v>6074</v>
      </c>
      <c r="S1979" t="s">
        <v>7324</v>
      </c>
      <c r="U1979" t="s">
        <v>350</v>
      </c>
      <c r="V1979">
        <v>900</v>
      </c>
      <c r="W1979" t="s">
        <v>7362</v>
      </c>
      <c r="X1979" t="s">
        <v>7376</v>
      </c>
      <c r="Y1979" t="s">
        <v>7398</v>
      </c>
      <c r="Z1979" t="s">
        <v>8924</v>
      </c>
      <c r="AC1979">
        <v>48</v>
      </c>
      <c r="AD1979" t="s">
        <v>12422</v>
      </c>
      <c r="AE1979" t="s">
        <v>12434</v>
      </c>
      <c r="AF1979">
        <v>30</v>
      </c>
      <c r="AG1979">
        <v>1</v>
      </c>
      <c r="AH1979">
        <v>0</v>
      </c>
      <c r="AI1979">
        <v>128.5</v>
      </c>
      <c r="AL1979" t="s">
        <v>12460</v>
      </c>
      <c r="AM1979">
        <v>15600</v>
      </c>
      <c r="AS1979">
        <v>1.3</v>
      </c>
      <c r="AT1979" t="s">
        <v>240</v>
      </c>
      <c r="AU1979" t="s">
        <v>83</v>
      </c>
    </row>
    <row r="1980" spans="1:48">
      <c r="A1980" s="1">
        <f>HYPERLINK("https://cms.ls-nyc.org/matter/dynamic-profile/view/1884968","18-1884968")</f>
        <v>0</v>
      </c>
      <c r="B1980" t="s">
        <v>73</v>
      </c>
      <c r="C1980" t="s">
        <v>429</v>
      </c>
      <c r="D1980" t="s">
        <v>492</v>
      </c>
      <c r="E1980" t="s">
        <v>1580</v>
      </c>
      <c r="F1980" t="s">
        <v>3084</v>
      </c>
      <c r="G1980" t="s">
        <v>4820</v>
      </c>
      <c r="H1980" t="s">
        <v>5347</v>
      </c>
      <c r="I1980" t="s">
        <v>6043</v>
      </c>
      <c r="J1980">
        <v>11208</v>
      </c>
      <c r="K1980" t="s">
        <v>6074</v>
      </c>
      <c r="L1980" t="s">
        <v>6074</v>
      </c>
      <c r="M1980" t="s">
        <v>6907</v>
      </c>
      <c r="N1980" t="s">
        <v>7274</v>
      </c>
      <c r="O1980" t="s">
        <v>7306</v>
      </c>
      <c r="P1980" t="s">
        <v>7314</v>
      </c>
      <c r="Q1980" t="s">
        <v>7322</v>
      </c>
      <c r="R1980" t="s">
        <v>6076</v>
      </c>
      <c r="S1980" t="s">
        <v>7324</v>
      </c>
      <c r="U1980" t="s">
        <v>492</v>
      </c>
      <c r="V1980">
        <v>215</v>
      </c>
      <c r="W1980" t="s">
        <v>7362</v>
      </c>
      <c r="X1980" t="s">
        <v>7366</v>
      </c>
      <c r="Y1980" t="s">
        <v>7386</v>
      </c>
      <c r="Z1980" t="s">
        <v>8925</v>
      </c>
      <c r="AB1980" t="s">
        <v>11627</v>
      </c>
      <c r="AC1980">
        <v>3</v>
      </c>
      <c r="AD1980" t="s">
        <v>12419</v>
      </c>
      <c r="AF1980">
        <v>1</v>
      </c>
      <c r="AG1980">
        <v>1</v>
      </c>
      <c r="AH1980">
        <v>0</v>
      </c>
      <c r="AI1980">
        <v>128.5</v>
      </c>
      <c r="AL1980" t="s">
        <v>12460</v>
      </c>
      <c r="AM1980">
        <v>15600</v>
      </c>
      <c r="AS1980">
        <v>3.6</v>
      </c>
      <c r="AT1980" t="s">
        <v>267</v>
      </c>
      <c r="AU1980" t="s">
        <v>93</v>
      </c>
    </row>
    <row r="1981" spans="1:48">
      <c r="A1981" s="1">
        <f>HYPERLINK("https://cms.ls-nyc.org/matter/dynamic-profile/view/1886767","18-1886767")</f>
        <v>0</v>
      </c>
      <c r="B1981" t="s">
        <v>76</v>
      </c>
      <c r="C1981" t="s">
        <v>472</v>
      </c>
      <c r="E1981" t="s">
        <v>739</v>
      </c>
      <c r="F1981" t="s">
        <v>3085</v>
      </c>
      <c r="G1981" t="s">
        <v>4821</v>
      </c>
      <c r="H1981" t="s">
        <v>5798</v>
      </c>
      <c r="I1981" t="s">
        <v>6043</v>
      </c>
      <c r="J1981">
        <v>11206</v>
      </c>
      <c r="K1981" t="s">
        <v>6074</v>
      </c>
      <c r="L1981" t="s">
        <v>6074</v>
      </c>
      <c r="M1981" t="s">
        <v>6908</v>
      </c>
      <c r="N1981" t="s">
        <v>7276</v>
      </c>
      <c r="O1981" t="s">
        <v>7308</v>
      </c>
      <c r="Q1981" t="s">
        <v>7322</v>
      </c>
      <c r="R1981" t="s">
        <v>6076</v>
      </c>
      <c r="S1981" t="s">
        <v>7324</v>
      </c>
      <c r="U1981" t="s">
        <v>472</v>
      </c>
      <c r="V1981">
        <v>296</v>
      </c>
      <c r="W1981" t="s">
        <v>7362</v>
      </c>
      <c r="X1981" t="s">
        <v>7368</v>
      </c>
      <c r="Z1981" t="s">
        <v>8926</v>
      </c>
      <c r="AB1981" t="s">
        <v>11628</v>
      </c>
      <c r="AC1981">
        <v>272</v>
      </c>
      <c r="AD1981" t="s">
        <v>12422</v>
      </c>
      <c r="AE1981" t="s">
        <v>12434</v>
      </c>
      <c r="AF1981">
        <v>8</v>
      </c>
      <c r="AG1981">
        <v>1</v>
      </c>
      <c r="AH1981">
        <v>0</v>
      </c>
      <c r="AI1981">
        <v>128.5</v>
      </c>
      <c r="AL1981" t="s">
        <v>12460</v>
      </c>
      <c r="AM1981">
        <v>15600</v>
      </c>
      <c r="AN1981" t="s">
        <v>12511</v>
      </c>
      <c r="AS1981">
        <v>16.8</v>
      </c>
      <c r="AT1981" t="s">
        <v>324</v>
      </c>
      <c r="AU1981" t="s">
        <v>180</v>
      </c>
    </row>
    <row r="1982" spans="1:48">
      <c r="A1982" s="1">
        <f>HYPERLINK("https://cms.ls-nyc.org/matter/dynamic-profile/view/1882185","18-1882185")</f>
        <v>0</v>
      </c>
      <c r="B1982" t="s">
        <v>191</v>
      </c>
      <c r="C1982" t="s">
        <v>442</v>
      </c>
      <c r="D1982" t="s">
        <v>345</v>
      </c>
      <c r="E1982" t="s">
        <v>987</v>
      </c>
      <c r="F1982" t="s">
        <v>2360</v>
      </c>
      <c r="G1982" t="s">
        <v>4822</v>
      </c>
      <c r="H1982">
        <v>20</v>
      </c>
      <c r="I1982" t="s">
        <v>6047</v>
      </c>
      <c r="J1982">
        <v>10468</v>
      </c>
      <c r="K1982" t="s">
        <v>6074</v>
      </c>
      <c r="L1982" t="s">
        <v>6074</v>
      </c>
      <c r="N1982" t="s">
        <v>7283</v>
      </c>
      <c r="O1982" t="s">
        <v>7309</v>
      </c>
      <c r="P1982" t="s">
        <v>7321</v>
      </c>
      <c r="Q1982" t="s">
        <v>7322</v>
      </c>
      <c r="R1982" t="s">
        <v>6076</v>
      </c>
      <c r="S1982" t="s">
        <v>7326</v>
      </c>
      <c r="U1982" t="s">
        <v>442</v>
      </c>
      <c r="V1982">
        <v>788.84</v>
      </c>
      <c r="W1982" t="s">
        <v>7363</v>
      </c>
      <c r="X1982" t="s">
        <v>7367</v>
      </c>
      <c r="Y1982" t="s">
        <v>7387</v>
      </c>
      <c r="Z1982" t="s">
        <v>8927</v>
      </c>
      <c r="AB1982" t="s">
        <v>11629</v>
      </c>
      <c r="AC1982">
        <v>28</v>
      </c>
      <c r="AD1982" t="s">
        <v>12422</v>
      </c>
      <c r="AF1982">
        <v>29</v>
      </c>
      <c r="AG1982">
        <v>1</v>
      </c>
      <c r="AH1982">
        <v>0</v>
      </c>
      <c r="AI1982">
        <v>128.5</v>
      </c>
      <c r="AL1982" t="s">
        <v>12461</v>
      </c>
      <c r="AM1982">
        <v>15600</v>
      </c>
      <c r="AR1982" t="s">
        <v>12946</v>
      </c>
      <c r="AS1982">
        <v>0.4</v>
      </c>
      <c r="AT1982" t="s">
        <v>442</v>
      </c>
      <c r="AU1982" t="s">
        <v>13114</v>
      </c>
    </row>
    <row r="1983" spans="1:48">
      <c r="A1983" s="1">
        <f>HYPERLINK("https://cms.ls-nyc.org/matter/dynamic-profile/view/1883803","18-1883803")</f>
        <v>0</v>
      </c>
      <c r="B1983" t="s">
        <v>102</v>
      </c>
      <c r="C1983" t="s">
        <v>305</v>
      </c>
      <c r="D1983" t="s">
        <v>381</v>
      </c>
      <c r="E1983" t="s">
        <v>1581</v>
      </c>
      <c r="F1983" t="s">
        <v>2535</v>
      </c>
      <c r="G1983" t="s">
        <v>4823</v>
      </c>
      <c r="H1983">
        <v>701</v>
      </c>
      <c r="I1983" t="s">
        <v>6047</v>
      </c>
      <c r="J1983">
        <v>10462</v>
      </c>
      <c r="K1983" t="s">
        <v>6074</v>
      </c>
      <c r="L1983" t="s">
        <v>6074</v>
      </c>
      <c r="M1983" t="s">
        <v>6909</v>
      </c>
      <c r="N1983" t="s">
        <v>7276</v>
      </c>
      <c r="O1983" t="s">
        <v>7307</v>
      </c>
      <c r="P1983" t="s">
        <v>7314</v>
      </c>
      <c r="Q1983" t="s">
        <v>7322</v>
      </c>
      <c r="R1983" t="s">
        <v>6076</v>
      </c>
      <c r="S1983" t="s">
        <v>7324</v>
      </c>
      <c r="T1983" t="s">
        <v>7337</v>
      </c>
      <c r="U1983" t="s">
        <v>7343</v>
      </c>
      <c r="V1983">
        <v>1166</v>
      </c>
      <c r="W1983" t="s">
        <v>7363</v>
      </c>
      <c r="X1983" t="s">
        <v>7305</v>
      </c>
      <c r="Y1983" t="s">
        <v>7386</v>
      </c>
      <c r="Z1983" t="s">
        <v>8233</v>
      </c>
      <c r="AB1983" t="s">
        <v>11630</v>
      </c>
      <c r="AC1983">
        <v>0</v>
      </c>
      <c r="AD1983" t="s">
        <v>12422</v>
      </c>
      <c r="AF1983">
        <v>2</v>
      </c>
      <c r="AG1983">
        <v>1</v>
      </c>
      <c r="AH1983">
        <v>0</v>
      </c>
      <c r="AI1983">
        <v>128.5</v>
      </c>
      <c r="AL1983" t="s">
        <v>12460</v>
      </c>
      <c r="AM1983">
        <v>15600</v>
      </c>
      <c r="AS1983">
        <v>5.9</v>
      </c>
      <c r="AT1983" t="s">
        <v>462</v>
      </c>
      <c r="AU1983" t="s">
        <v>13125</v>
      </c>
    </row>
    <row r="1984" spans="1:48">
      <c r="A1984" s="1">
        <f>HYPERLINK("https://cms.ls-nyc.org/matter/dynamic-profile/view/1886503","18-1886503")</f>
        <v>0</v>
      </c>
      <c r="B1984" t="s">
        <v>102</v>
      </c>
      <c r="C1984" t="s">
        <v>300</v>
      </c>
      <c r="E1984" t="s">
        <v>655</v>
      </c>
      <c r="F1984" t="s">
        <v>3086</v>
      </c>
      <c r="G1984" t="s">
        <v>3779</v>
      </c>
      <c r="H1984" t="s">
        <v>5463</v>
      </c>
      <c r="I1984" t="s">
        <v>6047</v>
      </c>
      <c r="J1984">
        <v>10460</v>
      </c>
      <c r="K1984" t="s">
        <v>6074</v>
      </c>
      <c r="L1984" t="s">
        <v>6074</v>
      </c>
      <c r="M1984" t="s">
        <v>6182</v>
      </c>
      <c r="N1984" t="s">
        <v>7273</v>
      </c>
      <c r="O1984" t="s">
        <v>7308</v>
      </c>
      <c r="Q1984" t="s">
        <v>7322</v>
      </c>
      <c r="R1984" t="s">
        <v>6074</v>
      </c>
      <c r="S1984" t="s">
        <v>7324</v>
      </c>
      <c r="U1984" t="s">
        <v>457</v>
      </c>
      <c r="V1984">
        <v>1600</v>
      </c>
      <c r="W1984" t="s">
        <v>7363</v>
      </c>
      <c r="X1984" t="s">
        <v>7376</v>
      </c>
      <c r="Z1984" t="s">
        <v>8928</v>
      </c>
      <c r="AB1984" t="s">
        <v>11631</v>
      </c>
      <c r="AC1984">
        <v>168</v>
      </c>
      <c r="AD1984" t="s">
        <v>12422</v>
      </c>
      <c r="AE1984" t="s">
        <v>6110</v>
      </c>
      <c r="AF1984">
        <v>18</v>
      </c>
      <c r="AG1984">
        <v>1</v>
      </c>
      <c r="AH1984">
        <v>0</v>
      </c>
      <c r="AI1984">
        <v>128.5</v>
      </c>
      <c r="AL1984" t="s">
        <v>12460</v>
      </c>
      <c r="AM1984">
        <v>15600</v>
      </c>
      <c r="AS1984">
        <v>0.5</v>
      </c>
      <c r="AT1984" t="s">
        <v>362</v>
      </c>
      <c r="AU1984" t="s">
        <v>13092</v>
      </c>
    </row>
    <row r="1985" spans="1:47">
      <c r="A1985" s="1">
        <f>HYPERLINK("https://cms.ls-nyc.org/matter/dynamic-profile/view/1874289","18-1874289")</f>
        <v>0</v>
      </c>
      <c r="B1985" t="s">
        <v>184</v>
      </c>
      <c r="C1985" t="s">
        <v>471</v>
      </c>
      <c r="D1985" t="s">
        <v>406</v>
      </c>
      <c r="E1985" t="s">
        <v>1582</v>
      </c>
      <c r="F1985" t="s">
        <v>2285</v>
      </c>
      <c r="G1985" t="s">
        <v>4824</v>
      </c>
      <c r="H1985" t="s">
        <v>5446</v>
      </c>
      <c r="I1985" t="s">
        <v>6047</v>
      </c>
      <c r="J1985">
        <v>10459</v>
      </c>
      <c r="K1985" t="s">
        <v>6074</v>
      </c>
      <c r="L1985" t="s">
        <v>6074</v>
      </c>
      <c r="M1985" t="s">
        <v>6910</v>
      </c>
      <c r="N1985" t="s">
        <v>7276</v>
      </c>
      <c r="O1985" t="s">
        <v>7306</v>
      </c>
      <c r="P1985" t="s">
        <v>7314</v>
      </c>
      <c r="Q1985" t="s">
        <v>7322</v>
      </c>
      <c r="R1985" t="s">
        <v>6076</v>
      </c>
      <c r="S1985" t="s">
        <v>7324</v>
      </c>
      <c r="T1985" t="s">
        <v>7336</v>
      </c>
      <c r="U1985" t="s">
        <v>471</v>
      </c>
      <c r="V1985">
        <v>1854</v>
      </c>
      <c r="W1985" t="s">
        <v>7363</v>
      </c>
      <c r="X1985" t="s">
        <v>7383</v>
      </c>
      <c r="Y1985" t="s">
        <v>7386</v>
      </c>
      <c r="Z1985" t="s">
        <v>8510</v>
      </c>
      <c r="AB1985" t="s">
        <v>11632</v>
      </c>
      <c r="AC1985">
        <v>37</v>
      </c>
      <c r="AD1985" t="s">
        <v>12420</v>
      </c>
      <c r="AE1985" t="s">
        <v>12434</v>
      </c>
      <c r="AF1985">
        <v>26</v>
      </c>
      <c r="AG1985">
        <v>1</v>
      </c>
      <c r="AH1985">
        <v>0</v>
      </c>
      <c r="AI1985">
        <v>128.5</v>
      </c>
      <c r="AL1985" t="s">
        <v>12460</v>
      </c>
      <c r="AM1985">
        <v>15600</v>
      </c>
      <c r="AS1985">
        <v>2</v>
      </c>
      <c r="AT1985" t="s">
        <v>399</v>
      </c>
      <c r="AU1985" t="s">
        <v>13117</v>
      </c>
    </row>
    <row r="1986" spans="1:47">
      <c r="A1986" s="1">
        <f>HYPERLINK("https://cms.ls-nyc.org/matter/dynamic-profile/view/1874049","18-1874049")</f>
        <v>0</v>
      </c>
      <c r="B1986" t="s">
        <v>204</v>
      </c>
      <c r="C1986" t="s">
        <v>437</v>
      </c>
      <c r="D1986" t="s">
        <v>550</v>
      </c>
      <c r="E1986" t="s">
        <v>1583</v>
      </c>
      <c r="F1986" t="s">
        <v>1647</v>
      </c>
      <c r="G1986" t="s">
        <v>4825</v>
      </c>
      <c r="H1986" t="s">
        <v>5446</v>
      </c>
      <c r="I1986" t="s">
        <v>6047</v>
      </c>
      <c r="J1986">
        <v>10459</v>
      </c>
      <c r="K1986" t="s">
        <v>6074</v>
      </c>
      <c r="L1986" t="s">
        <v>6074</v>
      </c>
      <c r="N1986" t="s">
        <v>7278</v>
      </c>
      <c r="O1986" t="s">
        <v>7307</v>
      </c>
      <c r="P1986" t="s">
        <v>7315</v>
      </c>
      <c r="Q1986" t="s">
        <v>7322</v>
      </c>
      <c r="R1986" t="s">
        <v>6076</v>
      </c>
      <c r="S1986" t="s">
        <v>7324</v>
      </c>
      <c r="U1986" t="s">
        <v>550</v>
      </c>
      <c r="V1986">
        <v>0</v>
      </c>
      <c r="W1986" t="s">
        <v>7363</v>
      </c>
      <c r="X1986" t="s">
        <v>7376</v>
      </c>
      <c r="Y1986" t="s">
        <v>7386</v>
      </c>
      <c r="Z1986" t="s">
        <v>8148</v>
      </c>
      <c r="AB1986" t="s">
        <v>11633</v>
      </c>
      <c r="AC1986">
        <v>40</v>
      </c>
      <c r="AD1986" t="s">
        <v>12420</v>
      </c>
      <c r="AF1986">
        <v>20</v>
      </c>
      <c r="AG1986">
        <v>1</v>
      </c>
      <c r="AH1986">
        <v>0</v>
      </c>
      <c r="AI1986">
        <v>128.5</v>
      </c>
      <c r="AL1986" t="s">
        <v>12460</v>
      </c>
      <c r="AM1986">
        <v>15600</v>
      </c>
      <c r="AS1986">
        <v>2</v>
      </c>
      <c r="AT1986" t="s">
        <v>550</v>
      </c>
      <c r="AU1986" t="s">
        <v>204</v>
      </c>
    </row>
    <row r="1987" spans="1:47">
      <c r="A1987" s="1">
        <f>HYPERLINK("https://cms.ls-nyc.org/matter/dynamic-profile/view/1885564","18-1885564")</f>
        <v>0</v>
      </c>
      <c r="B1987" t="s">
        <v>104</v>
      </c>
      <c r="C1987" t="s">
        <v>266</v>
      </c>
      <c r="E1987" t="s">
        <v>1583</v>
      </c>
      <c r="F1987" t="s">
        <v>3087</v>
      </c>
      <c r="G1987" t="s">
        <v>4825</v>
      </c>
      <c r="H1987" t="s">
        <v>5446</v>
      </c>
      <c r="I1987" t="s">
        <v>6047</v>
      </c>
      <c r="J1987">
        <v>10459</v>
      </c>
      <c r="K1987" t="s">
        <v>6074</v>
      </c>
      <c r="L1987" t="s">
        <v>6074</v>
      </c>
      <c r="N1987" t="s">
        <v>7278</v>
      </c>
      <c r="O1987" t="s">
        <v>7306</v>
      </c>
      <c r="Q1987" t="s">
        <v>7322</v>
      </c>
      <c r="R1987" t="s">
        <v>6076</v>
      </c>
      <c r="S1987" t="s">
        <v>7324</v>
      </c>
      <c r="U1987" t="s">
        <v>266</v>
      </c>
      <c r="V1987">
        <v>186</v>
      </c>
      <c r="W1987" t="s">
        <v>7363</v>
      </c>
      <c r="X1987" t="s">
        <v>7367</v>
      </c>
      <c r="Z1987" t="s">
        <v>8148</v>
      </c>
      <c r="AB1987" t="s">
        <v>11634</v>
      </c>
      <c r="AC1987">
        <v>21</v>
      </c>
      <c r="AD1987" t="s">
        <v>12420</v>
      </c>
      <c r="AE1987" t="s">
        <v>12434</v>
      </c>
      <c r="AF1987">
        <v>20</v>
      </c>
      <c r="AG1987">
        <v>1</v>
      </c>
      <c r="AH1987">
        <v>0</v>
      </c>
      <c r="AI1987">
        <v>128.5</v>
      </c>
      <c r="AL1987" t="s">
        <v>12460</v>
      </c>
      <c r="AM1987">
        <v>15600</v>
      </c>
      <c r="AS1987">
        <v>0.6</v>
      </c>
      <c r="AT1987" t="s">
        <v>266</v>
      </c>
      <c r="AU1987" t="s">
        <v>104</v>
      </c>
    </row>
    <row r="1988" spans="1:47">
      <c r="A1988" s="1">
        <f>HYPERLINK("https://cms.ls-nyc.org/matter/dynamic-profile/view/1874717","18-1874717")</f>
        <v>0</v>
      </c>
      <c r="B1988" t="s">
        <v>105</v>
      </c>
      <c r="C1988" t="s">
        <v>378</v>
      </c>
      <c r="D1988" t="s">
        <v>346</v>
      </c>
      <c r="E1988" t="s">
        <v>1584</v>
      </c>
      <c r="F1988" t="s">
        <v>2408</v>
      </c>
      <c r="G1988" t="s">
        <v>4826</v>
      </c>
      <c r="H1988" t="s">
        <v>5450</v>
      </c>
      <c r="I1988" t="s">
        <v>6047</v>
      </c>
      <c r="J1988">
        <v>10457</v>
      </c>
      <c r="K1988" t="s">
        <v>6074</v>
      </c>
      <c r="L1988" t="s">
        <v>6074</v>
      </c>
      <c r="N1988" t="s">
        <v>6104</v>
      </c>
      <c r="O1988" t="s">
        <v>7306</v>
      </c>
      <c r="P1988" t="s">
        <v>7314</v>
      </c>
      <c r="Q1988" t="s">
        <v>7322</v>
      </c>
      <c r="R1988" t="s">
        <v>6076</v>
      </c>
      <c r="S1988" t="s">
        <v>7324</v>
      </c>
      <c r="U1988" t="s">
        <v>355</v>
      </c>
      <c r="V1988">
        <v>1200</v>
      </c>
      <c r="W1988" t="s">
        <v>7363</v>
      </c>
      <c r="X1988" t="s">
        <v>7376</v>
      </c>
      <c r="Y1988" t="s">
        <v>7386</v>
      </c>
      <c r="Z1988" t="s">
        <v>8929</v>
      </c>
      <c r="AC1988">
        <v>108</v>
      </c>
      <c r="AD1988" t="s">
        <v>12420</v>
      </c>
      <c r="AF1988">
        <v>39</v>
      </c>
      <c r="AG1988">
        <v>1</v>
      </c>
      <c r="AH1988">
        <v>0</v>
      </c>
      <c r="AI1988">
        <v>128.5</v>
      </c>
      <c r="AL1988" t="s">
        <v>12460</v>
      </c>
      <c r="AM1988">
        <v>15600</v>
      </c>
      <c r="AS1988">
        <v>0.2</v>
      </c>
      <c r="AT1988" t="s">
        <v>346</v>
      </c>
      <c r="AU1988" t="s">
        <v>204</v>
      </c>
    </row>
    <row r="1989" spans="1:47">
      <c r="A1989" s="1">
        <f>HYPERLINK("https://cms.ls-nyc.org/matter/dynamic-profile/view/1874719","18-1874719")</f>
        <v>0</v>
      </c>
      <c r="B1989" t="s">
        <v>158</v>
      </c>
      <c r="C1989" t="s">
        <v>378</v>
      </c>
      <c r="D1989" t="s">
        <v>462</v>
      </c>
      <c r="E1989" t="s">
        <v>1585</v>
      </c>
      <c r="F1989" t="s">
        <v>2198</v>
      </c>
      <c r="G1989" t="s">
        <v>4827</v>
      </c>
      <c r="H1989" t="s">
        <v>5438</v>
      </c>
      <c r="I1989" t="s">
        <v>6047</v>
      </c>
      <c r="J1989">
        <v>10457</v>
      </c>
      <c r="K1989" t="s">
        <v>6074</v>
      </c>
      <c r="L1989" t="s">
        <v>6074</v>
      </c>
      <c r="M1989" t="s">
        <v>6110</v>
      </c>
      <c r="N1989" t="s">
        <v>6104</v>
      </c>
      <c r="O1989" t="s">
        <v>7306</v>
      </c>
      <c r="P1989" t="s">
        <v>7314</v>
      </c>
      <c r="Q1989" t="s">
        <v>7322</v>
      </c>
      <c r="R1989" t="s">
        <v>6076</v>
      </c>
      <c r="S1989" t="s">
        <v>7324</v>
      </c>
      <c r="U1989" t="s">
        <v>378</v>
      </c>
      <c r="V1989">
        <v>679.25</v>
      </c>
      <c r="W1989" t="s">
        <v>7363</v>
      </c>
      <c r="X1989" t="s">
        <v>7367</v>
      </c>
      <c r="Y1989" t="s">
        <v>7386</v>
      </c>
      <c r="Z1989" t="s">
        <v>8930</v>
      </c>
      <c r="AB1989" t="s">
        <v>11635</v>
      </c>
      <c r="AC1989">
        <v>25</v>
      </c>
      <c r="AD1989" t="s">
        <v>12422</v>
      </c>
      <c r="AE1989" t="s">
        <v>12441</v>
      </c>
      <c r="AF1989">
        <v>47</v>
      </c>
      <c r="AG1989">
        <v>1</v>
      </c>
      <c r="AH1989">
        <v>0</v>
      </c>
      <c r="AI1989">
        <v>128.5</v>
      </c>
      <c r="AL1989" t="s">
        <v>12460</v>
      </c>
      <c r="AM1989">
        <v>15600</v>
      </c>
      <c r="AS1989">
        <v>0.7</v>
      </c>
      <c r="AT1989" t="s">
        <v>378</v>
      </c>
      <c r="AU1989" t="s">
        <v>158</v>
      </c>
    </row>
    <row r="1990" spans="1:47">
      <c r="A1990" s="1">
        <f>HYPERLINK("https://cms.ls-nyc.org/matter/dynamic-profile/view/1890504","19-1890504")</f>
        <v>0</v>
      </c>
      <c r="B1990" t="s">
        <v>112</v>
      </c>
      <c r="C1990" t="s">
        <v>250</v>
      </c>
      <c r="E1990" t="s">
        <v>1586</v>
      </c>
      <c r="F1990" t="s">
        <v>2329</v>
      </c>
      <c r="G1990" t="s">
        <v>3793</v>
      </c>
      <c r="H1990" t="s">
        <v>5455</v>
      </c>
      <c r="I1990" t="s">
        <v>6047</v>
      </c>
      <c r="J1990">
        <v>10453</v>
      </c>
      <c r="K1990" t="s">
        <v>6074</v>
      </c>
      <c r="L1990" t="s">
        <v>6074</v>
      </c>
      <c r="N1990" t="s">
        <v>7279</v>
      </c>
      <c r="O1990" t="s">
        <v>7311</v>
      </c>
      <c r="Q1990" t="s">
        <v>7322</v>
      </c>
      <c r="R1990" t="s">
        <v>6074</v>
      </c>
      <c r="S1990" t="s">
        <v>7324</v>
      </c>
      <c r="U1990" t="s">
        <v>457</v>
      </c>
      <c r="V1990">
        <v>1100</v>
      </c>
      <c r="W1990" t="s">
        <v>7363</v>
      </c>
      <c r="X1990" t="s">
        <v>7376</v>
      </c>
      <c r="Z1990" t="s">
        <v>8931</v>
      </c>
      <c r="AB1990" t="s">
        <v>11636</v>
      </c>
      <c r="AC1990">
        <v>44</v>
      </c>
      <c r="AD1990" t="s">
        <v>12422</v>
      </c>
      <c r="AE1990" t="s">
        <v>6110</v>
      </c>
      <c r="AF1990">
        <v>1</v>
      </c>
      <c r="AG1990">
        <v>1</v>
      </c>
      <c r="AH1990">
        <v>0</v>
      </c>
      <c r="AI1990">
        <v>128.5</v>
      </c>
      <c r="AL1990" t="s">
        <v>12460</v>
      </c>
      <c r="AM1990">
        <v>15600</v>
      </c>
      <c r="AS1990">
        <v>0</v>
      </c>
      <c r="AU1990" t="s">
        <v>13095</v>
      </c>
    </row>
    <row r="1991" spans="1:47">
      <c r="A1991" s="1">
        <f>HYPERLINK("https://cms.ls-nyc.org/matter/dynamic-profile/view/1890503","19-1890503")</f>
        <v>0</v>
      </c>
      <c r="B1991" t="s">
        <v>112</v>
      </c>
      <c r="C1991" t="s">
        <v>250</v>
      </c>
      <c r="E1991" t="s">
        <v>1586</v>
      </c>
      <c r="F1991" t="s">
        <v>2329</v>
      </c>
      <c r="G1991" t="s">
        <v>3793</v>
      </c>
      <c r="H1991" t="s">
        <v>5455</v>
      </c>
      <c r="I1991" t="s">
        <v>6047</v>
      </c>
      <c r="J1991">
        <v>10453</v>
      </c>
      <c r="K1991" t="s">
        <v>6074</v>
      </c>
      <c r="L1991" t="s">
        <v>6074</v>
      </c>
      <c r="M1991" t="s">
        <v>6194</v>
      </c>
      <c r="N1991" t="s">
        <v>7273</v>
      </c>
      <c r="O1991" t="s">
        <v>7308</v>
      </c>
      <c r="Q1991" t="s">
        <v>7322</v>
      </c>
      <c r="R1991" t="s">
        <v>6074</v>
      </c>
      <c r="S1991" t="s">
        <v>7324</v>
      </c>
      <c r="U1991" t="s">
        <v>457</v>
      </c>
      <c r="V1991">
        <v>1100</v>
      </c>
      <c r="W1991" t="s">
        <v>7363</v>
      </c>
      <c r="X1991" t="s">
        <v>7376</v>
      </c>
      <c r="Z1991" t="s">
        <v>8931</v>
      </c>
      <c r="AB1991" t="s">
        <v>11636</v>
      </c>
      <c r="AC1991">
        <v>44</v>
      </c>
      <c r="AD1991" t="s">
        <v>12422</v>
      </c>
      <c r="AE1991" t="s">
        <v>6110</v>
      </c>
      <c r="AF1991">
        <v>1</v>
      </c>
      <c r="AG1991">
        <v>1</v>
      </c>
      <c r="AH1991">
        <v>0</v>
      </c>
      <c r="AI1991">
        <v>128.5</v>
      </c>
      <c r="AL1991" t="s">
        <v>12460</v>
      </c>
      <c r="AM1991">
        <v>15600</v>
      </c>
      <c r="AS1991">
        <v>0</v>
      </c>
      <c r="AU1991" t="s">
        <v>13095</v>
      </c>
    </row>
    <row r="1992" spans="1:47">
      <c r="A1992" s="1">
        <f>HYPERLINK("https://cms.ls-nyc.org/matter/dynamic-profile/view/1871925","18-1871925")</f>
        <v>0</v>
      </c>
      <c r="B1992" t="s">
        <v>107</v>
      </c>
      <c r="C1992" t="s">
        <v>388</v>
      </c>
      <c r="E1992" t="s">
        <v>649</v>
      </c>
      <c r="F1992" t="s">
        <v>3049</v>
      </c>
      <c r="G1992" t="s">
        <v>4828</v>
      </c>
      <c r="H1992" t="s">
        <v>5491</v>
      </c>
      <c r="I1992" t="s">
        <v>6047</v>
      </c>
      <c r="J1992">
        <v>10453</v>
      </c>
      <c r="K1992" t="s">
        <v>6074</v>
      </c>
      <c r="L1992" t="s">
        <v>6074</v>
      </c>
      <c r="M1992" t="s">
        <v>6911</v>
      </c>
      <c r="N1992" t="s">
        <v>7276</v>
      </c>
      <c r="O1992" t="s">
        <v>7308</v>
      </c>
      <c r="Q1992" t="s">
        <v>7322</v>
      </c>
      <c r="R1992" t="s">
        <v>6076</v>
      </c>
      <c r="S1992" t="s">
        <v>7324</v>
      </c>
      <c r="T1992" t="s">
        <v>7340</v>
      </c>
      <c r="U1992" t="s">
        <v>404</v>
      </c>
      <c r="V1992">
        <v>1285</v>
      </c>
      <c r="W1992" t="s">
        <v>7363</v>
      </c>
      <c r="X1992" t="s">
        <v>7383</v>
      </c>
      <c r="Z1992" t="s">
        <v>8932</v>
      </c>
      <c r="AB1992" t="s">
        <v>11637</v>
      </c>
      <c r="AC1992">
        <v>48</v>
      </c>
      <c r="AD1992" t="s">
        <v>12422</v>
      </c>
      <c r="AE1992" t="s">
        <v>6110</v>
      </c>
      <c r="AF1992">
        <v>8</v>
      </c>
      <c r="AG1992">
        <v>1</v>
      </c>
      <c r="AH1992">
        <v>0</v>
      </c>
      <c r="AI1992">
        <v>128.5</v>
      </c>
      <c r="AL1992" t="s">
        <v>12461</v>
      </c>
      <c r="AM1992">
        <v>15600</v>
      </c>
      <c r="AS1992">
        <v>16.35</v>
      </c>
      <c r="AT1992" t="s">
        <v>465</v>
      </c>
      <c r="AU1992" t="s">
        <v>13117</v>
      </c>
    </row>
    <row r="1993" spans="1:47">
      <c r="A1993" s="1">
        <f>HYPERLINK("https://cms.ls-nyc.org/matter/dynamic-profile/view/1882478","18-1882478")</f>
        <v>0</v>
      </c>
      <c r="B1993" t="s">
        <v>120</v>
      </c>
      <c r="C1993" t="s">
        <v>283</v>
      </c>
      <c r="D1993" t="s">
        <v>275</v>
      </c>
      <c r="E1993" t="s">
        <v>1587</v>
      </c>
      <c r="F1993" t="s">
        <v>3088</v>
      </c>
      <c r="G1993" t="s">
        <v>4829</v>
      </c>
      <c r="H1993" t="s">
        <v>5799</v>
      </c>
      <c r="I1993" t="s">
        <v>6048</v>
      </c>
      <c r="J1993">
        <v>10302</v>
      </c>
      <c r="K1993" t="s">
        <v>6074</v>
      </c>
      <c r="L1993" t="s">
        <v>6074</v>
      </c>
      <c r="O1993" t="s">
        <v>7313</v>
      </c>
      <c r="P1993" t="s">
        <v>7316</v>
      </c>
      <c r="Q1993" t="s">
        <v>7323</v>
      </c>
      <c r="R1993" t="s">
        <v>6076</v>
      </c>
      <c r="S1993" t="s">
        <v>7324</v>
      </c>
      <c r="U1993" t="s">
        <v>283</v>
      </c>
      <c r="V1993">
        <v>0</v>
      </c>
      <c r="W1993" t="s">
        <v>7364</v>
      </c>
      <c r="X1993" t="s">
        <v>7369</v>
      </c>
      <c r="Y1993" t="s">
        <v>7388</v>
      </c>
      <c r="Z1993" t="s">
        <v>8933</v>
      </c>
      <c r="AB1993" t="s">
        <v>11638</v>
      </c>
      <c r="AC1993">
        <v>0</v>
      </c>
      <c r="AF1993">
        <v>0</v>
      </c>
      <c r="AG1993">
        <v>1</v>
      </c>
      <c r="AH1993">
        <v>0</v>
      </c>
      <c r="AI1993">
        <v>128.5</v>
      </c>
      <c r="AM1993">
        <v>15600</v>
      </c>
      <c r="AS1993">
        <v>13.7</v>
      </c>
      <c r="AT1993" t="s">
        <v>456</v>
      </c>
      <c r="AU1993" t="s">
        <v>123</v>
      </c>
    </row>
    <row r="1994" spans="1:47">
      <c r="A1994" s="1">
        <f>HYPERLINK("https://cms.ls-nyc.org/matter/dynamic-profile/view/1870112","18-1870112")</f>
        <v>0</v>
      </c>
      <c r="B1994" t="s">
        <v>125</v>
      </c>
      <c r="C1994" t="s">
        <v>450</v>
      </c>
      <c r="E1994" t="s">
        <v>1588</v>
      </c>
      <c r="F1994" t="s">
        <v>2342</v>
      </c>
      <c r="G1994" t="s">
        <v>4830</v>
      </c>
      <c r="H1994">
        <v>54</v>
      </c>
      <c r="I1994" t="s">
        <v>6049</v>
      </c>
      <c r="J1994">
        <v>10034</v>
      </c>
      <c r="K1994" t="s">
        <v>6074</v>
      </c>
      <c r="L1994" t="s">
        <v>6075</v>
      </c>
      <c r="M1994" t="s">
        <v>6912</v>
      </c>
      <c r="N1994" t="s">
        <v>7273</v>
      </c>
      <c r="O1994" t="s">
        <v>7308</v>
      </c>
      <c r="Q1994" t="s">
        <v>7322</v>
      </c>
      <c r="R1994" t="s">
        <v>6076</v>
      </c>
      <c r="S1994" t="s">
        <v>7324</v>
      </c>
      <c r="U1994" t="s">
        <v>502</v>
      </c>
      <c r="V1994">
        <v>819.0700000000001</v>
      </c>
      <c r="W1994" t="s">
        <v>7365</v>
      </c>
      <c r="X1994" t="s">
        <v>7368</v>
      </c>
      <c r="Z1994" t="s">
        <v>8934</v>
      </c>
      <c r="AB1994" t="s">
        <v>11639</v>
      </c>
      <c r="AC1994">
        <v>53</v>
      </c>
      <c r="AD1994" t="s">
        <v>12422</v>
      </c>
      <c r="AE1994" t="s">
        <v>6110</v>
      </c>
      <c r="AF1994">
        <v>0</v>
      </c>
      <c r="AG1994">
        <v>1</v>
      </c>
      <c r="AH1994">
        <v>0</v>
      </c>
      <c r="AI1994">
        <v>128.5</v>
      </c>
      <c r="AL1994" t="s">
        <v>12460</v>
      </c>
      <c r="AM1994">
        <v>15600</v>
      </c>
      <c r="AS1994">
        <v>24.4</v>
      </c>
      <c r="AT1994" t="s">
        <v>324</v>
      </c>
      <c r="AU1994" t="s">
        <v>13106</v>
      </c>
    </row>
    <row r="1995" spans="1:47">
      <c r="A1995" s="1">
        <f>HYPERLINK("https://cms.ls-nyc.org/matter/dynamic-profile/view/1873098","18-1873098")</f>
        <v>0</v>
      </c>
      <c r="B1995" t="s">
        <v>139</v>
      </c>
      <c r="C1995" t="s">
        <v>289</v>
      </c>
      <c r="D1995" t="s">
        <v>290</v>
      </c>
      <c r="E1995" t="s">
        <v>762</v>
      </c>
      <c r="F1995" t="s">
        <v>2233</v>
      </c>
      <c r="G1995" t="s">
        <v>3839</v>
      </c>
      <c r="H1995" t="s">
        <v>5350</v>
      </c>
      <c r="I1995" t="s">
        <v>6049</v>
      </c>
      <c r="J1995">
        <v>10034</v>
      </c>
      <c r="K1995" t="s">
        <v>6074</v>
      </c>
      <c r="L1995" t="s">
        <v>6074</v>
      </c>
      <c r="M1995" t="s">
        <v>6913</v>
      </c>
      <c r="N1995" t="s">
        <v>7276</v>
      </c>
      <c r="O1995" t="s">
        <v>7306</v>
      </c>
      <c r="P1995" t="s">
        <v>7314</v>
      </c>
      <c r="Q1995" t="s">
        <v>7322</v>
      </c>
      <c r="R1995" t="s">
        <v>6076</v>
      </c>
      <c r="S1995" t="s">
        <v>7324</v>
      </c>
      <c r="U1995" t="s">
        <v>402</v>
      </c>
      <c r="V1995">
        <v>1320</v>
      </c>
      <c r="W1995" t="s">
        <v>7365</v>
      </c>
      <c r="X1995" t="s">
        <v>7367</v>
      </c>
      <c r="Y1995" t="s">
        <v>7386</v>
      </c>
      <c r="Z1995" t="s">
        <v>7614</v>
      </c>
      <c r="AB1995" t="s">
        <v>10450</v>
      </c>
      <c r="AC1995">
        <v>200</v>
      </c>
      <c r="AD1995" t="s">
        <v>12422</v>
      </c>
      <c r="AE1995" t="s">
        <v>6110</v>
      </c>
      <c r="AF1995">
        <v>20</v>
      </c>
      <c r="AG1995">
        <v>1</v>
      </c>
      <c r="AH1995">
        <v>0</v>
      </c>
      <c r="AI1995">
        <v>128.5</v>
      </c>
      <c r="AL1995" t="s">
        <v>12460</v>
      </c>
      <c r="AM1995">
        <v>15600</v>
      </c>
      <c r="AS1995">
        <v>2.5</v>
      </c>
      <c r="AT1995" t="s">
        <v>243</v>
      </c>
      <c r="AU1995" t="s">
        <v>13104</v>
      </c>
    </row>
    <row r="1996" spans="1:47">
      <c r="A1996" s="1">
        <f>HYPERLINK("https://cms.ls-nyc.org/matter/dynamic-profile/view/1863643","18-1863643")</f>
        <v>0</v>
      </c>
      <c r="B1996" t="s">
        <v>69</v>
      </c>
      <c r="C1996" t="s">
        <v>518</v>
      </c>
      <c r="E1996" t="s">
        <v>1173</v>
      </c>
      <c r="F1996" t="s">
        <v>3089</v>
      </c>
      <c r="G1996" t="s">
        <v>4831</v>
      </c>
      <c r="H1996" t="s">
        <v>5800</v>
      </c>
      <c r="I1996" t="s">
        <v>6043</v>
      </c>
      <c r="J1996">
        <v>11225</v>
      </c>
      <c r="K1996" t="s">
        <v>6074</v>
      </c>
      <c r="L1996" t="s">
        <v>6074</v>
      </c>
      <c r="N1996" t="s">
        <v>7278</v>
      </c>
      <c r="O1996" t="s">
        <v>7309</v>
      </c>
      <c r="Q1996" t="s">
        <v>7322</v>
      </c>
      <c r="S1996" t="s">
        <v>7324</v>
      </c>
      <c r="U1996" t="s">
        <v>231</v>
      </c>
      <c r="V1996">
        <v>1151.62</v>
      </c>
      <c r="W1996" t="s">
        <v>7362</v>
      </c>
      <c r="X1996" t="s">
        <v>7376</v>
      </c>
      <c r="Z1996" t="s">
        <v>8935</v>
      </c>
      <c r="AB1996" t="s">
        <v>11640</v>
      </c>
      <c r="AC1996">
        <v>21</v>
      </c>
      <c r="AD1996" t="s">
        <v>12425</v>
      </c>
      <c r="AE1996" t="s">
        <v>6110</v>
      </c>
      <c r="AF1996">
        <v>33</v>
      </c>
      <c r="AG1996">
        <v>3</v>
      </c>
      <c r="AH1996">
        <v>0</v>
      </c>
      <c r="AI1996">
        <v>129.07</v>
      </c>
      <c r="AL1996" t="s">
        <v>12460</v>
      </c>
      <c r="AM1996">
        <v>26820</v>
      </c>
      <c r="AS1996">
        <v>1.7</v>
      </c>
      <c r="AT1996" t="s">
        <v>384</v>
      </c>
      <c r="AU1996" t="s">
        <v>13087</v>
      </c>
    </row>
    <row r="1997" spans="1:47">
      <c r="A1997" s="1">
        <f>HYPERLINK("https://cms.ls-nyc.org/matter/dynamic-profile/view/1878012","18-1878012")</f>
        <v>0</v>
      </c>
      <c r="B1997" t="s">
        <v>208</v>
      </c>
      <c r="C1997" t="s">
        <v>244</v>
      </c>
      <c r="D1997" t="s">
        <v>317</v>
      </c>
      <c r="E1997" t="s">
        <v>586</v>
      </c>
      <c r="F1997" t="s">
        <v>1977</v>
      </c>
      <c r="G1997" t="s">
        <v>4832</v>
      </c>
      <c r="H1997" t="s">
        <v>5387</v>
      </c>
      <c r="I1997" t="s">
        <v>6047</v>
      </c>
      <c r="J1997">
        <v>10468</v>
      </c>
      <c r="K1997" t="s">
        <v>6074</v>
      </c>
      <c r="L1997" t="s">
        <v>6074</v>
      </c>
      <c r="N1997" t="s">
        <v>7275</v>
      </c>
      <c r="O1997" t="s">
        <v>7309</v>
      </c>
      <c r="P1997" t="s">
        <v>7315</v>
      </c>
      <c r="Q1997" t="s">
        <v>7322</v>
      </c>
      <c r="R1997" t="s">
        <v>6076</v>
      </c>
      <c r="S1997" t="s">
        <v>7324</v>
      </c>
      <c r="U1997" t="s">
        <v>502</v>
      </c>
      <c r="V1997">
        <v>1495.76</v>
      </c>
      <c r="W1997" t="s">
        <v>7363</v>
      </c>
      <c r="X1997" t="s">
        <v>7305</v>
      </c>
      <c r="Y1997" t="s">
        <v>7390</v>
      </c>
      <c r="Z1997" t="s">
        <v>8936</v>
      </c>
      <c r="AB1997" t="s">
        <v>11641</v>
      </c>
      <c r="AC1997">
        <v>61</v>
      </c>
      <c r="AD1997" t="s">
        <v>12422</v>
      </c>
      <c r="AE1997" t="s">
        <v>6110</v>
      </c>
      <c r="AF1997">
        <v>11</v>
      </c>
      <c r="AG1997">
        <v>3</v>
      </c>
      <c r="AH1997">
        <v>1</v>
      </c>
      <c r="AI1997">
        <v>129.08</v>
      </c>
      <c r="AL1997" t="s">
        <v>12461</v>
      </c>
      <c r="AM1997">
        <v>32400</v>
      </c>
      <c r="AS1997">
        <v>2.3</v>
      </c>
      <c r="AT1997" t="s">
        <v>317</v>
      </c>
      <c r="AU1997" t="s">
        <v>13118</v>
      </c>
    </row>
    <row r="1998" spans="1:47">
      <c r="A1998" s="1">
        <f>HYPERLINK("https://cms.ls-nyc.org/matter/dynamic-profile/view/1889314","19-1889314")</f>
        <v>0</v>
      </c>
      <c r="B1998" t="s">
        <v>120</v>
      </c>
      <c r="C1998" t="s">
        <v>448</v>
      </c>
      <c r="E1998" t="s">
        <v>1589</v>
      </c>
      <c r="F1998" t="s">
        <v>3090</v>
      </c>
      <c r="G1998" t="s">
        <v>4126</v>
      </c>
      <c r="H1998" t="s">
        <v>5506</v>
      </c>
      <c r="I1998" t="s">
        <v>6048</v>
      </c>
      <c r="J1998">
        <v>10304</v>
      </c>
      <c r="K1998" t="s">
        <v>6074</v>
      </c>
      <c r="L1998" t="s">
        <v>6074</v>
      </c>
      <c r="M1998" t="s">
        <v>6914</v>
      </c>
      <c r="N1998" t="s">
        <v>7274</v>
      </c>
      <c r="O1998" t="s">
        <v>7308</v>
      </c>
      <c r="Q1998" t="s">
        <v>7322</v>
      </c>
      <c r="R1998" t="s">
        <v>6076</v>
      </c>
      <c r="S1998" t="s">
        <v>7331</v>
      </c>
      <c r="T1998" t="s">
        <v>7336</v>
      </c>
      <c r="U1998" t="s">
        <v>448</v>
      </c>
      <c r="V1998">
        <v>480</v>
      </c>
      <c r="W1998" t="s">
        <v>7364</v>
      </c>
      <c r="X1998" t="s">
        <v>7305</v>
      </c>
      <c r="Z1998" t="s">
        <v>8937</v>
      </c>
      <c r="AB1998" t="s">
        <v>11642</v>
      </c>
      <c r="AC1998">
        <v>0</v>
      </c>
      <c r="AD1998" t="s">
        <v>12421</v>
      </c>
      <c r="AF1998">
        <v>2</v>
      </c>
      <c r="AG1998">
        <v>1</v>
      </c>
      <c r="AH1998">
        <v>3</v>
      </c>
      <c r="AI1998">
        <v>129.24</v>
      </c>
      <c r="AM1998">
        <v>33279.96</v>
      </c>
      <c r="AS1998">
        <v>9.4</v>
      </c>
      <c r="AT1998" t="s">
        <v>316</v>
      </c>
      <c r="AU1998" t="s">
        <v>123</v>
      </c>
    </row>
    <row r="1999" spans="1:47">
      <c r="A1999" s="1">
        <f>HYPERLINK("https://cms.ls-nyc.org/matter/dynamic-profile/view/1895840","19-1895840")</f>
        <v>0</v>
      </c>
      <c r="B1999" t="s">
        <v>54</v>
      </c>
      <c r="C1999" t="s">
        <v>315</v>
      </c>
      <c r="E1999" t="s">
        <v>1590</v>
      </c>
      <c r="F1999" t="s">
        <v>1778</v>
      </c>
      <c r="G1999" t="s">
        <v>3900</v>
      </c>
      <c r="H1999" t="s">
        <v>5801</v>
      </c>
      <c r="I1999" t="s">
        <v>6025</v>
      </c>
      <c r="J1999">
        <v>11691</v>
      </c>
      <c r="K1999" t="s">
        <v>6074</v>
      </c>
      <c r="L1999" t="s">
        <v>6074</v>
      </c>
      <c r="N1999" t="s">
        <v>7279</v>
      </c>
      <c r="O1999" t="s">
        <v>7311</v>
      </c>
      <c r="Q1999" t="s">
        <v>7322</v>
      </c>
      <c r="R1999" t="s">
        <v>6074</v>
      </c>
      <c r="S1999" t="s">
        <v>7324</v>
      </c>
      <c r="U1999" t="s">
        <v>315</v>
      </c>
      <c r="V1999">
        <v>637</v>
      </c>
      <c r="W1999" t="s">
        <v>7361</v>
      </c>
      <c r="X1999" t="s">
        <v>7366</v>
      </c>
      <c r="Z1999" t="s">
        <v>8938</v>
      </c>
      <c r="AB1999" t="s">
        <v>11643</v>
      </c>
      <c r="AC1999">
        <v>43</v>
      </c>
      <c r="AF1999">
        <v>30</v>
      </c>
      <c r="AG1999">
        <v>5</v>
      </c>
      <c r="AH1999">
        <v>0</v>
      </c>
      <c r="AI1999">
        <v>129.27</v>
      </c>
      <c r="AL1999" t="s">
        <v>12460</v>
      </c>
      <c r="AM1999">
        <v>39000</v>
      </c>
      <c r="AS1999">
        <v>0</v>
      </c>
      <c r="AU1999" t="s">
        <v>13078</v>
      </c>
    </row>
    <row r="2000" spans="1:47">
      <c r="A2000" s="1">
        <f>HYPERLINK("https://cms.ls-nyc.org/matter/dynamic-profile/view/1895844","19-1895844")</f>
        <v>0</v>
      </c>
      <c r="B2000" t="s">
        <v>54</v>
      </c>
      <c r="C2000" t="s">
        <v>315</v>
      </c>
      <c r="E2000" t="s">
        <v>1590</v>
      </c>
      <c r="F2000" t="s">
        <v>1778</v>
      </c>
      <c r="G2000" t="s">
        <v>3900</v>
      </c>
      <c r="H2000" t="s">
        <v>5801</v>
      </c>
      <c r="I2000" t="s">
        <v>6025</v>
      </c>
      <c r="J2000">
        <v>11691</v>
      </c>
      <c r="K2000" t="s">
        <v>6074</v>
      </c>
      <c r="L2000" t="s">
        <v>6074</v>
      </c>
      <c r="N2000" t="s">
        <v>7278</v>
      </c>
      <c r="O2000" t="s">
        <v>7307</v>
      </c>
      <c r="Q2000" t="s">
        <v>7322</v>
      </c>
      <c r="R2000" t="s">
        <v>6074</v>
      </c>
      <c r="S2000" t="s">
        <v>7324</v>
      </c>
      <c r="U2000" t="s">
        <v>315</v>
      </c>
      <c r="V2000">
        <v>637</v>
      </c>
      <c r="W2000" t="s">
        <v>7361</v>
      </c>
      <c r="Z2000" t="s">
        <v>8938</v>
      </c>
      <c r="AB2000" t="s">
        <v>11643</v>
      </c>
      <c r="AC2000">
        <v>43</v>
      </c>
      <c r="AF2000">
        <v>30</v>
      </c>
      <c r="AG2000">
        <v>5</v>
      </c>
      <c r="AH2000">
        <v>0</v>
      </c>
      <c r="AI2000">
        <v>129.27</v>
      </c>
      <c r="AL2000" t="s">
        <v>12460</v>
      </c>
      <c r="AM2000">
        <v>39000</v>
      </c>
      <c r="AS2000">
        <v>0</v>
      </c>
      <c r="AU2000" t="s">
        <v>13078</v>
      </c>
    </row>
    <row r="2001" spans="1:47">
      <c r="A2001" s="1">
        <f>HYPERLINK("https://cms.ls-nyc.org/matter/dynamic-profile/view/1891865","19-1891865")</f>
        <v>0</v>
      </c>
      <c r="B2001" t="s">
        <v>72</v>
      </c>
      <c r="C2001" t="s">
        <v>318</v>
      </c>
      <c r="E2001" t="s">
        <v>1029</v>
      </c>
      <c r="F2001" t="s">
        <v>2482</v>
      </c>
      <c r="G2001" t="s">
        <v>3700</v>
      </c>
      <c r="H2001" t="s">
        <v>5569</v>
      </c>
      <c r="I2001" t="s">
        <v>6043</v>
      </c>
      <c r="J2001">
        <v>11233</v>
      </c>
      <c r="K2001" t="s">
        <v>6074</v>
      </c>
      <c r="L2001" t="s">
        <v>6076</v>
      </c>
      <c r="M2001" t="s">
        <v>6110</v>
      </c>
      <c r="N2001" t="s">
        <v>7275</v>
      </c>
      <c r="O2001" t="s">
        <v>7307</v>
      </c>
      <c r="Q2001" t="s">
        <v>7322</v>
      </c>
      <c r="R2001" t="s">
        <v>6074</v>
      </c>
      <c r="S2001" t="s">
        <v>7324</v>
      </c>
      <c r="T2001" t="s">
        <v>7336</v>
      </c>
      <c r="U2001" t="s">
        <v>287</v>
      </c>
      <c r="V2001">
        <v>915</v>
      </c>
      <c r="W2001" t="s">
        <v>7362</v>
      </c>
      <c r="Z2001" t="s">
        <v>7954</v>
      </c>
      <c r="AC2001">
        <v>359</v>
      </c>
      <c r="AD2001" t="s">
        <v>12422</v>
      </c>
      <c r="AE2001" t="s">
        <v>6110</v>
      </c>
      <c r="AF2001">
        <v>6</v>
      </c>
      <c r="AG2001">
        <v>2</v>
      </c>
      <c r="AH2001">
        <v>2</v>
      </c>
      <c r="AI2001">
        <v>129.51</v>
      </c>
      <c r="AL2001" t="s">
        <v>12460</v>
      </c>
      <c r="AM2001">
        <v>33348</v>
      </c>
      <c r="AN2001" t="s">
        <v>12656</v>
      </c>
      <c r="AS2001">
        <v>0</v>
      </c>
      <c r="AU2001" t="s">
        <v>218</v>
      </c>
    </row>
    <row r="2002" spans="1:47">
      <c r="A2002" s="1">
        <f>HYPERLINK("https://cms.ls-nyc.org/matter/dynamic-profile/view/1895977","19-1895977")</f>
        <v>0</v>
      </c>
      <c r="B2002" t="s">
        <v>116</v>
      </c>
      <c r="C2002" t="s">
        <v>270</v>
      </c>
      <c r="D2002" t="s">
        <v>343</v>
      </c>
      <c r="E2002" t="s">
        <v>896</v>
      </c>
      <c r="F2002" t="s">
        <v>1480</v>
      </c>
      <c r="G2002" t="s">
        <v>4833</v>
      </c>
      <c r="H2002" t="s">
        <v>5538</v>
      </c>
      <c r="I2002" t="s">
        <v>6047</v>
      </c>
      <c r="J2002">
        <v>10468</v>
      </c>
      <c r="K2002" t="s">
        <v>6074</v>
      </c>
      <c r="L2002" t="s">
        <v>6074</v>
      </c>
      <c r="N2002" t="s">
        <v>6104</v>
      </c>
      <c r="O2002" t="s">
        <v>7306</v>
      </c>
      <c r="P2002" t="s">
        <v>7314</v>
      </c>
      <c r="Q2002" t="s">
        <v>7322</v>
      </c>
      <c r="R2002" t="s">
        <v>6076</v>
      </c>
      <c r="S2002" t="s">
        <v>7324</v>
      </c>
      <c r="U2002" t="s">
        <v>270</v>
      </c>
      <c r="V2002">
        <v>1029</v>
      </c>
      <c r="W2002" t="s">
        <v>7363</v>
      </c>
      <c r="X2002" t="s">
        <v>7376</v>
      </c>
      <c r="Y2002" t="s">
        <v>7386</v>
      </c>
      <c r="Z2002" t="s">
        <v>8939</v>
      </c>
      <c r="AB2002" t="s">
        <v>9856</v>
      </c>
      <c r="AC2002">
        <v>0</v>
      </c>
      <c r="AD2002" t="s">
        <v>12422</v>
      </c>
      <c r="AE2002" t="s">
        <v>6110</v>
      </c>
      <c r="AF2002">
        <v>40</v>
      </c>
      <c r="AG2002">
        <v>1</v>
      </c>
      <c r="AH2002">
        <v>0</v>
      </c>
      <c r="AI2002">
        <v>129.51</v>
      </c>
      <c r="AL2002" t="s">
        <v>12460</v>
      </c>
      <c r="AM2002">
        <v>16176</v>
      </c>
      <c r="AS2002">
        <v>1.25</v>
      </c>
      <c r="AT2002" t="s">
        <v>270</v>
      </c>
      <c r="AU2002" t="s">
        <v>116</v>
      </c>
    </row>
    <row r="2003" spans="1:47">
      <c r="A2003" s="1">
        <f>HYPERLINK("https://cms.ls-nyc.org/matter/dynamic-profile/view/1884673","18-1884673")</f>
        <v>0</v>
      </c>
      <c r="B2003" t="s">
        <v>83</v>
      </c>
      <c r="C2003" t="s">
        <v>413</v>
      </c>
      <c r="E2003" t="s">
        <v>643</v>
      </c>
      <c r="F2003" t="s">
        <v>2416</v>
      </c>
      <c r="G2003" t="s">
        <v>4834</v>
      </c>
      <c r="H2003" t="s">
        <v>5453</v>
      </c>
      <c r="I2003" t="s">
        <v>6043</v>
      </c>
      <c r="J2003">
        <v>11236</v>
      </c>
      <c r="K2003" t="s">
        <v>6074</v>
      </c>
      <c r="L2003" t="s">
        <v>6074</v>
      </c>
      <c r="M2003" t="s">
        <v>6915</v>
      </c>
      <c r="N2003" t="s">
        <v>7292</v>
      </c>
      <c r="O2003" t="s">
        <v>7311</v>
      </c>
      <c r="Q2003" t="s">
        <v>7322</v>
      </c>
      <c r="R2003" t="s">
        <v>6076</v>
      </c>
      <c r="S2003" t="s">
        <v>7324</v>
      </c>
      <c r="U2003" t="s">
        <v>413</v>
      </c>
      <c r="V2003">
        <v>1289.69</v>
      </c>
      <c r="W2003" t="s">
        <v>7362</v>
      </c>
      <c r="X2003" t="s">
        <v>7368</v>
      </c>
      <c r="Z2003" t="s">
        <v>8940</v>
      </c>
      <c r="AA2003" t="s">
        <v>10221</v>
      </c>
      <c r="AB2003" t="s">
        <v>11644</v>
      </c>
      <c r="AC2003">
        <v>37</v>
      </c>
      <c r="AD2003" t="s">
        <v>12422</v>
      </c>
      <c r="AE2003" t="s">
        <v>12434</v>
      </c>
      <c r="AF2003">
        <v>5</v>
      </c>
      <c r="AG2003">
        <v>1</v>
      </c>
      <c r="AH2003">
        <v>0</v>
      </c>
      <c r="AI2003">
        <v>129.93</v>
      </c>
      <c r="AL2003" t="s">
        <v>12460</v>
      </c>
      <c r="AM2003">
        <v>15774</v>
      </c>
      <c r="AS2003">
        <v>52.7</v>
      </c>
      <c r="AT2003" t="s">
        <v>382</v>
      </c>
      <c r="AU2003" t="s">
        <v>13084</v>
      </c>
    </row>
    <row r="2004" spans="1:47">
      <c r="A2004" s="1">
        <f>HYPERLINK("https://cms.ls-nyc.org/matter/dynamic-profile/view/1884677","18-1884677")</f>
        <v>0</v>
      </c>
      <c r="B2004" t="s">
        <v>83</v>
      </c>
      <c r="C2004" t="s">
        <v>413</v>
      </c>
      <c r="E2004" t="s">
        <v>643</v>
      </c>
      <c r="F2004" t="s">
        <v>2416</v>
      </c>
      <c r="G2004" t="s">
        <v>4834</v>
      </c>
      <c r="H2004" t="s">
        <v>5453</v>
      </c>
      <c r="I2004" t="s">
        <v>6043</v>
      </c>
      <c r="J2004">
        <v>11236</v>
      </c>
      <c r="K2004" t="s">
        <v>6074</v>
      </c>
      <c r="L2004" t="s">
        <v>6074</v>
      </c>
      <c r="N2004" t="s">
        <v>7288</v>
      </c>
      <c r="O2004" t="s">
        <v>7309</v>
      </c>
      <c r="Q2004" t="s">
        <v>7322</v>
      </c>
      <c r="R2004" t="s">
        <v>6076</v>
      </c>
      <c r="S2004" t="s">
        <v>7324</v>
      </c>
      <c r="U2004" t="s">
        <v>413</v>
      </c>
      <c r="V2004">
        <v>1289.69</v>
      </c>
      <c r="W2004" t="s">
        <v>7362</v>
      </c>
      <c r="X2004" t="s">
        <v>7368</v>
      </c>
      <c r="Z2004" t="s">
        <v>8940</v>
      </c>
      <c r="AA2004" t="s">
        <v>10221</v>
      </c>
      <c r="AB2004" t="s">
        <v>11644</v>
      </c>
      <c r="AC2004">
        <v>37</v>
      </c>
      <c r="AD2004" t="s">
        <v>12422</v>
      </c>
      <c r="AE2004" t="s">
        <v>12434</v>
      </c>
      <c r="AF2004">
        <v>5</v>
      </c>
      <c r="AG2004">
        <v>1</v>
      </c>
      <c r="AH2004">
        <v>0</v>
      </c>
      <c r="AI2004">
        <v>129.93</v>
      </c>
      <c r="AL2004" t="s">
        <v>12460</v>
      </c>
      <c r="AM2004">
        <v>15774</v>
      </c>
      <c r="AS2004">
        <v>17.1</v>
      </c>
      <c r="AT2004" t="s">
        <v>459</v>
      </c>
      <c r="AU2004" t="s">
        <v>13084</v>
      </c>
    </row>
    <row r="2005" spans="1:47">
      <c r="A2005" s="1">
        <f>HYPERLINK("https://cms.ls-nyc.org/matter/dynamic-profile/view/1897702","19-1897702")</f>
        <v>0</v>
      </c>
      <c r="B2005" t="s">
        <v>72</v>
      </c>
      <c r="C2005" t="s">
        <v>263</v>
      </c>
      <c r="E2005" t="s">
        <v>1591</v>
      </c>
      <c r="F2005" t="s">
        <v>3091</v>
      </c>
      <c r="G2005" t="s">
        <v>4324</v>
      </c>
      <c r="H2005" t="s">
        <v>5802</v>
      </c>
      <c r="I2005" t="s">
        <v>6043</v>
      </c>
      <c r="J2005">
        <v>11233</v>
      </c>
      <c r="K2005" t="s">
        <v>6074</v>
      </c>
      <c r="L2005" t="s">
        <v>6076</v>
      </c>
      <c r="N2005" t="s">
        <v>7279</v>
      </c>
      <c r="O2005" t="s">
        <v>7311</v>
      </c>
      <c r="Q2005" t="s">
        <v>7322</v>
      </c>
      <c r="R2005" t="s">
        <v>6074</v>
      </c>
      <c r="S2005" t="s">
        <v>7324</v>
      </c>
      <c r="T2005" t="s">
        <v>7336</v>
      </c>
      <c r="U2005" t="s">
        <v>330</v>
      </c>
      <c r="V2005">
        <v>1330</v>
      </c>
      <c r="W2005" t="s">
        <v>7362</v>
      </c>
      <c r="X2005" t="s">
        <v>7305</v>
      </c>
      <c r="Z2005" t="s">
        <v>8941</v>
      </c>
      <c r="AC2005">
        <v>359</v>
      </c>
      <c r="AD2005" t="s">
        <v>12422</v>
      </c>
      <c r="AF2005">
        <v>24</v>
      </c>
      <c r="AG2005">
        <v>4</v>
      </c>
      <c r="AH2005">
        <v>2</v>
      </c>
      <c r="AI2005">
        <v>130.1</v>
      </c>
      <c r="AL2005" t="s">
        <v>7305</v>
      </c>
      <c r="AM2005">
        <v>45000</v>
      </c>
      <c r="AN2005" t="s">
        <v>12488</v>
      </c>
      <c r="AS2005">
        <v>0</v>
      </c>
      <c r="AU2005" t="s">
        <v>180</v>
      </c>
    </row>
    <row r="2006" spans="1:47">
      <c r="A2006" s="1">
        <f>HYPERLINK("https://cms.ls-nyc.org/matter/dynamic-profile/view/1897704","19-1897704")</f>
        <v>0</v>
      </c>
      <c r="B2006" t="s">
        <v>72</v>
      </c>
      <c r="C2006" t="s">
        <v>263</v>
      </c>
      <c r="E2006" t="s">
        <v>1591</v>
      </c>
      <c r="F2006" t="s">
        <v>3091</v>
      </c>
      <c r="G2006" t="s">
        <v>4324</v>
      </c>
      <c r="H2006" t="s">
        <v>5802</v>
      </c>
      <c r="I2006" t="s">
        <v>6043</v>
      </c>
      <c r="J2006">
        <v>11233</v>
      </c>
      <c r="K2006" t="s">
        <v>6074</v>
      </c>
      <c r="L2006" t="s">
        <v>6076</v>
      </c>
      <c r="N2006" t="s">
        <v>7275</v>
      </c>
      <c r="O2006" t="s">
        <v>7307</v>
      </c>
      <c r="Q2006" t="s">
        <v>7322</v>
      </c>
      <c r="R2006" t="s">
        <v>6074</v>
      </c>
      <c r="S2006" t="s">
        <v>7324</v>
      </c>
      <c r="T2006" t="s">
        <v>7336</v>
      </c>
      <c r="U2006" t="s">
        <v>287</v>
      </c>
      <c r="V2006">
        <v>1330</v>
      </c>
      <c r="W2006" t="s">
        <v>7362</v>
      </c>
      <c r="X2006" t="s">
        <v>7305</v>
      </c>
      <c r="Z2006" t="s">
        <v>8941</v>
      </c>
      <c r="AC2006">
        <v>359</v>
      </c>
      <c r="AD2006" t="s">
        <v>12422</v>
      </c>
      <c r="AF2006">
        <v>24</v>
      </c>
      <c r="AG2006">
        <v>4</v>
      </c>
      <c r="AH2006">
        <v>2</v>
      </c>
      <c r="AI2006">
        <v>130.1</v>
      </c>
      <c r="AL2006" t="s">
        <v>7305</v>
      </c>
      <c r="AM2006">
        <v>45000</v>
      </c>
      <c r="AN2006" t="s">
        <v>12657</v>
      </c>
      <c r="AS2006">
        <v>0</v>
      </c>
      <c r="AU2006" t="s">
        <v>180</v>
      </c>
    </row>
    <row r="2007" spans="1:47">
      <c r="A2007" s="1">
        <f>HYPERLINK("https://cms.ls-nyc.org/matter/dynamic-profile/view/1889612","19-1889612")</f>
        <v>0</v>
      </c>
      <c r="B2007" t="s">
        <v>77</v>
      </c>
      <c r="C2007" t="s">
        <v>285</v>
      </c>
      <c r="E2007" t="s">
        <v>1592</v>
      </c>
      <c r="F2007" t="s">
        <v>3092</v>
      </c>
      <c r="G2007" t="s">
        <v>4835</v>
      </c>
      <c r="H2007">
        <v>328</v>
      </c>
      <c r="I2007" t="s">
        <v>6043</v>
      </c>
      <c r="J2007">
        <v>11208</v>
      </c>
      <c r="K2007" t="s">
        <v>6074</v>
      </c>
      <c r="L2007" t="s">
        <v>6074</v>
      </c>
      <c r="O2007" t="s">
        <v>7310</v>
      </c>
      <c r="Q2007" t="s">
        <v>7322</v>
      </c>
      <c r="R2007" t="s">
        <v>6076</v>
      </c>
      <c r="S2007" t="s">
        <v>7324</v>
      </c>
      <c r="T2007" t="s">
        <v>7336</v>
      </c>
      <c r="U2007" t="s">
        <v>285</v>
      </c>
      <c r="V2007">
        <v>1182</v>
      </c>
      <c r="W2007" t="s">
        <v>7362</v>
      </c>
      <c r="Z2007" t="s">
        <v>8942</v>
      </c>
      <c r="AA2007" t="s">
        <v>9871</v>
      </c>
      <c r="AB2007" t="s">
        <v>11645</v>
      </c>
      <c r="AC2007">
        <v>266</v>
      </c>
      <c r="AD2007" t="s">
        <v>12422</v>
      </c>
      <c r="AF2007">
        <v>7</v>
      </c>
      <c r="AG2007">
        <v>1</v>
      </c>
      <c r="AH2007">
        <v>1</v>
      </c>
      <c r="AI2007">
        <v>130.1</v>
      </c>
      <c r="AL2007" t="s">
        <v>12460</v>
      </c>
      <c r="AM2007">
        <v>22000</v>
      </c>
      <c r="AS2007">
        <v>1.75</v>
      </c>
      <c r="AT2007" t="s">
        <v>371</v>
      </c>
      <c r="AU2007" t="s">
        <v>77</v>
      </c>
    </row>
    <row r="2008" spans="1:47">
      <c r="A2008" s="1">
        <f>HYPERLINK("https://cms.ls-nyc.org/matter/dynamic-profile/view/1899675","19-1899675")</f>
        <v>0</v>
      </c>
      <c r="B2008" t="s">
        <v>83</v>
      </c>
      <c r="C2008" t="s">
        <v>446</v>
      </c>
      <c r="E2008" t="s">
        <v>767</v>
      </c>
      <c r="F2008" t="s">
        <v>1209</v>
      </c>
      <c r="G2008" t="s">
        <v>4836</v>
      </c>
      <c r="H2008" t="s">
        <v>5400</v>
      </c>
      <c r="I2008" t="s">
        <v>6043</v>
      </c>
      <c r="J2008">
        <v>11214</v>
      </c>
      <c r="K2008" t="s">
        <v>6074</v>
      </c>
      <c r="L2008" t="s">
        <v>6075</v>
      </c>
      <c r="M2008" t="s">
        <v>6110</v>
      </c>
      <c r="N2008" t="s">
        <v>6104</v>
      </c>
      <c r="O2008" t="s">
        <v>7308</v>
      </c>
      <c r="Q2008" t="s">
        <v>7322</v>
      </c>
      <c r="R2008" t="s">
        <v>6076</v>
      </c>
      <c r="S2008" t="s">
        <v>7324</v>
      </c>
      <c r="T2008" t="s">
        <v>7336</v>
      </c>
      <c r="U2008" t="s">
        <v>446</v>
      </c>
      <c r="V2008">
        <v>1997.8</v>
      </c>
      <c r="W2008" t="s">
        <v>7362</v>
      </c>
      <c r="X2008" t="s">
        <v>7376</v>
      </c>
      <c r="Z2008" t="s">
        <v>7838</v>
      </c>
      <c r="AB2008" t="s">
        <v>11646</v>
      </c>
      <c r="AC2008">
        <v>0</v>
      </c>
      <c r="AD2008" t="s">
        <v>12422</v>
      </c>
      <c r="AF2008">
        <v>7</v>
      </c>
      <c r="AG2008">
        <v>2</v>
      </c>
      <c r="AH2008">
        <v>0</v>
      </c>
      <c r="AI2008">
        <v>130.27</v>
      </c>
      <c r="AL2008" t="s">
        <v>12460</v>
      </c>
      <c r="AM2008">
        <v>22029.13</v>
      </c>
      <c r="AS2008">
        <v>1.9</v>
      </c>
      <c r="AT2008" t="s">
        <v>460</v>
      </c>
      <c r="AU2008" t="s">
        <v>88</v>
      </c>
    </row>
    <row r="2009" spans="1:47">
      <c r="A2009" s="1">
        <f>HYPERLINK("https://cms.ls-nyc.org/matter/dynamic-profile/view/1887015","19-1887015")</f>
        <v>0</v>
      </c>
      <c r="B2009" t="s">
        <v>113</v>
      </c>
      <c r="C2009" t="s">
        <v>410</v>
      </c>
      <c r="E2009" t="s">
        <v>1593</v>
      </c>
      <c r="F2009" t="s">
        <v>2427</v>
      </c>
      <c r="G2009" t="s">
        <v>3932</v>
      </c>
      <c r="H2009" t="s">
        <v>5373</v>
      </c>
      <c r="I2009" t="s">
        <v>6047</v>
      </c>
      <c r="J2009">
        <v>10459</v>
      </c>
      <c r="K2009" t="s">
        <v>6074</v>
      </c>
      <c r="L2009" t="s">
        <v>6074</v>
      </c>
      <c r="N2009" t="s">
        <v>7273</v>
      </c>
      <c r="O2009" t="s">
        <v>7308</v>
      </c>
      <c r="Q2009" t="s">
        <v>7322</v>
      </c>
      <c r="R2009" t="s">
        <v>6074</v>
      </c>
      <c r="S2009" t="s">
        <v>7324</v>
      </c>
      <c r="U2009" t="s">
        <v>267</v>
      </c>
      <c r="V2009">
        <v>520</v>
      </c>
      <c r="W2009" t="s">
        <v>7363</v>
      </c>
      <c r="X2009" t="s">
        <v>7375</v>
      </c>
      <c r="Z2009" t="s">
        <v>8943</v>
      </c>
      <c r="AB2009" t="s">
        <v>11647</v>
      </c>
      <c r="AC2009">
        <v>48</v>
      </c>
      <c r="AD2009" t="s">
        <v>12420</v>
      </c>
      <c r="AF2009">
        <v>28</v>
      </c>
      <c r="AG2009">
        <v>1</v>
      </c>
      <c r="AH2009">
        <v>1</v>
      </c>
      <c r="AI2009">
        <v>130.32</v>
      </c>
      <c r="AL2009" t="s">
        <v>12460</v>
      </c>
      <c r="AM2009">
        <v>21450</v>
      </c>
      <c r="AS2009">
        <v>6</v>
      </c>
      <c r="AT2009" t="s">
        <v>501</v>
      </c>
      <c r="AU2009" t="s">
        <v>13095</v>
      </c>
    </row>
    <row r="2010" spans="1:47">
      <c r="A2010" s="1">
        <f>HYPERLINK("https://cms.ls-nyc.org/matter/dynamic-profile/view/1869644","18-1869644")</f>
        <v>0</v>
      </c>
      <c r="B2010" t="s">
        <v>161</v>
      </c>
      <c r="C2010" t="s">
        <v>450</v>
      </c>
      <c r="D2010" t="s">
        <v>277</v>
      </c>
      <c r="E2010" t="s">
        <v>1330</v>
      </c>
      <c r="F2010" t="s">
        <v>2076</v>
      </c>
      <c r="G2010" t="s">
        <v>4837</v>
      </c>
      <c r="H2010">
        <v>407</v>
      </c>
      <c r="I2010" t="s">
        <v>6049</v>
      </c>
      <c r="J2010">
        <v>10029</v>
      </c>
      <c r="K2010" t="s">
        <v>6074</v>
      </c>
      <c r="L2010" t="s">
        <v>6074</v>
      </c>
      <c r="N2010" t="s">
        <v>6104</v>
      </c>
      <c r="O2010" t="s">
        <v>7306</v>
      </c>
      <c r="P2010" t="s">
        <v>7314</v>
      </c>
      <c r="Q2010" t="s">
        <v>7322</v>
      </c>
      <c r="R2010" t="s">
        <v>6076</v>
      </c>
      <c r="S2010" t="s">
        <v>7324</v>
      </c>
      <c r="T2010" t="s">
        <v>7336</v>
      </c>
      <c r="U2010" t="s">
        <v>453</v>
      </c>
      <c r="V2010">
        <v>1412</v>
      </c>
      <c r="W2010" t="s">
        <v>7365</v>
      </c>
      <c r="X2010" t="s">
        <v>7374</v>
      </c>
      <c r="Y2010" t="s">
        <v>7386</v>
      </c>
      <c r="Z2010" t="s">
        <v>8944</v>
      </c>
      <c r="AB2010" t="s">
        <v>11648</v>
      </c>
      <c r="AC2010">
        <v>71</v>
      </c>
      <c r="AD2010" t="s">
        <v>6322</v>
      </c>
      <c r="AE2010" t="s">
        <v>12434</v>
      </c>
      <c r="AF2010">
        <v>20</v>
      </c>
      <c r="AG2010">
        <v>2</v>
      </c>
      <c r="AH2010">
        <v>0</v>
      </c>
      <c r="AI2010">
        <v>130.57</v>
      </c>
      <c r="AL2010" t="s">
        <v>12461</v>
      </c>
      <c r="AM2010">
        <v>21492</v>
      </c>
      <c r="AS2010">
        <v>2.75</v>
      </c>
      <c r="AT2010" t="s">
        <v>404</v>
      </c>
      <c r="AU2010" t="s">
        <v>13077</v>
      </c>
    </row>
    <row r="2011" spans="1:47">
      <c r="A2011" s="1">
        <f>HYPERLINK("https://cms.ls-nyc.org/matter/dynamic-profile/view/1883912","18-1883912")</f>
        <v>0</v>
      </c>
      <c r="B2011" t="s">
        <v>76</v>
      </c>
      <c r="C2011" t="s">
        <v>297</v>
      </c>
      <c r="D2011" t="s">
        <v>472</v>
      </c>
      <c r="E2011" t="s">
        <v>940</v>
      </c>
      <c r="F2011" t="s">
        <v>3093</v>
      </c>
      <c r="G2011" t="s">
        <v>4838</v>
      </c>
      <c r="H2011" t="s">
        <v>5358</v>
      </c>
      <c r="I2011" t="s">
        <v>6043</v>
      </c>
      <c r="J2011">
        <v>11212</v>
      </c>
      <c r="K2011" t="s">
        <v>6074</v>
      </c>
      <c r="L2011" t="s">
        <v>6074</v>
      </c>
      <c r="M2011" t="s">
        <v>6916</v>
      </c>
      <c r="N2011" t="s">
        <v>7276</v>
      </c>
      <c r="O2011" t="s">
        <v>7306</v>
      </c>
      <c r="P2011" t="s">
        <v>7314</v>
      </c>
      <c r="Q2011" t="s">
        <v>7322</v>
      </c>
      <c r="R2011" t="s">
        <v>6076</v>
      </c>
      <c r="S2011" t="s">
        <v>7324</v>
      </c>
      <c r="T2011" t="s">
        <v>7336</v>
      </c>
      <c r="U2011" t="s">
        <v>250</v>
      </c>
      <c r="V2011">
        <v>1700</v>
      </c>
      <c r="W2011" t="s">
        <v>7362</v>
      </c>
      <c r="X2011" t="s">
        <v>7376</v>
      </c>
      <c r="Y2011" t="s">
        <v>7386</v>
      </c>
      <c r="Z2011" t="s">
        <v>8945</v>
      </c>
      <c r="AA2011" t="s">
        <v>10222</v>
      </c>
      <c r="AB2011" t="s">
        <v>11649</v>
      </c>
      <c r="AC2011">
        <v>5</v>
      </c>
      <c r="AD2011" t="s">
        <v>12419</v>
      </c>
      <c r="AE2011" t="s">
        <v>6110</v>
      </c>
      <c r="AF2011">
        <v>1</v>
      </c>
      <c r="AG2011">
        <v>1</v>
      </c>
      <c r="AH2011">
        <v>1</v>
      </c>
      <c r="AI2011">
        <v>130.63</v>
      </c>
      <c r="AL2011" t="s">
        <v>12460</v>
      </c>
      <c r="AM2011">
        <v>21502</v>
      </c>
      <c r="AS2011">
        <v>2.1</v>
      </c>
      <c r="AT2011" t="s">
        <v>250</v>
      </c>
      <c r="AU2011" t="s">
        <v>180</v>
      </c>
    </row>
    <row r="2012" spans="1:47">
      <c r="A2012" s="1">
        <f>HYPERLINK("https://cms.ls-nyc.org/matter/dynamic-profile/view/1880914","18-1880914")</f>
        <v>0</v>
      </c>
      <c r="B2012" t="s">
        <v>133</v>
      </c>
      <c r="C2012" t="s">
        <v>333</v>
      </c>
      <c r="D2012" t="s">
        <v>240</v>
      </c>
      <c r="E2012" t="s">
        <v>569</v>
      </c>
      <c r="F2012" t="s">
        <v>3094</v>
      </c>
      <c r="G2012" t="s">
        <v>4839</v>
      </c>
      <c r="H2012" t="s">
        <v>5417</v>
      </c>
      <c r="I2012" t="s">
        <v>6049</v>
      </c>
      <c r="J2012">
        <v>10033</v>
      </c>
      <c r="K2012" t="s">
        <v>6074</v>
      </c>
      <c r="L2012" t="s">
        <v>6074</v>
      </c>
      <c r="O2012" t="s">
        <v>7306</v>
      </c>
      <c r="P2012" t="s">
        <v>7314</v>
      </c>
      <c r="Q2012" t="s">
        <v>7322</v>
      </c>
      <c r="R2012" t="s">
        <v>6076</v>
      </c>
      <c r="S2012" t="s">
        <v>7324</v>
      </c>
      <c r="U2012" t="s">
        <v>333</v>
      </c>
      <c r="V2012">
        <v>1519</v>
      </c>
      <c r="W2012" t="s">
        <v>7365</v>
      </c>
      <c r="X2012" t="s">
        <v>7371</v>
      </c>
      <c r="Y2012" t="s">
        <v>7386</v>
      </c>
      <c r="Z2012" t="s">
        <v>8946</v>
      </c>
      <c r="AB2012" t="s">
        <v>11650</v>
      </c>
      <c r="AC2012">
        <v>60</v>
      </c>
      <c r="AD2012" t="s">
        <v>12422</v>
      </c>
      <c r="AE2012" t="s">
        <v>6110</v>
      </c>
      <c r="AF2012">
        <v>10</v>
      </c>
      <c r="AG2012">
        <v>1</v>
      </c>
      <c r="AH2012">
        <v>0</v>
      </c>
      <c r="AI2012">
        <v>130.68</v>
      </c>
      <c r="AL2012" t="s">
        <v>12460</v>
      </c>
      <c r="AM2012">
        <v>15864</v>
      </c>
      <c r="AS2012">
        <v>0.5</v>
      </c>
      <c r="AT2012" t="s">
        <v>240</v>
      </c>
      <c r="AU2012" t="s">
        <v>13106</v>
      </c>
    </row>
    <row r="2013" spans="1:47">
      <c r="A2013" s="1">
        <f>HYPERLINK("https://cms.ls-nyc.org/matter/dynamic-profile/view/1890900","19-1890900")</f>
        <v>0</v>
      </c>
      <c r="B2013" t="s">
        <v>82</v>
      </c>
      <c r="C2013" t="s">
        <v>393</v>
      </c>
      <c r="E2013" t="s">
        <v>1594</v>
      </c>
      <c r="F2013" t="s">
        <v>3095</v>
      </c>
      <c r="G2013" t="s">
        <v>3722</v>
      </c>
      <c r="H2013">
        <v>3</v>
      </c>
      <c r="I2013" t="s">
        <v>6043</v>
      </c>
      <c r="J2013">
        <v>11226</v>
      </c>
      <c r="K2013" t="s">
        <v>6074</v>
      </c>
      <c r="L2013" t="s">
        <v>6074</v>
      </c>
      <c r="O2013" t="s">
        <v>7308</v>
      </c>
      <c r="Q2013" t="s">
        <v>7322</v>
      </c>
      <c r="R2013" t="s">
        <v>6074</v>
      </c>
      <c r="S2013" t="s">
        <v>7324</v>
      </c>
      <c r="U2013" t="s">
        <v>366</v>
      </c>
      <c r="V2013">
        <v>1407.32</v>
      </c>
      <c r="W2013" t="s">
        <v>7362</v>
      </c>
      <c r="Z2013" t="s">
        <v>7467</v>
      </c>
      <c r="AC2013">
        <v>0</v>
      </c>
      <c r="AF2013">
        <v>19</v>
      </c>
      <c r="AG2013">
        <v>2</v>
      </c>
      <c r="AH2013">
        <v>2</v>
      </c>
      <c r="AI2013">
        <v>130.72</v>
      </c>
      <c r="AL2013" t="s">
        <v>12460</v>
      </c>
      <c r="AM2013">
        <v>33660</v>
      </c>
      <c r="AS2013">
        <v>32.85</v>
      </c>
      <c r="AT2013" t="s">
        <v>324</v>
      </c>
      <c r="AU2013" t="s">
        <v>88</v>
      </c>
    </row>
    <row r="2014" spans="1:47">
      <c r="A2014" s="1">
        <f>HYPERLINK("https://cms.ls-nyc.org/matter/dynamic-profile/view/1885716","18-1885716")</f>
        <v>0</v>
      </c>
      <c r="B2014" t="s">
        <v>102</v>
      </c>
      <c r="C2014" t="s">
        <v>344</v>
      </c>
      <c r="E2014" t="s">
        <v>1595</v>
      </c>
      <c r="F2014" t="s">
        <v>3096</v>
      </c>
      <c r="G2014" t="s">
        <v>3779</v>
      </c>
      <c r="H2014" t="s">
        <v>5398</v>
      </c>
      <c r="I2014" t="s">
        <v>6047</v>
      </c>
      <c r="J2014">
        <v>10460</v>
      </c>
      <c r="K2014" t="s">
        <v>6074</v>
      </c>
      <c r="L2014" t="s">
        <v>6074</v>
      </c>
      <c r="M2014" t="s">
        <v>6182</v>
      </c>
      <c r="N2014" t="s">
        <v>7273</v>
      </c>
      <c r="O2014" t="s">
        <v>7308</v>
      </c>
      <c r="Q2014" t="s">
        <v>7322</v>
      </c>
      <c r="R2014" t="s">
        <v>6074</v>
      </c>
      <c r="S2014" t="s">
        <v>7324</v>
      </c>
      <c r="U2014" t="s">
        <v>457</v>
      </c>
      <c r="V2014">
        <v>1796</v>
      </c>
      <c r="W2014" t="s">
        <v>7363</v>
      </c>
      <c r="X2014" t="s">
        <v>7376</v>
      </c>
      <c r="Z2014" t="s">
        <v>8947</v>
      </c>
      <c r="AC2014">
        <v>168</v>
      </c>
      <c r="AD2014" t="s">
        <v>12422</v>
      </c>
      <c r="AE2014" t="s">
        <v>12434</v>
      </c>
      <c r="AF2014">
        <v>23</v>
      </c>
      <c r="AG2014">
        <v>2</v>
      </c>
      <c r="AH2014">
        <v>0</v>
      </c>
      <c r="AI2014">
        <v>130.86</v>
      </c>
      <c r="AL2014" t="s">
        <v>12460</v>
      </c>
      <c r="AM2014">
        <v>21540</v>
      </c>
      <c r="AS2014">
        <v>0</v>
      </c>
      <c r="AU2014" t="s">
        <v>13092</v>
      </c>
    </row>
    <row r="2015" spans="1:47">
      <c r="A2015" s="1">
        <f>HYPERLINK("https://cms.ls-nyc.org/matter/dynamic-profile/view/1876850","18-1876850")</f>
        <v>0</v>
      </c>
      <c r="B2015" t="s">
        <v>101</v>
      </c>
      <c r="C2015" t="s">
        <v>289</v>
      </c>
      <c r="E2015" t="s">
        <v>765</v>
      </c>
      <c r="F2015" t="s">
        <v>2945</v>
      </c>
      <c r="G2015" t="s">
        <v>3939</v>
      </c>
      <c r="H2015" t="s">
        <v>5625</v>
      </c>
      <c r="I2015" t="s">
        <v>6047</v>
      </c>
      <c r="J2015">
        <v>10456</v>
      </c>
      <c r="K2015" t="s">
        <v>6074</v>
      </c>
      <c r="L2015" t="s">
        <v>6074</v>
      </c>
      <c r="M2015" t="s">
        <v>6287</v>
      </c>
      <c r="N2015" t="s">
        <v>7273</v>
      </c>
      <c r="O2015" t="s">
        <v>7308</v>
      </c>
      <c r="Q2015" t="s">
        <v>7322</v>
      </c>
      <c r="R2015" t="s">
        <v>6074</v>
      </c>
      <c r="S2015" t="s">
        <v>7324</v>
      </c>
      <c r="U2015" t="s">
        <v>373</v>
      </c>
      <c r="V2015">
        <v>1200.58</v>
      </c>
      <c r="W2015" t="s">
        <v>7363</v>
      </c>
      <c r="X2015" t="s">
        <v>7376</v>
      </c>
      <c r="Z2015" t="s">
        <v>8696</v>
      </c>
      <c r="AB2015" t="s">
        <v>11420</v>
      </c>
      <c r="AC2015">
        <v>131</v>
      </c>
      <c r="AD2015" t="s">
        <v>12422</v>
      </c>
      <c r="AE2015" t="s">
        <v>6110</v>
      </c>
      <c r="AF2015">
        <v>7</v>
      </c>
      <c r="AG2015">
        <v>3</v>
      </c>
      <c r="AH2015">
        <v>1</v>
      </c>
      <c r="AI2015">
        <v>130.88</v>
      </c>
      <c r="AL2015" t="s">
        <v>12461</v>
      </c>
      <c r="AM2015">
        <v>32852</v>
      </c>
      <c r="AS2015">
        <v>0</v>
      </c>
      <c r="AU2015" t="s">
        <v>13095</v>
      </c>
    </row>
    <row r="2016" spans="1:47">
      <c r="A2016" s="1">
        <f>HYPERLINK("https://cms.ls-nyc.org/matter/dynamic-profile/view/1884355","18-1884355")</f>
        <v>0</v>
      </c>
      <c r="B2016" t="s">
        <v>54</v>
      </c>
      <c r="C2016" t="s">
        <v>297</v>
      </c>
      <c r="E2016" t="s">
        <v>689</v>
      </c>
      <c r="F2016" t="s">
        <v>3097</v>
      </c>
      <c r="G2016" t="s">
        <v>4840</v>
      </c>
      <c r="H2016" t="s">
        <v>5446</v>
      </c>
      <c r="I2016" t="s">
        <v>6037</v>
      </c>
      <c r="J2016">
        <v>11372</v>
      </c>
      <c r="K2016" t="s">
        <v>6074</v>
      </c>
      <c r="L2016" t="s">
        <v>6074</v>
      </c>
      <c r="M2016" t="s">
        <v>6917</v>
      </c>
      <c r="N2016" t="s">
        <v>7274</v>
      </c>
      <c r="O2016" t="s">
        <v>7308</v>
      </c>
      <c r="Q2016" t="s">
        <v>7322</v>
      </c>
      <c r="R2016" t="s">
        <v>6076</v>
      </c>
      <c r="S2016" t="s">
        <v>7324</v>
      </c>
      <c r="T2016" t="s">
        <v>7336</v>
      </c>
      <c r="U2016" t="s">
        <v>7343</v>
      </c>
      <c r="V2016">
        <v>1150</v>
      </c>
      <c r="W2016" t="s">
        <v>7361</v>
      </c>
      <c r="X2016" t="s">
        <v>7366</v>
      </c>
      <c r="Z2016" t="s">
        <v>8948</v>
      </c>
      <c r="AA2016" t="s">
        <v>10223</v>
      </c>
      <c r="AB2016" t="s">
        <v>11651</v>
      </c>
      <c r="AC2016">
        <v>101</v>
      </c>
      <c r="AD2016" t="s">
        <v>12422</v>
      </c>
      <c r="AE2016" t="s">
        <v>6110</v>
      </c>
      <c r="AF2016">
        <v>22</v>
      </c>
      <c r="AG2016">
        <v>3</v>
      </c>
      <c r="AH2016">
        <v>0</v>
      </c>
      <c r="AI2016">
        <v>130.9</v>
      </c>
      <c r="AL2016" t="s">
        <v>12461</v>
      </c>
      <c r="AM2016">
        <v>27200</v>
      </c>
      <c r="AO2016" t="s">
        <v>12847</v>
      </c>
      <c r="AP2016" t="s">
        <v>12898</v>
      </c>
      <c r="AQ2016" t="s">
        <v>12909</v>
      </c>
      <c r="AR2016" t="s">
        <v>13031</v>
      </c>
      <c r="AS2016">
        <v>13.85</v>
      </c>
      <c r="AT2016" t="s">
        <v>367</v>
      </c>
      <c r="AU2016" t="s">
        <v>189</v>
      </c>
    </row>
    <row r="2017" spans="1:48">
      <c r="A2017" s="1">
        <f>HYPERLINK("https://cms.ls-nyc.org/matter/dynamic-profile/view/1896988","19-1896988")</f>
        <v>0</v>
      </c>
      <c r="B2017" t="s">
        <v>82</v>
      </c>
      <c r="C2017" t="s">
        <v>268</v>
      </c>
      <c r="E2017" t="s">
        <v>1596</v>
      </c>
      <c r="F2017" t="s">
        <v>3098</v>
      </c>
      <c r="G2017" t="s">
        <v>4841</v>
      </c>
      <c r="H2017">
        <v>8</v>
      </c>
      <c r="I2017" t="s">
        <v>6043</v>
      </c>
      <c r="J2017">
        <v>11226</v>
      </c>
      <c r="K2017" t="s">
        <v>6074</v>
      </c>
      <c r="L2017" t="s">
        <v>6074</v>
      </c>
      <c r="N2017" t="s">
        <v>7273</v>
      </c>
      <c r="O2017" t="s">
        <v>7308</v>
      </c>
      <c r="Q2017" t="s">
        <v>7322</v>
      </c>
      <c r="S2017" t="s">
        <v>7324</v>
      </c>
      <c r="U2017" t="s">
        <v>268</v>
      </c>
      <c r="V2017">
        <v>763.86</v>
      </c>
      <c r="W2017" t="s">
        <v>7362</v>
      </c>
      <c r="Z2017" t="s">
        <v>8949</v>
      </c>
      <c r="AB2017" t="s">
        <v>11652</v>
      </c>
      <c r="AC2017">
        <v>0</v>
      </c>
      <c r="AF2017">
        <v>18</v>
      </c>
      <c r="AG2017">
        <v>4</v>
      </c>
      <c r="AH2017">
        <v>1</v>
      </c>
      <c r="AI2017">
        <v>130.99</v>
      </c>
      <c r="AL2017" t="s">
        <v>12460</v>
      </c>
      <c r="AM2017">
        <v>39520</v>
      </c>
      <c r="AS2017">
        <v>0.2</v>
      </c>
      <c r="AT2017" t="s">
        <v>317</v>
      </c>
      <c r="AU2017" t="s">
        <v>88</v>
      </c>
    </row>
    <row r="2018" spans="1:48">
      <c r="A2018" s="1">
        <f>HYPERLINK("https://cms.ls-nyc.org/matter/dynamic-profile/view/1900735","19-1900735")</f>
        <v>0</v>
      </c>
      <c r="B2018" t="s">
        <v>84</v>
      </c>
      <c r="C2018" t="s">
        <v>381</v>
      </c>
      <c r="E2018" t="s">
        <v>1596</v>
      </c>
      <c r="F2018" t="s">
        <v>3098</v>
      </c>
      <c r="G2018" t="s">
        <v>4841</v>
      </c>
      <c r="H2018">
        <v>8</v>
      </c>
      <c r="I2018" t="s">
        <v>6043</v>
      </c>
      <c r="J2018">
        <v>11226</v>
      </c>
      <c r="K2018" t="s">
        <v>6074</v>
      </c>
      <c r="L2018" t="s">
        <v>6075</v>
      </c>
      <c r="O2018" t="s">
        <v>7308</v>
      </c>
      <c r="Q2018" t="s">
        <v>7322</v>
      </c>
      <c r="R2018" t="s">
        <v>6074</v>
      </c>
      <c r="S2018" t="s">
        <v>7324</v>
      </c>
      <c r="U2018" t="s">
        <v>381</v>
      </c>
      <c r="V2018">
        <v>763.86</v>
      </c>
      <c r="W2018" t="s">
        <v>7362</v>
      </c>
      <c r="Z2018" t="s">
        <v>8949</v>
      </c>
      <c r="AB2018" t="s">
        <v>11652</v>
      </c>
      <c r="AC2018">
        <v>0</v>
      </c>
      <c r="AF2018">
        <v>18</v>
      </c>
      <c r="AG2018">
        <v>4</v>
      </c>
      <c r="AH2018">
        <v>1</v>
      </c>
      <c r="AI2018">
        <v>130.99</v>
      </c>
      <c r="AL2018" t="s">
        <v>12460</v>
      </c>
      <c r="AM2018">
        <v>39520</v>
      </c>
      <c r="AS2018">
        <v>0</v>
      </c>
      <c r="AU2018" t="s">
        <v>88</v>
      </c>
    </row>
    <row r="2019" spans="1:48">
      <c r="A2019" s="1">
        <f>HYPERLINK("https://cms.ls-nyc.org/matter/dynamic-profile/view/1895991","19-1895991")</f>
        <v>0</v>
      </c>
      <c r="B2019" t="s">
        <v>56</v>
      </c>
      <c r="C2019" t="s">
        <v>270</v>
      </c>
      <c r="E2019" t="s">
        <v>1597</v>
      </c>
      <c r="F2019" t="s">
        <v>3099</v>
      </c>
      <c r="G2019" t="s">
        <v>4842</v>
      </c>
      <c r="H2019" t="s">
        <v>5803</v>
      </c>
      <c r="I2019" t="s">
        <v>6029</v>
      </c>
      <c r="J2019">
        <v>11423</v>
      </c>
      <c r="K2019" t="s">
        <v>6074</v>
      </c>
      <c r="L2019" t="s">
        <v>6074</v>
      </c>
      <c r="M2019" t="s">
        <v>6918</v>
      </c>
      <c r="N2019" t="s">
        <v>7274</v>
      </c>
      <c r="O2019" t="s">
        <v>7306</v>
      </c>
      <c r="Q2019" t="s">
        <v>7322</v>
      </c>
      <c r="S2019" t="s">
        <v>7324</v>
      </c>
      <c r="U2019" t="s">
        <v>270</v>
      </c>
      <c r="V2019">
        <v>1800</v>
      </c>
      <c r="W2019" t="s">
        <v>7361</v>
      </c>
      <c r="X2019" t="s">
        <v>7366</v>
      </c>
      <c r="Z2019" t="s">
        <v>8950</v>
      </c>
      <c r="AB2019" t="s">
        <v>11653</v>
      </c>
      <c r="AC2019">
        <v>0</v>
      </c>
      <c r="AF2019">
        <v>14</v>
      </c>
      <c r="AG2019">
        <v>1</v>
      </c>
      <c r="AH2019">
        <v>2</v>
      </c>
      <c r="AI2019">
        <v>131.08</v>
      </c>
      <c r="AL2019" t="s">
        <v>12460</v>
      </c>
      <c r="AM2019">
        <v>27960</v>
      </c>
      <c r="AS2019">
        <v>4.4</v>
      </c>
      <c r="AT2019" t="s">
        <v>265</v>
      </c>
      <c r="AU2019" t="s">
        <v>13078</v>
      </c>
    </row>
    <row r="2020" spans="1:48">
      <c r="A2020" s="1">
        <f>HYPERLINK("https://cms.ls-nyc.org/matter/dynamic-profile/view/1882824","18-1882824")</f>
        <v>0</v>
      </c>
      <c r="B2020" t="s">
        <v>69</v>
      </c>
      <c r="C2020" t="s">
        <v>246</v>
      </c>
      <c r="E2020" t="s">
        <v>1521</v>
      </c>
      <c r="F2020" t="s">
        <v>3008</v>
      </c>
      <c r="G2020" t="s">
        <v>4534</v>
      </c>
      <c r="H2020" t="s">
        <v>5418</v>
      </c>
      <c r="I2020" t="s">
        <v>6043</v>
      </c>
      <c r="J2020">
        <v>11225</v>
      </c>
      <c r="K2020" t="s">
        <v>6074</v>
      </c>
      <c r="L2020" t="s">
        <v>6074</v>
      </c>
      <c r="N2020" t="s">
        <v>7283</v>
      </c>
      <c r="O2020" t="s">
        <v>7309</v>
      </c>
      <c r="Q2020" t="s">
        <v>7322</v>
      </c>
      <c r="S2020" t="s">
        <v>7324</v>
      </c>
      <c r="U2020" t="s">
        <v>246</v>
      </c>
      <c r="V2020">
        <v>0</v>
      </c>
      <c r="W2020" t="s">
        <v>7362</v>
      </c>
      <c r="Z2020" t="s">
        <v>8808</v>
      </c>
      <c r="AB2020" t="s">
        <v>11523</v>
      </c>
      <c r="AC2020">
        <v>0</v>
      </c>
      <c r="AF2020">
        <v>0</v>
      </c>
      <c r="AG2020">
        <v>1</v>
      </c>
      <c r="AH2020">
        <v>1</v>
      </c>
      <c r="AI2020">
        <v>131.23</v>
      </c>
      <c r="AL2020" t="s">
        <v>12460</v>
      </c>
      <c r="AM2020">
        <v>21600</v>
      </c>
      <c r="AN2020" t="s">
        <v>12658</v>
      </c>
      <c r="AS2020">
        <v>19.8</v>
      </c>
      <c r="AT2020" t="s">
        <v>316</v>
      </c>
      <c r="AU2020" t="s">
        <v>69</v>
      </c>
    </row>
    <row r="2021" spans="1:48">
      <c r="A2021" s="1">
        <f>HYPERLINK("https://cms.ls-nyc.org/matter/dynamic-profile/view/1895196","19-1895196")</f>
        <v>0</v>
      </c>
      <c r="B2021" t="s">
        <v>69</v>
      </c>
      <c r="C2021" t="s">
        <v>322</v>
      </c>
      <c r="E2021" t="s">
        <v>598</v>
      </c>
      <c r="F2021" t="s">
        <v>2485</v>
      </c>
      <c r="G2021" t="s">
        <v>4843</v>
      </c>
      <c r="H2021" t="s">
        <v>5473</v>
      </c>
      <c r="I2021" t="s">
        <v>6043</v>
      </c>
      <c r="J2021">
        <v>11231</v>
      </c>
      <c r="K2021" t="s">
        <v>6074</v>
      </c>
      <c r="L2021" t="s">
        <v>6074</v>
      </c>
      <c r="N2021" t="s">
        <v>7274</v>
      </c>
      <c r="O2021" t="s">
        <v>7306</v>
      </c>
      <c r="Q2021" t="s">
        <v>7322</v>
      </c>
      <c r="S2021" t="s">
        <v>7324</v>
      </c>
      <c r="U2021" t="s">
        <v>322</v>
      </c>
      <c r="V2021">
        <v>1150</v>
      </c>
      <c r="W2021" t="s">
        <v>7362</v>
      </c>
      <c r="Z2021" t="s">
        <v>8951</v>
      </c>
      <c r="AB2021" t="s">
        <v>11654</v>
      </c>
      <c r="AC2021">
        <v>0</v>
      </c>
      <c r="AD2021" t="s">
        <v>12419</v>
      </c>
      <c r="AE2021" t="s">
        <v>12434</v>
      </c>
      <c r="AF2021">
        <v>3</v>
      </c>
      <c r="AG2021">
        <v>3</v>
      </c>
      <c r="AH2021">
        <v>0</v>
      </c>
      <c r="AI2021">
        <v>131.27</v>
      </c>
      <c r="AL2021" t="s">
        <v>12460</v>
      </c>
      <c r="AM2021">
        <v>28000</v>
      </c>
      <c r="AS2021">
        <v>1</v>
      </c>
      <c r="AT2021" t="s">
        <v>315</v>
      </c>
      <c r="AU2021" t="s">
        <v>69</v>
      </c>
    </row>
    <row r="2022" spans="1:48">
      <c r="A2022" s="1">
        <f>HYPERLINK("https://cms.ls-nyc.org/matter/dynamic-profile/view/1894929","19-1894929")</f>
        <v>0</v>
      </c>
      <c r="B2022" t="s">
        <v>130</v>
      </c>
      <c r="C2022" t="s">
        <v>361</v>
      </c>
      <c r="D2022" t="s">
        <v>265</v>
      </c>
      <c r="E2022" t="s">
        <v>707</v>
      </c>
      <c r="F2022" t="s">
        <v>3100</v>
      </c>
      <c r="G2022" t="s">
        <v>4844</v>
      </c>
      <c r="H2022" t="s">
        <v>5453</v>
      </c>
      <c r="I2022" t="s">
        <v>6049</v>
      </c>
      <c r="J2022">
        <v>10034</v>
      </c>
      <c r="K2022" t="s">
        <v>6074</v>
      </c>
      <c r="L2022" t="s">
        <v>6074</v>
      </c>
      <c r="M2022" t="s">
        <v>6919</v>
      </c>
      <c r="N2022" t="s">
        <v>7278</v>
      </c>
      <c r="O2022" t="s">
        <v>7306</v>
      </c>
      <c r="P2022" t="s">
        <v>7314</v>
      </c>
      <c r="Q2022" t="s">
        <v>7322</v>
      </c>
      <c r="R2022" t="s">
        <v>6076</v>
      </c>
      <c r="S2022" t="s">
        <v>7324</v>
      </c>
      <c r="U2022" t="s">
        <v>361</v>
      </c>
      <c r="V2022">
        <v>1475</v>
      </c>
      <c r="W2022" t="s">
        <v>7365</v>
      </c>
      <c r="X2022" t="s">
        <v>7367</v>
      </c>
      <c r="Y2022" t="s">
        <v>7386</v>
      </c>
      <c r="Z2022" t="s">
        <v>8952</v>
      </c>
      <c r="AC2022">
        <v>57</v>
      </c>
      <c r="AD2022" t="s">
        <v>12422</v>
      </c>
      <c r="AE2022" t="s">
        <v>6110</v>
      </c>
      <c r="AF2022">
        <v>14</v>
      </c>
      <c r="AG2022">
        <v>2</v>
      </c>
      <c r="AH2022">
        <v>1</v>
      </c>
      <c r="AI2022">
        <v>131.65</v>
      </c>
      <c r="AM2022">
        <v>28080</v>
      </c>
      <c r="AS2022">
        <v>6.8</v>
      </c>
      <c r="AT2022" t="s">
        <v>316</v>
      </c>
      <c r="AU2022" t="s">
        <v>13119</v>
      </c>
      <c r="AV2022" t="s">
        <v>13145</v>
      </c>
    </row>
    <row r="2023" spans="1:48">
      <c r="A2023" s="1">
        <f>HYPERLINK("https://cms.ls-nyc.org/matter/dynamic-profile/view/1894817","19-1894817")</f>
        <v>0</v>
      </c>
      <c r="B2023" t="s">
        <v>159</v>
      </c>
      <c r="C2023" t="s">
        <v>386</v>
      </c>
      <c r="D2023" t="s">
        <v>505</v>
      </c>
      <c r="E2023" t="s">
        <v>586</v>
      </c>
      <c r="F2023" t="s">
        <v>2474</v>
      </c>
      <c r="G2023" t="s">
        <v>4003</v>
      </c>
      <c r="H2023" t="s">
        <v>5348</v>
      </c>
      <c r="I2023" t="s">
        <v>6049</v>
      </c>
      <c r="J2023">
        <v>10029</v>
      </c>
      <c r="K2023" t="s">
        <v>6074</v>
      </c>
      <c r="L2023" t="s">
        <v>6074</v>
      </c>
      <c r="N2023" t="s">
        <v>7290</v>
      </c>
      <c r="O2023" t="s">
        <v>7309</v>
      </c>
      <c r="P2023" t="s">
        <v>7319</v>
      </c>
      <c r="Q2023" t="s">
        <v>7322</v>
      </c>
      <c r="R2023" t="s">
        <v>6076</v>
      </c>
      <c r="S2023" t="s">
        <v>7333</v>
      </c>
      <c r="T2023" t="s">
        <v>7336</v>
      </c>
      <c r="U2023" t="s">
        <v>386</v>
      </c>
      <c r="V2023">
        <v>1580</v>
      </c>
      <c r="W2023" t="s">
        <v>7365</v>
      </c>
      <c r="X2023" t="s">
        <v>7370</v>
      </c>
      <c r="Y2023" t="s">
        <v>7397</v>
      </c>
      <c r="Z2023" t="s">
        <v>8953</v>
      </c>
      <c r="AA2023" t="s">
        <v>10224</v>
      </c>
      <c r="AC2023">
        <v>0</v>
      </c>
      <c r="AD2023" t="s">
        <v>12422</v>
      </c>
      <c r="AF2023">
        <v>20</v>
      </c>
      <c r="AG2023">
        <v>4</v>
      </c>
      <c r="AH2023">
        <v>2</v>
      </c>
      <c r="AI2023">
        <v>131.83</v>
      </c>
      <c r="AL2023" t="s">
        <v>12461</v>
      </c>
      <c r="AM2023">
        <v>45600</v>
      </c>
      <c r="AS2023">
        <v>10.75</v>
      </c>
      <c r="AT2023" t="s">
        <v>526</v>
      </c>
      <c r="AU2023" t="s">
        <v>13107</v>
      </c>
    </row>
    <row r="2024" spans="1:48">
      <c r="A2024" s="1">
        <f>HYPERLINK("https://cms.ls-nyc.org/matter/dynamic-profile/view/1892717","19-1892717")</f>
        <v>0</v>
      </c>
      <c r="B2024" t="s">
        <v>81</v>
      </c>
      <c r="C2024" t="s">
        <v>395</v>
      </c>
      <c r="E2024" t="s">
        <v>1521</v>
      </c>
      <c r="F2024" t="s">
        <v>3008</v>
      </c>
      <c r="G2024" t="s">
        <v>4534</v>
      </c>
      <c r="H2024" t="s">
        <v>5427</v>
      </c>
      <c r="I2024" t="s">
        <v>6043</v>
      </c>
      <c r="J2024">
        <v>11225</v>
      </c>
      <c r="K2024" t="s">
        <v>6074</v>
      </c>
      <c r="L2024" t="s">
        <v>6074</v>
      </c>
      <c r="O2024" t="s">
        <v>7308</v>
      </c>
      <c r="Q2024" t="s">
        <v>7322</v>
      </c>
      <c r="R2024" t="s">
        <v>6074</v>
      </c>
      <c r="S2024" t="s">
        <v>7324</v>
      </c>
      <c r="U2024" t="s">
        <v>477</v>
      </c>
      <c r="V2024">
        <v>1526.3</v>
      </c>
      <c r="W2024" t="s">
        <v>7362</v>
      </c>
      <c r="Z2024" t="s">
        <v>8808</v>
      </c>
      <c r="AB2024" t="s">
        <v>11523</v>
      </c>
      <c r="AC2024">
        <v>0</v>
      </c>
      <c r="AF2024">
        <v>6</v>
      </c>
      <c r="AG2024">
        <v>1</v>
      </c>
      <c r="AH2024">
        <v>1</v>
      </c>
      <c r="AI2024">
        <v>131.99</v>
      </c>
      <c r="AL2024" t="s">
        <v>12460</v>
      </c>
      <c r="AM2024">
        <v>22320</v>
      </c>
      <c r="AS2024">
        <v>1.3</v>
      </c>
      <c r="AT2024" t="s">
        <v>257</v>
      </c>
      <c r="AU2024" t="s">
        <v>88</v>
      </c>
    </row>
    <row r="2025" spans="1:48">
      <c r="A2025" s="1">
        <f>HYPERLINK("https://cms.ls-nyc.org/matter/dynamic-profile/view/1898906","19-1898906")</f>
        <v>0</v>
      </c>
      <c r="B2025" t="s">
        <v>72</v>
      </c>
      <c r="C2025" t="s">
        <v>294</v>
      </c>
      <c r="E2025" t="s">
        <v>1155</v>
      </c>
      <c r="F2025" t="s">
        <v>2604</v>
      </c>
      <c r="G2025" t="s">
        <v>4845</v>
      </c>
      <c r="H2025" t="s">
        <v>5389</v>
      </c>
      <c r="I2025" t="s">
        <v>6043</v>
      </c>
      <c r="J2025">
        <v>11233</v>
      </c>
      <c r="K2025" t="s">
        <v>6074</v>
      </c>
      <c r="L2025" t="s">
        <v>6074</v>
      </c>
      <c r="M2025" t="s">
        <v>6920</v>
      </c>
      <c r="N2025" t="s">
        <v>7274</v>
      </c>
      <c r="O2025" t="s">
        <v>7310</v>
      </c>
      <c r="Q2025" t="s">
        <v>7322</v>
      </c>
      <c r="S2025" t="s">
        <v>7324</v>
      </c>
      <c r="U2025" t="s">
        <v>505</v>
      </c>
      <c r="V2025">
        <v>0</v>
      </c>
      <c r="W2025" t="s">
        <v>7362</v>
      </c>
      <c r="X2025" t="s">
        <v>7366</v>
      </c>
      <c r="Z2025" t="s">
        <v>8954</v>
      </c>
      <c r="AB2025" t="s">
        <v>11655</v>
      </c>
      <c r="AC2025">
        <v>0</v>
      </c>
      <c r="AF2025">
        <v>0</v>
      </c>
      <c r="AG2025">
        <v>3</v>
      </c>
      <c r="AH2025">
        <v>2</v>
      </c>
      <c r="AI2025">
        <v>132.05</v>
      </c>
      <c r="AL2025" t="s">
        <v>12460</v>
      </c>
      <c r="AM2025">
        <v>39840</v>
      </c>
      <c r="AS2025">
        <v>2.3</v>
      </c>
      <c r="AT2025" t="s">
        <v>260</v>
      </c>
      <c r="AU2025" t="s">
        <v>13085</v>
      </c>
      <c r="AV2025" t="s">
        <v>13145</v>
      </c>
    </row>
    <row r="2026" spans="1:48">
      <c r="A2026" s="1">
        <f>HYPERLINK("https://cms.ls-nyc.org/matter/dynamic-profile/view/1882747","18-1882747")</f>
        <v>0</v>
      </c>
      <c r="B2026" t="s">
        <v>131</v>
      </c>
      <c r="C2026" t="s">
        <v>296</v>
      </c>
      <c r="D2026" t="s">
        <v>296</v>
      </c>
      <c r="E2026" t="s">
        <v>1598</v>
      </c>
      <c r="F2026" t="s">
        <v>3101</v>
      </c>
      <c r="G2026" t="s">
        <v>4846</v>
      </c>
      <c r="H2026" t="s">
        <v>5418</v>
      </c>
      <c r="I2026" t="s">
        <v>6049</v>
      </c>
      <c r="J2026">
        <v>10034</v>
      </c>
      <c r="K2026" t="s">
        <v>6074</v>
      </c>
      <c r="L2026" t="s">
        <v>6074</v>
      </c>
      <c r="N2026" t="s">
        <v>7304</v>
      </c>
      <c r="O2026" t="s">
        <v>7308</v>
      </c>
      <c r="P2026" t="s">
        <v>7316</v>
      </c>
      <c r="Q2026" t="s">
        <v>7322</v>
      </c>
      <c r="R2026" t="s">
        <v>6076</v>
      </c>
      <c r="S2026" t="s">
        <v>7324</v>
      </c>
      <c r="U2026" t="s">
        <v>296</v>
      </c>
      <c r="V2026">
        <v>1795</v>
      </c>
      <c r="W2026" t="s">
        <v>7365</v>
      </c>
      <c r="X2026" t="s">
        <v>7368</v>
      </c>
      <c r="Y2026" t="s">
        <v>7399</v>
      </c>
      <c r="Z2026" t="s">
        <v>8955</v>
      </c>
      <c r="AB2026" t="s">
        <v>11656</v>
      </c>
      <c r="AC2026">
        <v>44</v>
      </c>
      <c r="AD2026" t="s">
        <v>12422</v>
      </c>
      <c r="AE2026" t="s">
        <v>6110</v>
      </c>
      <c r="AF2026">
        <v>3</v>
      </c>
      <c r="AG2026">
        <v>1</v>
      </c>
      <c r="AH2026">
        <v>0</v>
      </c>
      <c r="AI2026">
        <v>132.05</v>
      </c>
      <c r="AL2026" t="s">
        <v>12460</v>
      </c>
      <c r="AM2026">
        <v>16031</v>
      </c>
      <c r="AS2026">
        <v>0.1</v>
      </c>
      <c r="AT2026" t="s">
        <v>296</v>
      </c>
      <c r="AU2026" t="s">
        <v>13106</v>
      </c>
    </row>
    <row r="2027" spans="1:48">
      <c r="A2027" s="1">
        <f>HYPERLINK("https://cms.ls-nyc.org/matter/dynamic-profile/view/1865436","18-1865436")</f>
        <v>0</v>
      </c>
      <c r="B2027" t="s">
        <v>131</v>
      </c>
      <c r="C2027" t="s">
        <v>519</v>
      </c>
      <c r="D2027" t="s">
        <v>296</v>
      </c>
      <c r="E2027" t="s">
        <v>1598</v>
      </c>
      <c r="F2027" t="s">
        <v>3101</v>
      </c>
      <c r="G2027" t="s">
        <v>4846</v>
      </c>
      <c r="H2027" t="s">
        <v>5427</v>
      </c>
      <c r="I2027" t="s">
        <v>6049</v>
      </c>
      <c r="J2027">
        <v>10034</v>
      </c>
      <c r="K2027" t="s">
        <v>6074</v>
      </c>
      <c r="L2027" t="s">
        <v>6074</v>
      </c>
      <c r="M2027" t="s">
        <v>6921</v>
      </c>
      <c r="N2027" t="s">
        <v>7274</v>
      </c>
      <c r="O2027" t="s">
        <v>7308</v>
      </c>
      <c r="P2027" t="s">
        <v>7318</v>
      </c>
      <c r="Q2027" t="s">
        <v>7322</v>
      </c>
      <c r="R2027" t="s">
        <v>6076</v>
      </c>
      <c r="S2027" t="s">
        <v>7324</v>
      </c>
      <c r="U2027" t="s">
        <v>296</v>
      </c>
      <c r="V2027">
        <v>1795</v>
      </c>
      <c r="W2027" t="s">
        <v>7365</v>
      </c>
      <c r="X2027" t="s">
        <v>7368</v>
      </c>
      <c r="Y2027" t="s">
        <v>7399</v>
      </c>
      <c r="Z2027" t="s">
        <v>8955</v>
      </c>
      <c r="AB2027" t="s">
        <v>11656</v>
      </c>
      <c r="AC2027">
        <v>44</v>
      </c>
      <c r="AD2027" t="s">
        <v>12419</v>
      </c>
      <c r="AE2027" t="s">
        <v>6110</v>
      </c>
      <c r="AF2027">
        <v>3</v>
      </c>
      <c r="AG2027">
        <v>1</v>
      </c>
      <c r="AH2027">
        <v>0</v>
      </c>
      <c r="AI2027">
        <v>132.05</v>
      </c>
      <c r="AL2027" t="s">
        <v>12460</v>
      </c>
      <c r="AM2027">
        <v>16031</v>
      </c>
      <c r="AS2027">
        <v>15.35</v>
      </c>
      <c r="AT2027" t="s">
        <v>283</v>
      </c>
      <c r="AU2027" t="s">
        <v>13106</v>
      </c>
    </row>
    <row r="2028" spans="1:48">
      <c r="A2028" s="1">
        <f>HYPERLINK("https://cms.ls-nyc.org/matter/dynamic-profile/view/1882070","18-1882070")</f>
        <v>0</v>
      </c>
      <c r="B2028" t="s">
        <v>60</v>
      </c>
      <c r="C2028" t="s">
        <v>350</v>
      </c>
      <c r="D2028" t="s">
        <v>350</v>
      </c>
      <c r="E2028" t="s">
        <v>1572</v>
      </c>
      <c r="F2028" t="s">
        <v>3102</v>
      </c>
      <c r="G2028" t="s">
        <v>4847</v>
      </c>
      <c r="H2028" t="s">
        <v>5804</v>
      </c>
      <c r="I2028" t="s">
        <v>6053</v>
      </c>
      <c r="J2028">
        <v>11364</v>
      </c>
      <c r="K2028" t="s">
        <v>6074</v>
      </c>
      <c r="L2028" t="s">
        <v>6074</v>
      </c>
      <c r="M2028" t="s">
        <v>6101</v>
      </c>
      <c r="N2028" t="s">
        <v>6104</v>
      </c>
      <c r="O2028" t="s">
        <v>7306</v>
      </c>
      <c r="P2028" t="s">
        <v>7314</v>
      </c>
      <c r="Q2028" t="s">
        <v>7323</v>
      </c>
      <c r="R2028" t="s">
        <v>6076</v>
      </c>
      <c r="S2028" t="s">
        <v>7324</v>
      </c>
      <c r="T2028" t="s">
        <v>7336</v>
      </c>
      <c r="U2028" t="s">
        <v>350</v>
      </c>
      <c r="V2028">
        <v>2208.18</v>
      </c>
      <c r="W2028" t="s">
        <v>7361</v>
      </c>
      <c r="X2028" t="s">
        <v>7369</v>
      </c>
      <c r="Y2028" t="s">
        <v>7386</v>
      </c>
      <c r="Z2028" t="s">
        <v>8956</v>
      </c>
      <c r="AB2028" t="s">
        <v>11657</v>
      </c>
      <c r="AC2028">
        <v>224</v>
      </c>
      <c r="AD2028" t="s">
        <v>12422</v>
      </c>
      <c r="AE2028" t="s">
        <v>6110</v>
      </c>
      <c r="AF2028">
        <v>4</v>
      </c>
      <c r="AG2028">
        <v>1</v>
      </c>
      <c r="AH2028">
        <v>0</v>
      </c>
      <c r="AI2028">
        <v>132.06</v>
      </c>
      <c r="AJ2028" t="s">
        <v>12443</v>
      </c>
      <c r="AK2028" t="s">
        <v>12455</v>
      </c>
      <c r="AL2028" t="s">
        <v>12460</v>
      </c>
      <c r="AM2028">
        <v>16032</v>
      </c>
      <c r="AS2028">
        <v>1.15</v>
      </c>
      <c r="AT2028" t="s">
        <v>350</v>
      </c>
      <c r="AU2028" t="s">
        <v>60</v>
      </c>
    </row>
    <row r="2029" spans="1:48">
      <c r="A2029" s="1">
        <f>HYPERLINK("https://cms.ls-nyc.org/matter/dynamic-profile/view/1881741","18-1881741")</f>
        <v>0</v>
      </c>
      <c r="B2029" t="s">
        <v>76</v>
      </c>
      <c r="C2029" t="s">
        <v>451</v>
      </c>
      <c r="D2029" t="s">
        <v>456</v>
      </c>
      <c r="E2029" t="s">
        <v>1599</v>
      </c>
      <c r="F2029" t="s">
        <v>2297</v>
      </c>
      <c r="G2029" t="s">
        <v>4848</v>
      </c>
      <c r="H2029">
        <v>1</v>
      </c>
      <c r="I2029" t="s">
        <v>6043</v>
      </c>
      <c r="J2029">
        <v>11233</v>
      </c>
      <c r="K2029" t="s">
        <v>6074</v>
      </c>
      <c r="L2029" t="s">
        <v>6074</v>
      </c>
      <c r="M2029" t="s">
        <v>6922</v>
      </c>
      <c r="N2029" t="s">
        <v>7274</v>
      </c>
      <c r="O2029" t="s">
        <v>7306</v>
      </c>
      <c r="P2029" t="s">
        <v>7314</v>
      </c>
      <c r="Q2029" t="s">
        <v>7322</v>
      </c>
      <c r="R2029" t="s">
        <v>6076</v>
      </c>
      <c r="S2029" t="s">
        <v>7324</v>
      </c>
      <c r="T2029" t="s">
        <v>7340</v>
      </c>
      <c r="U2029" t="s">
        <v>369</v>
      </c>
      <c r="V2029">
        <v>1500</v>
      </c>
      <c r="W2029" t="s">
        <v>7362</v>
      </c>
      <c r="X2029" t="s">
        <v>7366</v>
      </c>
      <c r="Y2029" t="s">
        <v>7386</v>
      </c>
      <c r="Z2029" t="s">
        <v>8957</v>
      </c>
      <c r="AB2029" t="s">
        <v>11658</v>
      </c>
      <c r="AC2029">
        <v>6</v>
      </c>
      <c r="AE2029" t="s">
        <v>6110</v>
      </c>
      <c r="AF2029">
        <v>3</v>
      </c>
      <c r="AG2029">
        <v>3</v>
      </c>
      <c r="AH2029">
        <v>1</v>
      </c>
      <c r="AI2029">
        <v>132.3</v>
      </c>
      <c r="AL2029" t="s">
        <v>12460</v>
      </c>
      <c r="AM2029">
        <v>33208</v>
      </c>
      <c r="AS2029">
        <v>1.9</v>
      </c>
      <c r="AT2029" t="s">
        <v>431</v>
      </c>
      <c r="AU2029" t="s">
        <v>13083</v>
      </c>
    </row>
    <row r="2030" spans="1:48">
      <c r="A2030" s="1">
        <f>HYPERLINK("https://cms.ls-nyc.org/matter/dynamic-profile/view/1882953","18-1882953")</f>
        <v>0</v>
      </c>
      <c r="B2030" t="s">
        <v>98</v>
      </c>
      <c r="C2030" t="s">
        <v>416</v>
      </c>
      <c r="E2030" t="s">
        <v>1208</v>
      </c>
      <c r="F2030" t="s">
        <v>3103</v>
      </c>
      <c r="G2030" t="s">
        <v>3786</v>
      </c>
      <c r="H2030" t="s">
        <v>5805</v>
      </c>
      <c r="I2030" t="s">
        <v>6047</v>
      </c>
      <c r="J2030">
        <v>10457</v>
      </c>
      <c r="K2030" t="s">
        <v>6074</v>
      </c>
      <c r="L2030" t="s">
        <v>6074</v>
      </c>
      <c r="M2030" t="s">
        <v>6187</v>
      </c>
      <c r="N2030" t="s">
        <v>7279</v>
      </c>
      <c r="O2030" t="s">
        <v>7311</v>
      </c>
      <c r="Q2030" t="s">
        <v>7322</v>
      </c>
      <c r="R2030" t="s">
        <v>6074</v>
      </c>
      <c r="S2030" t="s">
        <v>7324</v>
      </c>
      <c r="U2030" t="s">
        <v>472</v>
      </c>
      <c r="V2030">
        <v>902</v>
      </c>
      <c r="W2030" t="s">
        <v>7363</v>
      </c>
      <c r="X2030" t="s">
        <v>7376</v>
      </c>
      <c r="Z2030" t="s">
        <v>8958</v>
      </c>
      <c r="AB2030" t="s">
        <v>11659</v>
      </c>
      <c r="AC2030">
        <v>47</v>
      </c>
      <c r="AD2030" t="s">
        <v>6322</v>
      </c>
      <c r="AE2030" t="s">
        <v>6110</v>
      </c>
      <c r="AF2030">
        <v>31</v>
      </c>
      <c r="AG2030">
        <v>4</v>
      </c>
      <c r="AH2030">
        <v>1</v>
      </c>
      <c r="AI2030">
        <v>132.56</v>
      </c>
      <c r="AL2030" t="s">
        <v>12461</v>
      </c>
      <c r="AM2030">
        <v>39000</v>
      </c>
      <c r="AS2030">
        <v>0.2</v>
      </c>
      <c r="AT2030" t="s">
        <v>276</v>
      </c>
      <c r="AU2030" t="s">
        <v>13092</v>
      </c>
    </row>
    <row r="2031" spans="1:48">
      <c r="A2031" s="1">
        <f>HYPERLINK("https://cms.ls-nyc.org/matter/dynamic-profile/view/1882757","18-1882757")</f>
        <v>0</v>
      </c>
      <c r="B2031" t="s">
        <v>98</v>
      </c>
      <c r="C2031" t="s">
        <v>416</v>
      </c>
      <c r="E2031" t="s">
        <v>1208</v>
      </c>
      <c r="F2031" t="s">
        <v>3103</v>
      </c>
      <c r="G2031" t="s">
        <v>3786</v>
      </c>
      <c r="H2031" t="s">
        <v>5805</v>
      </c>
      <c r="I2031" t="s">
        <v>6047</v>
      </c>
      <c r="J2031">
        <v>10457</v>
      </c>
      <c r="K2031" t="s">
        <v>6074</v>
      </c>
      <c r="L2031" t="s">
        <v>6074</v>
      </c>
      <c r="M2031" t="s">
        <v>6191</v>
      </c>
      <c r="N2031" t="s">
        <v>7273</v>
      </c>
      <c r="O2031" t="s">
        <v>7308</v>
      </c>
      <c r="Q2031" t="s">
        <v>7322</v>
      </c>
      <c r="R2031" t="s">
        <v>6074</v>
      </c>
      <c r="S2031" t="s">
        <v>7324</v>
      </c>
      <c r="U2031" t="s">
        <v>472</v>
      </c>
      <c r="V2031">
        <v>902</v>
      </c>
      <c r="W2031" t="s">
        <v>7363</v>
      </c>
      <c r="X2031" t="s">
        <v>7376</v>
      </c>
      <c r="Z2031" t="s">
        <v>8958</v>
      </c>
      <c r="AB2031" t="s">
        <v>11659</v>
      </c>
      <c r="AC2031">
        <v>47</v>
      </c>
      <c r="AD2031" t="s">
        <v>6322</v>
      </c>
      <c r="AE2031" t="s">
        <v>6110</v>
      </c>
      <c r="AF2031">
        <v>31</v>
      </c>
      <c r="AG2031">
        <v>4</v>
      </c>
      <c r="AH2031">
        <v>1</v>
      </c>
      <c r="AI2031">
        <v>132.56</v>
      </c>
      <c r="AL2031" t="s">
        <v>12461</v>
      </c>
      <c r="AM2031">
        <v>39000</v>
      </c>
      <c r="AS2031">
        <v>0.4</v>
      </c>
      <c r="AT2031" t="s">
        <v>276</v>
      </c>
      <c r="AU2031" t="s">
        <v>13092</v>
      </c>
    </row>
    <row r="2032" spans="1:48">
      <c r="A2032" s="1">
        <f>HYPERLINK("https://cms.ls-nyc.org/matter/dynamic-profile/view/1872251","18-1872251")</f>
        <v>0</v>
      </c>
      <c r="B2032" t="s">
        <v>148</v>
      </c>
      <c r="C2032" t="s">
        <v>497</v>
      </c>
      <c r="D2032" t="s">
        <v>289</v>
      </c>
      <c r="E2032" t="s">
        <v>1061</v>
      </c>
      <c r="F2032" t="s">
        <v>3104</v>
      </c>
      <c r="G2032" t="s">
        <v>4849</v>
      </c>
      <c r="H2032" t="s">
        <v>5389</v>
      </c>
      <c r="I2032" t="s">
        <v>6043</v>
      </c>
      <c r="J2032">
        <v>11233</v>
      </c>
      <c r="K2032" t="s">
        <v>6074</v>
      </c>
      <c r="L2032" t="s">
        <v>6074</v>
      </c>
      <c r="M2032" t="s">
        <v>6923</v>
      </c>
      <c r="N2032" t="s">
        <v>7274</v>
      </c>
      <c r="O2032" t="s">
        <v>7306</v>
      </c>
      <c r="P2032" t="s">
        <v>7314</v>
      </c>
      <c r="Q2032" t="s">
        <v>7322</v>
      </c>
      <c r="R2032" t="s">
        <v>6076</v>
      </c>
      <c r="S2032" t="s">
        <v>7324</v>
      </c>
      <c r="U2032" t="s">
        <v>231</v>
      </c>
      <c r="V2032">
        <v>1300</v>
      </c>
      <c r="W2032" t="s">
        <v>7362</v>
      </c>
      <c r="X2032" t="s">
        <v>7379</v>
      </c>
      <c r="Y2032" t="s">
        <v>7386</v>
      </c>
      <c r="Z2032" t="s">
        <v>8959</v>
      </c>
      <c r="AA2032" t="s">
        <v>10225</v>
      </c>
      <c r="AB2032" t="s">
        <v>11660</v>
      </c>
      <c r="AC2032">
        <v>2</v>
      </c>
      <c r="AE2032" t="s">
        <v>6110</v>
      </c>
      <c r="AF2032">
        <v>12</v>
      </c>
      <c r="AG2032">
        <v>2</v>
      </c>
      <c r="AH2032">
        <v>2</v>
      </c>
      <c r="AI2032">
        <v>132.57</v>
      </c>
      <c r="AL2032" t="s">
        <v>12461</v>
      </c>
      <c r="AM2032">
        <v>33276</v>
      </c>
      <c r="AN2032" t="s">
        <v>12505</v>
      </c>
      <c r="AS2032">
        <v>2.5</v>
      </c>
      <c r="AT2032" t="s">
        <v>262</v>
      </c>
      <c r="AU2032" t="s">
        <v>13085</v>
      </c>
    </row>
    <row r="2033" spans="1:48">
      <c r="A2033" s="1">
        <f>HYPERLINK("https://cms.ls-nyc.org/matter/dynamic-profile/view/1868430","18-1868430")</f>
        <v>0</v>
      </c>
      <c r="B2033" t="s">
        <v>102</v>
      </c>
      <c r="C2033" t="s">
        <v>520</v>
      </c>
      <c r="D2033" t="s">
        <v>472</v>
      </c>
      <c r="E2033" t="s">
        <v>1600</v>
      </c>
      <c r="F2033" t="s">
        <v>2235</v>
      </c>
      <c r="G2033" t="s">
        <v>4850</v>
      </c>
      <c r="H2033" t="s">
        <v>5348</v>
      </c>
      <c r="I2033" t="s">
        <v>6047</v>
      </c>
      <c r="J2033">
        <v>10452</v>
      </c>
      <c r="K2033" t="s">
        <v>6074</v>
      </c>
      <c r="L2033" t="s">
        <v>6074</v>
      </c>
      <c r="M2033" t="s">
        <v>6924</v>
      </c>
      <c r="N2033" t="s">
        <v>7274</v>
      </c>
      <c r="O2033" t="s">
        <v>7306</v>
      </c>
      <c r="P2033" t="s">
        <v>7314</v>
      </c>
      <c r="Q2033" t="s">
        <v>7322</v>
      </c>
      <c r="R2033" t="s">
        <v>6076</v>
      </c>
      <c r="S2033" t="s">
        <v>7324</v>
      </c>
      <c r="U2033" t="s">
        <v>467</v>
      </c>
      <c r="V2033">
        <v>865.22</v>
      </c>
      <c r="W2033" t="s">
        <v>7363</v>
      </c>
      <c r="X2033" t="s">
        <v>7376</v>
      </c>
      <c r="Y2033" t="s">
        <v>7386</v>
      </c>
      <c r="Z2033" t="s">
        <v>8960</v>
      </c>
      <c r="AB2033" t="s">
        <v>11661</v>
      </c>
      <c r="AC2033">
        <v>70</v>
      </c>
      <c r="AD2033" t="s">
        <v>6322</v>
      </c>
      <c r="AE2033" t="s">
        <v>6110</v>
      </c>
      <c r="AF2033">
        <v>35</v>
      </c>
      <c r="AG2033">
        <v>1</v>
      </c>
      <c r="AH2033">
        <v>0</v>
      </c>
      <c r="AI2033">
        <v>132.72</v>
      </c>
      <c r="AL2033" t="s">
        <v>12461</v>
      </c>
      <c r="AM2033">
        <v>16112</v>
      </c>
      <c r="AS2033">
        <v>0.5</v>
      </c>
      <c r="AT2033" t="s">
        <v>520</v>
      </c>
      <c r="AU2033" t="s">
        <v>13091</v>
      </c>
    </row>
    <row r="2034" spans="1:48">
      <c r="A2034" s="1">
        <f>HYPERLINK("https://cms.ls-nyc.org/matter/dynamic-profile/view/1877651","18-1877651")</f>
        <v>0</v>
      </c>
      <c r="B2034" t="s">
        <v>114</v>
      </c>
      <c r="C2034" t="s">
        <v>290</v>
      </c>
      <c r="D2034" t="s">
        <v>269</v>
      </c>
      <c r="E2034" t="s">
        <v>919</v>
      </c>
      <c r="F2034" t="s">
        <v>2052</v>
      </c>
      <c r="G2034" t="s">
        <v>4394</v>
      </c>
      <c r="I2034" t="s">
        <v>6047</v>
      </c>
      <c r="J2034">
        <v>10452</v>
      </c>
      <c r="K2034" t="s">
        <v>6074</v>
      </c>
      <c r="L2034" t="s">
        <v>6074</v>
      </c>
      <c r="N2034" t="s">
        <v>6104</v>
      </c>
      <c r="O2034" t="s">
        <v>7306</v>
      </c>
      <c r="P2034" t="s">
        <v>7314</v>
      </c>
      <c r="Q2034" t="s">
        <v>7322</v>
      </c>
      <c r="S2034" t="s">
        <v>7324</v>
      </c>
      <c r="U2034" t="s">
        <v>290</v>
      </c>
      <c r="V2034">
        <v>865</v>
      </c>
      <c r="W2034" t="s">
        <v>7363</v>
      </c>
      <c r="X2034" t="s">
        <v>7376</v>
      </c>
      <c r="Y2034" t="s">
        <v>7386</v>
      </c>
      <c r="Z2034" t="s">
        <v>8961</v>
      </c>
      <c r="AB2034" t="s">
        <v>11662</v>
      </c>
      <c r="AC2034">
        <v>26</v>
      </c>
      <c r="AD2034" t="s">
        <v>12422</v>
      </c>
      <c r="AE2034" t="s">
        <v>12434</v>
      </c>
      <c r="AF2034">
        <v>26</v>
      </c>
      <c r="AG2034">
        <v>1</v>
      </c>
      <c r="AH2034">
        <v>0</v>
      </c>
      <c r="AI2034">
        <v>133.15</v>
      </c>
      <c r="AL2034" t="s">
        <v>12461</v>
      </c>
      <c r="AM2034">
        <v>16164</v>
      </c>
      <c r="AS2034">
        <v>0.1</v>
      </c>
      <c r="AT2034" t="s">
        <v>269</v>
      </c>
      <c r="AU2034" t="s">
        <v>13095</v>
      </c>
    </row>
    <row r="2035" spans="1:48">
      <c r="A2035" s="1">
        <f>HYPERLINK("https://cms.ls-nyc.org/matter/dynamic-profile/view/1880305","18-1880305")</f>
        <v>0</v>
      </c>
      <c r="B2035" t="s">
        <v>76</v>
      </c>
      <c r="C2035" t="s">
        <v>354</v>
      </c>
      <c r="E2035" t="s">
        <v>1225</v>
      </c>
      <c r="F2035" t="s">
        <v>3105</v>
      </c>
      <c r="G2035" t="s">
        <v>4851</v>
      </c>
      <c r="H2035" t="s">
        <v>5418</v>
      </c>
      <c r="I2035" t="s">
        <v>6043</v>
      </c>
      <c r="J2035">
        <v>11233</v>
      </c>
      <c r="K2035" t="s">
        <v>6074</v>
      </c>
      <c r="L2035" t="s">
        <v>6074</v>
      </c>
      <c r="M2035" t="s">
        <v>6925</v>
      </c>
      <c r="N2035" t="s">
        <v>7274</v>
      </c>
      <c r="O2035" t="s">
        <v>7308</v>
      </c>
      <c r="Q2035" t="s">
        <v>7322</v>
      </c>
      <c r="R2035" t="s">
        <v>6076</v>
      </c>
      <c r="S2035" t="s">
        <v>7324</v>
      </c>
      <c r="T2035" t="s">
        <v>7336</v>
      </c>
      <c r="U2035" t="s">
        <v>354</v>
      </c>
      <c r="V2035">
        <v>0</v>
      </c>
      <c r="W2035" t="s">
        <v>7362</v>
      </c>
      <c r="X2035" t="s">
        <v>7366</v>
      </c>
      <c r="Z2035" t="s">
        <v>8962</v>
      </c>
      <c r="AB2035" t="s">
        <v>11663</v>
      </c>
      <c r="AC2035">
        <v>30</v>
      </c>
      <c r="AD2035" t="s">
        <v>12422</v>
      </c>
      <c r="AE2035" t="s">
        <v>12434</v>
      </c>
      <c r="AF2035">
        <v>6</v>
      </c>
      <c r="AG2035">
        <v>2</v>
      </c>
      <c r="AH2035">
        <v>0</v>
      </c>
      <c r="AI2035">
        <v>133.29</v>
      </c>
      <c r="AL2035" t="s">
        <v>12460</v>
      </c>
      <c r="AM2035">
        <v>21939.36</v>
      </c>
      <c r="AS2035">
        <v>58.3</v>
      </c>
      <c r="AT2035" t="s">
        <v>260</v>
      </c>
      <c r="AU2035" t="s">
        <v>13083</v>
      </c>
    </row>
    <row r="2036" spans="1:48">
      <c r="A2036" s="1">
        <f>HYPERLINK("https://cms.ls-nyc.org/matter/dynamic-profile/view/1895340","19-1895340")</f>
        <v>0</v>
      </c>
      <c r="B2036" t="s">
        <v>174</v>
      </c>
      <c r="C2036" t="s">
        <v>247</v>
      </c>
      <c r="E2036" t="s">
        <v>1601</v>
      </c>
      <c r="F2036" t="s">
        <v>3106</v>
      </c>
      <c r="G2036" t="s">
        <v>4354</v>
      </c>
      <c r="H2036" t="s">
        <v>5438</v>
      </c>
      <c r="I2036" t="s">
        <v>6043</v>
      </c>
      <c r="J2036">
        <v>11221</v>
      </c>
      <c r="K2036" t="s">
        <v>6074</v>
      </c>
      <c r="L2036" t="s">
        <v>6076</v>
      </c>
      <c r="N2036" t="s">
        <v>7287</v>
      </c>
      <c r="O2036" t="s">
        <v>7308</v>
      </c>
      <c r="Q2036" t="s">
        <v>7322</v>
      </c>
      <c r="R2036" t="s">
        <v>6074</v>
      </c>
      <c r="S2036" t="s">
        <v>7324</v>
      </c>
      <c r="U2036" t="s">
        <v>247</v>
      </c>
      <c r="V2036">
        <v>834</v>
      </c>
      <c r="W2036" t="s">
        <v>7362</v>
      </c>
      <c r="X2036" t="s">
        <v>7376</v>
      </c>
      <c r="Z2036" t="s">
        <v>8963</v>
      </c>
      <c r="AB2036" t="s">
        <v>11664</v>
      </c>
      <c r="AC2036">
        <v>12</v>
      </c>
      <c r="AD2036" t="s">
        <v>12422</v>
      </c>
      <c r="AE2036" t="s">
        <v>6110</v>
      </c>
      <c r="AF2036">
        <v>26</v>
      </c>
      <c r="AG2036">
        <v>5</v>
      </c>
      <c r="AH2036">
        <v>2</v>
      </c>
      <c r="AI2036">
        <v>133.3</v>
      </c>
      <c r="AL2036" t="s">
        <v>12460</v>
      </c>
      <c r="AM2036">
        <v>52000</v>
      </c>
      <c r="AS2036">
        <v>3</v>
      </c>
      <c r="AT2036" t="s">
        <v>526</v>
      </c>
      <c r="AU2036" t="s">
        <v>218</v>
      </c>
      <c r="AV2036" t="s">
        <v>13145</v>
      </c>
    </row>
    <row r="2037" spans="1:48">
      <c r="A2037" s="1">
        <f>HYPERLINK("https://cms.ls-nyc.org/matter/dynamic-profile/view/1880351","18-1880351")</f>
        <v>0</v>
      </c>
      <c r="B2037" t="s">
        <v>133</v>
      </c>
      <c r="C2037" t="s">
        <v>354</v>
      </c>
      <c r="E2037" t="s">
        <v>1047</v>
      </c>
      <c r="F2037" t="s">
        <v>2059</v>
      </c>
      <c r="G2037" t="s">
        <v>4852</v>
      </c>
      <c r="H2037" t="s">
        <v>5382</v>
      </c>
      <c r="I2037" t="s">
        <v>6049</v>
      </c>
      <c r="J2037">
        <v>10032</v>
      </c>
      <c r="K2037" t="s">
        <v>6074</v>
      </c>
      <c r="L2037" t="s">
        <v>6074</v>
      </c>
      <c r="N2037" t="s">
        <v>7276</v>
      </c>
      <c r="O2037" t="s">
        <v>7308</v>
      </c>
      <c r="Q2037" t="s">
        <v>7322</v>
      </c>
      <c r="R2037" t="s">
        <v>6076</v>
      </c>
      <c r="S2037" t="s">
        <v>7324</v>
      </c>
      <c r="U2037" t="s">
        <v>354</v>
      </c>
      <c r="V2037">
        <v>2450</v>
      </c>
      <c r="W2037" t="s">
        <v>7365</v>
      </c>
      <c r="X2037" t="s">
        <v>7366</v>
      </c>
      <c r="Z2037" t="s">
        <v>8964</v>
      </c>
      <c r="AB2037" t="s">
        <v>11665</v>
      </c>
      <c r="AC2037">
        <v>25</v>
      </c>
      <c r="AD2037" t="s">
        <v>12422</v>
      </c>
      <c r="AE2037" t="s">
        <v>6110</v>
      </c>
      <c r="AF2037">
        <v>2</v>
      </c>
      <c r="AG2037">
        <v>3</v>
      </c>
      <c r="AH2037">
        <v>0</v>
      </c>
      <c r="AI2037">
        <v>133.4</v>
      </c>
      <c r="AL2037" t="s">
        <v>12461</v>
      </c>
      <c r="AM2037">
        <v>27720</v>
      </c>
      <c r="AS2037">
        <v>95.54000000000001</v>
      </c>
      <c r="AT2037" t="s">
        <v>460</v>
      </c>
      <c r="AU2037" t="s">
        <v>13106</v>
      </c>
    </row>
    <row r="2038" spans="1:48">
      <c r="A2038" s="1">
        <f>HYPERLINK("https://cms.ls-nyc.org/matter/dynamic-profile/view/1878790","18-1878790")</f>
        <v>0</v>
      </c>
      <c r="B2038" t="s">
        <v>209</v>
      </c>
      <c r="C2038" t="s">
        <v>282</v>
      </c>
      <c r="E2038" t="s">
        <v>586</v>
      </c>
      <c r="F2038" t="s">
        <v>2182</v>
      </c>
      <c r="G2038" t="s">
        <v>4853</v>
      </c>
      <c r="H2038" t="s">
        <v>5382</v>
      </c>
      <c r="I2038" t="s">
        <v>6047</v>
      </c>
      <c r="J2038">
        <v>10468</v>
      </c>
      <c r="K2038" t="s">
        <v>6074</v>
      </c>
      <c r="L2038" t="s">
        <v>6074</v>
      </c>
      <c r="M2038" t="s">
        <v>6926</v>
      </c>
      <c r="N2038" t="s">
        <v>7281</v>
      </c>
      <c r="O2038" t="s">
        <v>7309</v>
      </c>
      <c r="Q2038" t="s">
        <v>7322</v>
      </c>
      <c r="R2038" t="s">
        <v>6076</v>
      </c>
      <c r="S2038" t="s">
        <v>7331</v>
      </c>
      <c r="T2038" t="s">
        <v>7336</v>
      </c>
      <c r="U2038" t="s">
        <v>282</v>
      </c>
      <c r="V2038">
        <v>1124.24</v>
      </c>
      <c r="W2038" t="s">
        <v>7363</v>
      </c>
      <c r="X2038" t="s">
        <v>7366</v>
      </c>
      <c r="Z2038" t="s">
        <v>8965</v>
      </c>
      <c r="AB2038" t="s">
        <v>11666</v>
      </c>
      <c r="AC2038">
        <v>43</v>
      </c>
      <c r="AD2038" t="s">
        <v>12422</v>
      </c>
      <c r="AE2038" t="s">
        <v>12434</v>
      </c>
      <c r="AF2038">
        <v>21</v>
      </c>
      <c r="AG2038">
        <v>1</v>
      </c>
      <c r="AH2038">
        <v>2</v>
      </c>
      <c r="AI2038">
        <v>133.58</v>
      </c>
      <c r="AL2038" t="s">
        <v>12461</v>
      </c>
      <c r="AM2038">
        <v>27757.08</v>
      </c>
      <c r="AS2038">
        <v>9.5</v>
      </c>
      <c r="AT2038" t="s">
        <v>332</v>
      </c>
      <c r="AU2038" t="s">
        <v>13114</v>
      </c>
    </row>
    <row r="2039" spans="1:48">
      <c r="A2039" s="1">
        <f>HYPERLINK("https://cms.ls-nyc.org/matter/dynamic-profile/view/1890177","19-1890177")</f>
        <v>0</v>
      </c>
      <c r="B2039" t="s">
        <v>72</v>
      </c>
      <c r="C2039" t="s">
        <v>477</v>
      </c>
      <c r="E2039" t="s">
        <v>916</v>
      </c>
      <c r="F2039" t="s">
        <v>3107</v>
      </c>
      <c r="G2039" t="s">
        <v>3701</v>
      </c>
      <c r="H2039" t="s">
        <v>5806</v>
      </c>
      <c r="I2039" t="s">
        <v>6043</v>
      </c>
      <c r="J2039">
        <v>11233</v>
      </c>
      <c r="K2039" t="s">
        <v>6074</v>
      </c>
      <c r="L2039" t="s">
        <v>6074</v>
      </c>
      <c r="N2039" t="s">
        <v>7279</v>
      </c>
      <c r="O2039" t="s">
        <v>7309</v>
      </c>
      <c r="Q2039" t="s">
        <v>7322</v>
      </c>
      <c r="R2039" t="s">
        <v>6074</v>
      </c>
      <c r="S2039" t="s">
        <v>7324</v>
      </c>
      <c r="T2039" t="s">
        <v>7336</v>
      </c>
      <c r="U2039" t="s">
        <v>7355</v>
      </c>
      <c r="V2039">
        <v>841.4299999999999</v>
      </c>
      <c r="W2039" t="s">
        <v>7362</v>
      </c>
      <c r="X2039" t="s">
        <v>7370</v>
      </c>
      <c r="Z2039" t="s">
        <v>7623</v>
      </c>
      <c r="AA2039" t="s">
        <v>6110</v>
      </c>
      <c r="AB2039" t="s">
        <v>11667</v>
      </c>
      <c r="AC2039">
        <v>764</v>
      </c>
      <c r="AD2039" t="s">
        <v>12422</v>
      </c>
      <c r="AE2039" t="s">
        <v>12434</v>
      </c>
      <c r="AF2039">
        <v>31</v>
      </c>
      <c r="AG2039">
        <v>1</v>
      </c>
      <c r="AH2039">
        <v>0</v>
      </c>
      <c r="AI2039">
        <v>133.64</v>
      </c>
      <c r="AL2039" t="s">
        <v>12460</v>
      </c>
      <c r="AM2039">
        <v>16692</v>
      </c>
      <c r="AS2039">
        <v>0</v>
      </c>
      <c r="AU2039" t="s">
        <v>218</v>
      </c>
    </row>
    <row r="2040" spans="1:48">
      <c r="A2040" s="1">
        <f>HYPERLINK("https://cms.ls-nyc.org/matter/dynamic-profile/view/1891460","19-1891460")</f>
        <v>0</v>
      </c>
      <c r="B2040" t="s">
        <v>72</v>
      </c>
      <c r="C2040" t="s">
        <v>278</v>
      </c>
      <c r="E2040" t="s">
        <v>916</v>
      </c>
      <c r="F2040" t="s">
        <v>3107</v>
      </c>
      <c r="G2040" t="s">
        <v>3701</v>
      </c>
      <c r="H2040" t="s">
        <v>5806</v>
      </c>
      <c r="I2040" t="s">
        <v>6043</v>
      </c>
      <c r="J2040">
        <v>11233</v>
      </c>
      <c r="K2040" t="s">
        <v>6074</v>
      </c>
      <c r="L2040" t="s">
        <v>6075</v>
      </c>
      <c r="N2040" t="s">
        <v>7275</v>
      </c>
      <c r="O2040" t="s">
        <v>7307</v>
      </c>
      <c r="Q2040" t="s">
        <v>7322</v>
      </c>
      <c r="R2040" t="s">
        <v>6074</v>
      </c>
      <c r="S2040" t="s">
        <v>7324</v>
      </c>
      <c r="T2040" t="s">
        <v>7336</v>
      </c>
      <c r="U2040" t="s">
        <v>287</v>
      </c>
      <c r="V2040">
        <v>841.4299999999999</v>
      </c>
      <c r="W2040" t="s">
        <v>7362</v>
      </c>
      <c r="X2040" t="s">
        <v>7370</v>
      </c>
      <c r="Z2040" t="s">
        <v>7623</v>
      </c>
      <c r="AB2040" t="s">
        <v>11667</v>
      </c>
      <c r="AC2040">
        <v>764</v>
      </c>
      <c r="AD2040" t="s">
        <v>12422</v>
      </c>
      <c r="AE2040" t="s">
        <v>12434</v>
      </c>
      <c r="AF2040">
        <v>31</v>
      </c>
      <c r="AG2040">
        <v>1</v>
      </c>
      <c r="AH2040">
        <v>0</v>
      </c>
      <c r="AI2040">
        <v>133.64</v>
      </c>
      <c r="AL2040" t="s">
        <v>12460</v>
      </c>
      <c r="AM2040">
        <v>16692</v>
      </c>
      <c r="AN2040" t="s">
        <v>12659</v>
      </c>
      <c r="AS2040">
        <v>0</v>
      </c>
      <c r="AU2040" t="s">
        <v>180</v>
      </c>
    </row>
    <row r="2041" spans="1:48">
      <c r="A2041" s="1">
        <f>HYPERLINK("https://cms.ls-nyc.org/matter/dynamic-profile/view/1875659","18-1875659")</f>
        <v>0</v>
      </c>
      <c r="B2041" t="s">
        <v>68</v>
      </c>
      <c r="C2041" t="s">
        <v>233</v>
      </c>
      <c r="D2041" t="s">
        <v>317</v>
      </c>
      <c r="E2041" t="s">
        <v>987</v>
      </c>
      <c r="F2041" t="s">
        <v>2265</v>
      </c>
      <c r="G2041" t="s">
        <v>4854</v>
      </c>
      <c r="H2041" t="s">
        <v>5387</v>
      </c>
      <c r="I2041" t="s">
        <v>6043</v>
      </c>
      <c r="J2041">
        <v>11233</v>
      </c>
      <c r="K2041" t="s">
        <v>6074</v>
      </c>
      <c r="L2041" t="s">
        <v>6074</v>
      </c>
      <c r="M2041" t="s">
        <v>6927</v>
      </c>
      <c r="N2041" t="s">
        <v>7276</v>
      </c>
      <c r="O2041" t="s">
        <v>7308</v>
      </c>
      <c r="P2041" t="s">
        <v>7317</v>
      </c>
      <c r="Q2041" t="s">
        <v>7322</v>
      </c>
      <c r="S2041" t="s">
        <v>7324</v>
      </c>
      <c r="U2041" t="s">
        <v>337</v>
      </c>
      <c r="V2041">
        <v>997</v>
      </c>
      <c r="W2041" t="s">
        <v>7362</v>
      </c>
      <c r="X2041" t="s">
        <v>7376</v>
      </c>
      <c r="Y2041" t="s">
        <v>7388</v>
      </c>
      <c r="Z2041" t="s">
        <v>8966</v>
      </c>
      <c r="AB2041" t="s">
        <v>11668</v>
      </c>
      <c r="AC2041">
        <v>12</v>
      </c>
      <c r="AE2041" t="s">
        <v>12434</v>
      </c>
      <c r="AF2041">
        <v>20</v>
      </c>
      <c r="AG2041">
        <v>2</v>
      </c>
      <c r="AH2041">
        <v>0</v>
      </c>
      <c r="AI2041">
        <v>133.95</v>
      </c>
      <c r="AL2041" t="s">
        <v>12460</v>
      </c>
      <c r="AM2041">
        <v>22048</v>
      </c>
      <c r="AS2041">
        <v>30</v>
      </c>
      <c r="AT2041" t="s">
        <v>324</v>
      </c>
      <c r="AU2041" t="s">
        <v>13085</v>
      </c>
    </row>
    <row r="2042" spans="1:48">
      <c r="A2042" s="1">
        <f>HYPERLINK("https://cms.ls-nyc.org/matter/dynamic-profile/view/1895274","19-1895274")</f>
        <v>0</v>
      </c>
      <c r="B2042" t="s">
        <v>174</v>
      </c>
      <c r="C2042" t="s">
        <v>247</v>
      </c>
      <c r="E2042" t="s">
        <v>1010</v>
      </c>
      <c r="F2042" t="s">
        <v>3108</v>
      </c>
      <c r="G2042" t="s">
        <v>4855</v>
      </c>
      <c r="H2042" t="s">
        <v>5439</v>
      </c>
      <c r="I2042" t="s">
        <v>6043</v>
      </c>
      <c r="J2042">
        <v>11221</v>
      </c>
      <c r="K2042" t="s">
        <v>6074</v>
      </c>
      <c r="L2042" t="s">
        <v>6074</v>
      </c>
      <c r="N2042" t="s">
        <v>7287</v>
      </c>
      <c r="O2042" t="s">
        <v>7308</v>
      </c>
      <c r="Q2042" t="s">
        <v>7322</v>
      </c>
      <c r="R2042" t="s">
        <v>6074</v>
      </c>
      <c r="S2042" t="s">
        <v>7324</v>
      </c>
      <c r="U2042" t="s">
        <v>7356</v>
      </c>
      <c r="V2042">
        <v>1292.5</v>
      </c>
      <c r="W2042" t="s">
        <v>7362</v>
      </c>
      <c r="X2042" t="s">
        <v>7305</v>
      </c>
      <c r="Z2042" t="s">
        <v>8967</v>
      </c>
      <c r="AB2042" t="s">
        <v>11669</v>
      </c>
      <c r="AC2042">
        <v>0</v>
      </c>
      <c r="AE2042" t="s">
        <v>6110</v>
      </c>
      <c r="AF2042">
        <v>13</v>
      </c>
      <c r="AG2042">
        <v>3</v>
      </c>
      <c r="AH2042">
        <v>0</v>
      </c>
      <c r="AI2042">
        <v>134.08</v>
      </c>
      <c r="AL2042" t="s">
        <v>12460</v>
      </c>
      <c r="AM2042">
        <v>28600</v>
      </c>
      <c r="AS2042">
        <v>16.2</v>
      </c>
      <c r="AT2042" t="s">
        <v>317</v>
      </c>
      <c r="AU2042" t="s">
        <v>180</v>
      </c>
    </row>
    <row r="2043" spans="1:48">
      <c r="A2043" s="1">
        <f>HYPERLINK("https://cms.ls-nyc.org/matter/dynamic-profile/view/1890366","19-1890366")</f>
        <v>0</v>
      </c>
      <c r="B2043" t="s">
        <v>113</v>
      </c>
      <c r="C2043" t="s">
        <v>330</v>
      </c>
      <c r="E2043" t="s">
        <v>1602</v>
      </c>
      <c r="F2043" t="s">
        <v>2528</v>
      </c>
      <c r="G2043" t="s">
        <v>4856</v>
      </c>
      <c r="H2043" t="s">
        <v>5387</v>
      </c>
      <c r="I2043" t="s">
        <v>6047</v>
      </c>
      <c r="J2043">
        <v>10457</v>
      </c>
      <c r="K2043" t="s">
        <v>6074</v>
      </c>
      <c r="L2043" t="s">
        <v>6074</v>
      </c>
      <c r="M2043" t="s">
        <v>6928</v>
      </c>
      <c r="N2043" t="s">
        <v>7276</v>
      </c>
      <c r="O2043" t="s">
        <v>7308</v>
      </c>
      <c r="Q2043" t="s">
        <v>7322</v>
      </c>
      <c r="R2043" t="s">
        <v>6076</v>
      </c>
      <c r="S2043" t="s">
        <v>7324</v>
      </c>
      <c r="U2043" t="s">
        <v>330</v>
      </c>
      <c r="V2043">
        <v>3123.85</v>
      </c>
      <c r="W2043" t="s">
        <v>7363</v>
      </c>
      <c r="Z2043" t="s">
        <v>8968</v>
      </c>
      <c r="AB2043" t="s">
        <v>11670</v>
      </c>
      <c r="AC2043">
        <v>20</v>
      </c>
      <c r="AE2043" t="s">
        <v>12437</v>
      </c>
      <c r="AF2043">
        <v>7</v>
      </c>
      <c r="AG2043">
        <v>2</v>
      </c>
      <c r="AH2043">
        <v>0</v>
      </c>
      <c r="AI2043">
        <v>134.19</v>
      </c>
      <c r="AL2043" t="s">
        <v>12460</v>
      </c>
      <c r="AM2043">
        <v>22692</v>
      </c>
      <c r="AS2043">
        <v>23.3</v>
      </c>
      <c r="AT2043" t="s">
        <v>423</v>
      </c>
      <c r="AU2043" t="s">
        <v>13093</v>
      </c>
    </row>
    <row r="2044" spans="1:48">
      <c r="A2044" s="1">
        <f>HYPERLINK("https://cms.ls-nyc.org/matter/dynamic-profile/view/1898822","19-1898822")</f>
        <v>0</v>
      </c>
      <c r="B2044" t="s">
        <v>125</v>
      </c>
      <c r="C2044" t="s">
        <v>294</v>
      </c>
      <c r="E2044" t="s">
        <v>1603</v>
      </c>
      <c r="F2044" t="s">
        <v>3109</v>
      </c>
      <c r="G2044" t="s">
        <v>4857</v>
      </c>
      <c r="H2044">
        <v>41</v>
      </c>
      <c r="I2044" t="s">
        <v>6049</v>
      </c>
      <c r="J2044">
        <v>10033</v>
      </c>
      <c r="K2044" t="s">
        <v>6074</v>
      </c>
      <c r="L2044" t="s">
        <v>6074</v>
      </c>
      <c r="O2044" t="s">
        <v>7306</v>
      </c>
      <c r="Q2044" t="s">
        <v>7322</v>
      </c>
      <c r="R2044" t="s">
        <v>6076</v>
      </c>
      <c r="S2044" t="s">
        <v>7324</v>
      </c>
      <c r="U2044" t="s">
        <v>294</v>
      </c>
      <c r="V2044">
        <v>796.84</v>
      </c>
      <c r="W2044" t="s">
        <v>7365</v>
      </c>
      <c r="X2044" t="s">
        <v>7367</v>
      </c>
      <c r="Z2044" t="s">
        <v>8969</v>
      </c>
      <c r="AB2044" t="s">
        <v>11671</v>
      </c>
      <c r="AC2044">
        <v>25</v>
      </c>
      <c r="AD2044" t="s">
        <v>12422</v>
      </c>
      <c r="AE2044" t="s">
        <v>6110</v>
      </c>
      <c r="AF2044">
        <v>38</v>
      </c>
      <c r="AG2044">
        <v>1</v>
      </c>
      <c r="AH2044">
        <v>0</v>
      </c>
      <c r="AI2044">
        <v>134.32</v>
      </c>
      <c r="AL2044" t="s">
        <v>12460</v>
      </c>
      <c r="AM2044">
        <v>16776</v>
      </c>
      <c r="AS2044">
        <v>2.7</v>
      </c>
      <c r="AT2044" t="s">
        <v>445</v>
      </c>
      <c r="AU2044" t="s">
        <v>13106</v>
      </c>
    </row>
    <row r="2045" spans="1:48">
      <c r="A2045" s="1">
        <f>HYPERLINK("https://cms.ls-nyc.org/matter/dynamic-profile/view/1876956","18-1876956")</f>
        <v>0</v>
      </c>
      <c r="B2045" t="s">
        <v>103</v>
      </c>
      <c r="C2045" t="s">
        <v>243</v>
      </c>
      <c r="E2045" t="s">
        <v>1604</v>
      </c>
      <c r="F2045" t="s">
        <v>2265</v>
      </c>
      <c r="G2045" t="s">
        <v>4858</v>
      </c>
      <c r="H2045" t="s">
        <v>5807</v>
      </c>
      <c r="I2045" t="s">
        <v>6047</v>
      </c>
      <c r="J2045">
        <v>10459</v>
      </c>
      <c r="K2045" t="s">
        <v>6074</v>
      </c>
      <c r="L2045" t="s">
        <v>6074</v>
      </c>
      <c r="N2045" t="s">
        <v>7274</v>
      </c>
      <c r="O2045" t="s">
        <v>7308</v>
      </c>
      <c r="Q2045" t="s">
        <v>7323</v>
      </c>
      <c r="R2045" t="s">
        <v>6076</v>
      </c>
      <c r="S2045" t="s">
        <v>7324</v>
      </c>
      <c r="U2045" t="s">
        <v>243</v>
      </c>
      <c r="V2045">
        <v>1720</v>
      </c>
      <c r="W2045" t="s">
        <v>7363</v>
      </c>
      <c r="X2045" t="s">
        <v>7369</v>
      </c>
      <c r="Z2045" t="s">
        <v>8970</v>
      </c>
      <c r="AB2045" t="s">
        <v>11672</v>
      </c>
      <c r="AC2045">
        <v>128</v>
      </c>
      <c r="AD2045" t="s">
        <v>12422</v>
      </c>
      <c r="AE2045" t="s">
        <v>6110</v>
      </c>
      <c r="AF2045">
        <v>11</v>
      </c>
      <c r="AG2045">
        <v>2</v>
      </c>
      <c r="AH2045">
        <v>2</v>
      </c>
      <c r="AI2045">
        <v>134.5</v>
      </c>
      <c r="AJ2045" t="s">
        <v>12443</v>
      </c>
      <c r="AK2045" t="s">
        <v>12455</v>
      </c>
      <c r="AL2045" t="s">
        <v>12460</v>
      </c>
      <c r="AM2045">
        <v>33760</v>
      </c>
      <c r="AS2045">
        <v>26.5</v>
      </c>
      <c r="AT2045" t="s">
        <v>260</v>
      </c>
      <c r="AU2045" t="s">
        <v>172</v>
      </c>
    </row>
    <row r="2046" spans="1:48">
      <c r="A2046" s="1">
        <f>HYPERLINK("https://cms.ls-nyc.org/matter/dynamic-profile/view/1881134","18-1881134")</f>
        <v>0</v>
      </c>
      <c r="B2046" t="s">
        <v>126</v>
      </c>
      <c r="C2046" t="s">
        <v>464</v>
      </c>
      <c r="D2046" t="s">
        <v>297</v>
      </c>
      <c r="E2046" t="s">
        <v>1605</v>
      </c>
      <c r="F2046" t="s">
        <v>3110</v>
      </c>
      <c r="G2046" t="s">
        <v>4859</v>
      </c>
      <c r="H2046" t="s">
        <v>5808</v>
      </c>
      <c r="I2046" t="s">
        <v>6049</v>
      </c>
      <c r="J2046">
        <v>10029</v>
      </c>
      <c r="K2046" t="s">
        <v>6074</v>
      </c>
      <c r="L2046" t="s">
        <v>6074</v>
      </c>
      <c r="N2046" t="s">
        <v>6104</v>
      </c>
      <c r="O2046" t="s">
        <v>7306</v>
      </c>
      <c r="P2046" t="s">
        <v>7314</v>
      </c>
      <c r="Q2046" t="s">
        <v>7322</v>
      </c>
      <c r="R2046" t="s">
        <v>6076</v>
      </c>
      <c r="S2046" t="s">
        <v>7324</v>
      </c>
      <c r="T2046" t="s">
        <v>7336</v>
      </c>
      <c r="U2046" t="s">
        <v>464</v>
      </c>
      <c r="V2046">
        <v>600</v>
      </c>
      <c r="W2046" t="s">
        <v>7365</v>
      </c>
      <c r="X2046" t="s">
        <v>7367</v>
      </c>
      <c r="Y2046" t="s">
        <v>7386</v>
      </c>
      <c r="Z2046" t="s">
        <v>8971</v>
      </c>
      <c r="AB2046" t="s">
        <v>11673</v>
      </c>
      <c r="AC2046">
        <v>154</v>
      </c>
      <c r="AD2046" t="s">
        <v>12422</v>
      </c>
      <c r="AE2046" t="s">
        <v>6110</v>
      </c>
      <c r="AF2046">
        <v>2</v>
      </c>
      <c r="AG2046">
        <v>2</v>
      </c>
      <c r="AH2046">
        <v>1</v>
      </c>
      <c r="AI2046">
        <v>134.84</v>
      </c>
      <c r="AL2046" t="s">
        <v>12460</v>
      </c>
      <c r="AM2046">
        <v>28020</v>
      </c>
      <c r="AS2046">
        <v>1.8</v>
      </c>
      <c r="AT2046" t="s">
        <v>298</v>
      </c>
      <c r="AU2046" t="s">
        <v>13107</v>
      </c>
    </row>
    <row r="2047" spans="1:48">
      <c r="A2047" s="1">
        <f>HYPERLINK("https://cms.ls-nyc.org/matter/dynamic-profile/view/1875835","18-1875835")</f>
        <v>0</v>
      </c>
      <c r="B2047" t="s">
        <v>97</v>
      </c>
      <c r="C2047" t="s">
        <v>281</v>
      </c>
      <c r="D2047" t="s">
        <v>389</v>
      </c>
      <c r="E2047" t="s">
        <v>1606</v>
      </c>
      <c r="F2047" t="s">
        <v>3111</v>
      </c>
      <c r="G2047" t="s">
        <v>4860</v>
      </c>
      <c r="H2047" t="s">
        <v>5809</v>
      </c>
      <c r="I2047" t="s">
        <v>6047</v>
      </c>
      <c r="J2047">
        <v>10453</v>
      </c>
      <c r="K2047" t="s">
        <v>6074</v>
      </c>
      <c r="L2047" t="s">
        <v>6074</v>
      </c>
      <c r="N2047" t="s">
        <v>6104</v>
      </c>
      <c r="O2047" t="s">
        <v>7306</v>
      </c>
      <c r="P2047" t="s">
        <v>7314</v>
      </c>
      <c r="Q2047" t="s">
        <v>7322</v>
      </c>
      <c r="R2047" t="s">
        <v>6076</v>
      </c>
      <c r="S2047" t="s">
        <v>7324</v>
      </c>
      <c r="U2047" t="s">
        <v>281</v>
      </c>
      <c r="V2047">
        <v>621.6900000000001</v>
      </c>
      <c r="W2047" t="s">
        <v>7363</v>
      </c>
      <c r="X2047" t="s">
        <v>7367</v>
      </c>
      <c r="Y2047" t="s">
        <v>7386</v>
      </c>
      <c r="Z2047" t="s">
        <v>8972</v>
      </c>
      <c r="AB2047" t="s">
        <v>11674</v>
      </c>
      <c r="AC2047">
        <v>49</v>
      </c>
      <c r="AD2047" t="s">
        <v>12422</v>
      </c>
      <c r="AE2047" t="s">
        <v>12441</v>
      </c>
      <c r="AF2047">
        <v>41</v>
      </c>
      <c r="AG2047">
        <v>2</v>
      </c>
      <c r="AH2047">
        <v>0</v>
      </c>
      <c r="AI2047">
        <v>134.87</v>
      </c>
      <c r="AL2047" t="s">
        <v>12461</v>
      </c>
      <c r="AM2047">
        <v>22200</v>
      </c>
      <c r="AS2047">
        <v>2</v>
      </c>
      <c r="AT2047" t="s">
        <v>389</v>
      </c>
      <c r="AU2047" t="s">
        <v>97</v>
      </c>
    </row>
    <row r="2048" spans="1:48">
      <c r="A2048" s="1">
        <f>HYPERLINK("https://cms.ls-nyc.org/matter/dynamic-profile/view/1878816","18-1878816")</f>
        <v>0</v>
      </c>
      <c r="B2048" t="s">
        <v>133</v>
      </c>
      <c r="C2048" t="s">
        <v>282</v>
      </c>
      <c r="D2048" t="s">
        <v>282</v>
      </c>
      <c r="E2048" t="s">
        <v>1503</v>
      </c>
      <c r="F2048" t="s">
        <v>2279</v>
      </c>
      <c r="G2048" t="s">
        <v>3934</v>
      </c>
      <c r="H2048">
        <v>31</v>
      </c>
      <c r="I2048" t="s">
        <v>6049</v>
      </c>
      <c r="J2048">
        <v>10034</v>
      </c>
      <c r="K2048" t="s">
        <v>6074</v>
      </c>
      <c r="L2048" t="s">
        <v>6074</v>
      </c>
      <c r="N2048" t="s">
        <v>7278</v>
      </c>
      <c r="O2048" t="s">
        <v>7306</v>
      </c>
      <c r="P2048" t="s">
        <v>7314</v>
      </c>
      <c r="Q2048" t="s">
        <v>7322</v>
      </c>
      <c r="R2048" t="s">
        <v>6076</v>
      </c>
      <c r="S2048" t="s">
        <v>7324</v>
      </c>
      <c r="U2048" t="s">
        <v>282</v>
      </c>
      <c r="V2048">
        <v>1013.58</v>
      </c>
      <c r="W2048" t="s">
        <v>7365</v>
      </c>
      <c r="X2048" t="s">
        <v>7367</v>
      </c>
      <c r="Y2048" t="s">
        <v>7386</v>
      </c>
      <c r="Z2048" t="s">
        <v>8763</v>
      </c>
      <c r="AB2048" t="s">
        <v>11482</v>
      </c>
      <c r="AC2048">
        <v>25</v>
      </c>
      <c r="AD2048" t="s">
        <v>12422</v>
      </c>
      <c r="AE2048" t="s">
        <v>12434</v>
      </c>
      <c r="AF2048">
        <v>50</v>
      </c>
      <c r="AG2048">
        <v>2</v>
      </c>
      <c r="AH2048">
        <v>0</v>
      </c>
      <c r="AI2048">
        <v>135.24</v>
      </c>
      <c r="AL2048" t="s">
        <v>12461</v>
      </c>
      <c r="AM2048">
        <v>22260</v>
      </c>
      <c r="AS2048">
        <v>1</v>
      </c>
      <c r="AT2048" t="s">
        <v>282</v>
      </c>
      <c r="AU2048" t="s">
        <v>13106</v>
      </c>
    </row>
    <row r="2049" spans="1:48">
      <c r="A2049" s="1">
        <f>HYPERLINK("https://cms.ls-nyc.org/matter/dynamic-profile/view/1885512","18-1885512")</f>
        <v>0</v>
      </c>
      <c r="B2049" t="s">
        <v>115</v>
      </c>
      <c r="C2049" t="s">
        <v>429</v>
      </c>
      <c r="E2049" t="s">
        <v>1607</v>
      </c>
      <c r="F2049" t="s">
        <v>846</v>
      </c>
      <c r="G2049" t="s">
        <v>4132</v>
      </c>
      <c r="H2049" t="s">
        <v>5810</v>
      </c>
      <c r="I2049" t="s">
        <v>6047</v>
      </c>
      <c r="J2049">
        <v>10463</v>
      </c>
      <c r="K2049" t="s">
        <v>6074</v>
      </c>
      <c r="L2049" t="s">
        <v>6074</v>
      </c>
      <c r="M2049" t="s">
        <v>6566</v>
      </c>
      <c r="N2049" t="s">
        <v>7273</v>
      </c>
      <c r="O2049" t="s">
        <v>7308</v>
      </c>
      <c r="Q2049" t="s">
        <v>7322</v>
      </c>
      <c r="R2049" t="s">
        <v>6074</v>
      </c>
      <c r="S2049" t="s">
        <v>7324</v>
      </c>
      <c r="U2049" t="s">
        <v>472</v>
      </c>
      <c r="V2049">
        <v>1074</v>
      </c>
      <c r="W2049" t="s">
        <v>7363</v>
      </c>
      <c r="X2049" t="s">
        <v>7376</v>
      </c>
      <c r="Z2049" t="s">
        <v>8973</v>
      </c>
      <c r="AC2049">
        <v>55</v>
      </c>
      <c r="AD2049" t="s">
        <v>12422</v>
      </c>
      <c r="AE2049" t="s">
        <v>6110</v>
      </c>
      <c r="AF2049">
        <v>7</v>
      </c>
      <c r="AG2049">
        <v>2</v>
      </c>
      <c r="AH2049">
        <v>2</v>
      </c>
      <c r="AI2049">
        <v>135.46</v>
      </c>
      <c r="AL2049" t="s">
        <v>12461</v>
      </c>
      <c r="AM2049">
        <v>34000</v>
      </c>
      <c r="AN2049" t="s">
        <v>12587</v>
      </c>
      <c r="AS2049">
        <v>0</v>
      </c>
      <c r="AU2049" t="s">
        <v>13099</v>
      </c>
    </row>
    <row r="2050" spans="1:48">
      <c r="A2050" s="1">
        <f>HYPERLINK("https://cms.ls-nyc.org/matter/dynamic-profile/view/1874017","18-1874017")</f>
        <v>0</v>
      </c>
      <c r="B2050" t="s">
        <v>102</v>
      </c>
      <c r="C2050" t="s">
        <v>437</v>
      </c>
      <c r="D2050" t="s">
        <v>391</v>
      </c>
      <c r="E2050" t="s">
        <v>1608</v>
      </c>
      <c r="F2050" t="s">
        <v>3112</v>
      </c>
      <c r="G2050" t="s">
        <v>4861</v>
      </c>
      <c r="H2050" t="s">
        <v>5811</v>
      </c>
      <c r="I2050" t="s">
        <v>6047</v>
      </c>
      <c r="J2050">
        <v>10453</v>
      </c>
      <c r="K2050" t="s">
        <v>6074</v>
      </c>
      <c r="L2050" t="s">
        <v>6074</v>
      </c>
      <c r="M2050" t="s">
        <v>6929</v>
      </c>
      <c r="N2050" t="s">
        <v>7276</v>
      </c>
      <c r="O2050" t="s">
        <v>7307</v>
      </c>
      <c r="P2050" t="s">
        <v>7315</v>
      </c>
      <c r="Q2050" t="s">
        <v>7322</v>
      </c>
      <c r="R2050" t="s">
        <v>6076</v>
      </c>
      <c r="S2050" t="s">
        <v>7324</v>
      </c>
      <c r="U2050" t="s">
        <v>502</v>
      </c>
      <c r="V2050">
        <v>512.0599999999999</v>
      </c>
      <c r="W2050" t="s">
        <v>7363</v>
      </c>
      <c r="X2050" t="s">
        <v>7377</v>
      </c>
      <c r="Y2050" t="s">
        <v>7386</v>
      </c>
      <c r="Z2050" t="s">
        <v>8974</v>
      </c>
      <c r="AB2050" t="s">
        <v>11675</v>
      </c>
      <c r="AC2050">
        <v>53</v>
      </c>
      <c r="AD2050" t="s">
        <v>6322</v>
      </c>
      <c r="AE2050" t="s">
        <v>6110</v>
      </c>
      <c r="AF2050">
        <v>7</v>
      </c>
      <c r="AG2050">
        <v>2</v>
      </c>
      <c r="AH2050">
        <v>0</v>
      </c>
      <c r="AI2050">
        <v>135.53</v>
      </c>
      <c r="AL2050" t="s">
        <v>12460</v>
      </c>
      <c r="AM2050">
        <v>22308</v>
      </c>
      <c r="AS2050">
        <v>5.15</v>
      </c>
      <c r="AT2050" t="s">
        <v>281</v>
      </c>
      <c r="AU2050" t="s">
        <v>13097</v>
      </c>
    </row>
    <row r="2051" spans="1:48">
      <c r="A2051" s="1">
        <f>HYPERLINK("https://cms.ls-nyc.org/matter/dynamic-profile/view/1900576","19-1900576")</f>
        <v>0</v>
      </c>
      <c r="B2051" t="s">
        <v>180</v>
      </c>
      <c r="C2051" t="s">
        <v>260</v>
      </c>
      <c r="E2051" t="s">
        <v>1609</v>
      </c>
      <c r="F2051" t="s">
        <v>3113</v>
      </c>
      <c r="G2051" t="s">
        <v>4862</v>
      </c>
      <c r="H2051" t="s">
        <v>5578</v>
      </c>
      <c r="I2051" t="s">
        <v>6043</v>
      </c>
      <c r="J2051">
        <v>11208</v>
      </c>
      <c r="K2051" t="s">
        <v>6074</v>
      </c>
      <c r="L2051" t="s">
        <v>6075</v>
      </c>
      <c r="M2051" t="s">
        <v>6930</v>
      </c>
      <c r="N2051" t="s">
        <v>7274</v>
      </c>
      <c r="O2051" t="s">
        <v>7310</v>
      </c>
      <c r="Q2051" t="s">
        <v>7322</v>
      </c>
      <c r="R2051" t="s">
        <v>6076</v>
      </c>
      <c r="S2051" t="s">
        <v>7324</v>
      </c>
      <c r="U2051" t="s">
        <v>260</v>
      </c>
      <c r="V2051">
        <v>1350</v>
      </c>
      <c r="W2051" t="s">
        <v>7362</v>
      </c>
      <c r="X2051" t="s">
        <v>7366</v>
      </c>
      <c r="Z2051" t="s">
        <v>8975</v>
      </c>
      <c r="AB2051" t="s">
        <v>11676</v>
      </c>
      <c r="AC2051">
        <v>4</v>
      </c>
      <c r="AD2051" t="s">
        <v>12419</v>
      </c>
      <c r="AE2051" t="s">
        <v>6110</v>
      </c>
      <c r="AF2051">
        <v>6</v>
      </c>
      <c r="AG2051">
        <v>3</v>
      </c>
      <c r="AH2051">
        <v>2</v>
      </c>
      <c r="AI2051">
        <v>135.62</v>
      </c>
      <c r="AL2051" t="s">
        <v>12460</v>
      </c>
      <c r="AM2051">
        <v>40916</v>
      </c>
      <c r="AS2051">
        <v>1.6</v>
      </c>
      <c r="AT2051" t="s">
        <v>382</v>
      </c>
      <c r="AU2051" t="s">
        <v>13136</v>
      </c>
      <c r="AV2051" t="s">
        <v>13145</v>
      </c>
    </row>
    <row r="2052" spans="1:48">
      <c r="A2052" s="1">
        <f>HYPERLINK("https://cms.ls-nyc.org/matter/dynamic-profile/view/1880516","18-1880516")</f>
        <v>0</v>
      </c>
      <c r="B2052" t="s">
        <v>113</v>
      </c>
      <c r="C2052" t="s">
        <v>307</v>
      </c>
      <c r="D2052" t="s">
        <v>435</v>
      </c>
      <c r="E2052" t="s">
        <v>1610</v>
      </c>
      <c r="F2052" t="s">
        <v>2285</v>
      </c>
      <c r="G2052" t="s">
        <v>4863</v>
      </c>
      <c r="H2052" t="s">
        <v>5812</v>
      </c>
      <c r="I2052" t="s">
        <v>6047</v>
      </c>
      <c r="J2052">
        <v>10463</v>
      </c>
      <c r="K2052" t="s">
        <v>6074</v>
      </c>
      <c r="L2052" t="s">
        <v>6074</v>
      </c>
      <c r="M2052" t="s">
        <v>6931</v>
      </c>
      <c r="N2052" t="s">
        <v>7276</v>
      </c>
      <c r="O2052" t="s">
        <v>7307</v>
      </c>
      <c r="P2052" t="s">
        <v>7314</v>
      </c>
      <c r="Q2052" t="s">
        <v>7322</v>
      </c>
      <c r="R2052" t="s">
        <v>6076</v>
      </c>
      <c r="S2052" t="s">
        <v>7324</v>
      </c>
      <c r="T2052" t="s">
        <v>7339</v>
      </c>
      <c r="U2052" t="s">
        <v>292</v>
      </c>
      <c r="V2052">
        <v>2100</v>
      </c>
      <c r="W2052" t="s">
        <v>7363</v>
      </c>
      <c r="X2052" t="s">
        <v>7378</v>
      </c>
      <c r="Y2052" t="s">
        <v>7386</v>
      </c>
      <c r="Z2052" t="s">
        <v>8976</v>
      </c>
      <c r="AA2052" t="s">
        <v>10226</v>
      </c>
      <c r="AB2052" t="s">
        <v>11677</v>
      </c>
      <c r="AC2052">
        <v>12</v>
      </c>
      <c r="AD2052" t="s">
        <v>12422</v>
      </c>
      <c r="AE2052" t="s">
        <v>6110</v>
      </c>
      <c r="AF2052">
        <v>2</v>
      </c>
      <c r="AG2052">
        <v>3</v>
      </c>
      <c r="AH2052">
        <v>2</v>
      </c>
      <c r="AI2052">
        <v>135.85</v>
      </c>
      <c r="AL2052" t="s">
        <v>12461</v>
      </c>
      <c r="AM2052">
        <v>39967.84</v>
      </c>
      <c r="AS2052">
        <v>17.8</v>
      </c>
      <c r="AT2052" t="s">
        <v>435</v>
      </c>
      <c r="AU2052" t="s">
        <v>13094</v>
      </c>
    </row>
    <row r="2053" spans="1:48">
      <c r="A2053" s="1">
        <f>HYPERLINK("https://cms.ls-nyc.org/matter/dynamic-profile/view/1896717","19-1896717")</f>
        <v>0</v>
      </c>
      <c r="B2053" t="s">
        <v>84</v>
      </c>
      <c r="C2053" t="s">
        <v>387</v>
      </c>
      <c r="E2053" t="s">
        <v>1611</v>
      </c>
      <c r="F2053" t="s">
        <v>2457</v>
      </c>
      <c r="G2053" t="s">
        <v>4864</v>
      </c>
      <c r="H2053" t="s">
        <v>5813</v>
      </c>
      <c r="I2053" t="s">
        <v>6043</v>
      </c>
      <c r="J2053">
        <v>11220</v>
      </c>
      <c r="K2053" t="s">
        <v>6074</v>
      </c>
      <c r="L2053" t="s">
        <v>6074</v>
      </c>
      <c r="N2053" t="s">
        <v>7274</v>
      </c>
      <c r="O2053" t="s">
        <v>7310</v>
      </c>
      <c r="Q2053" t="s">
        <v>7322</v>
      </c>
      <c r="S2053" t="s">
        <v>7324</v>
      </c>
      <c r="U2053" t="s">
        <v>387</v>
      </c>
      <c r="V2053">
        <v>995</v>
      </c>
      <c r="W2053" t="s">
        <v>7362</v>
      </c>
      <c r="Z2053" t="s">
        <v>8977</v>
      </c>
      <c r="AC2053">
        <v>0</v>
      </c>
      <c r="AD2053" t="s">
        <v>12422</v>
      </c>
      <c r="AF2053">
        <v>25</v>
      </c>
      <c r="AG2053">
        <v>3</v>
      </c>
      <c r="AH2053">
        <v>0</v>
      </c>
      <c r="AI2053">
        <v>135.96</v>
      </c>
      <c r="AL2053" t="s">
        <v>12460</v>
      </c>
      <c r="AM2053">
        <v>29000</v>
      </c>
      <c r="AS2053">
        <v>5.5</v>
      </c>
      <c r="AT2053" t="s">
        <v>423</v>
      </c>
      <c r="AU2053" t="s">
        <v>69</v>
      </c>
    </row>
    <row r="2054" spans="1:48">
      <c r="A2054" s="1">
        <f>HYPERLINK("https://cms.ls-nyc.org/matter/dynamic-profile/view/1885212","18-1885212")</f>
        <v>0</v>
      </c>
      <c r="B2054" t="s">
        <v>98</v>
      </c>
      <c r="C2054" t="s">
        <v>341</v>
      </c>
      <c r="D2054" t="s">
        <v>358</v>
      </c>
      <c r="E2054" t="s">
        <v>1612</v>
      </c>
      <c r="F2054" t="s">
        <v>3114</v>
      </c>
      <c r="G2054" t="s">
        <v>4865</v>
      </c>
      <c r="H2054" t="s">
        <v>5814</v>
      </c>
      <c r="I2054" t="s">
        <v>6047</v>
      </c>
      <c r="J2054">
        <v>10460</v>
      </c>
      <c r="K2054" t="s">
        <v>6074</v>
      </c>
      <c r="L2054" t="s">
        <v>6074</v>
      </c>
      <c r="N2054" t="s">
        <v>7281</v>
      </c>
      <c r="O2054" t="s">
        <v>7309</v>
      </c>
      <c r="P2054" t="s">
        <v>7315</v>
      </c>
      <c r="Q2054" t="s">
        <v>7322</v>
      </c>
      <c r="R2054" t="s">
        <v>6076</v>
      </c>
      <c r="S2054" t="s">
        <v>7324</v>
      </c>
      <c r="T2054" t="s">
        <v>7336</v>
      </c>
      <c r="U2054" t="s">
        <v>341</v>
      </c>
      <c r="V2054">
        <v>1231</v>
      </c>
      <c r="W2054" t="s">
        <v>7363</v>
      </c>
      <c r="X2054" t="s">
        <v>7378</v>
      </c>
      <c r="Y2054" t="s">
        <v>7387</v>
      </c>
      <c r="Z2054" t="s">
        <v>8978</v>
      </c>
      <c r="AB2054" t="s">
        <v>11678</v>
      </c>
      <c r="AC2054">
        <v>100</v>
      </c>
      <c r="AD2054" t="s">
        <v>12421</v>
      </c>
      <c r="AE2054" t="s">
        <v>12434</v>
      </c>
      <c r="AF2054">
        <v>15</v>
      </c>
      <c r="AG2054">
        <v>1</v>
      </c>
      <c r="AH2054">
        <v>4</v>
      </c>
      <c r="AI2054">
        <v>135.96</v>
      </c>
      <c r="AL2054" t="s">
        <v>12460</v>
      </c>
      <c r="AM2054">
        <v>40000</v>
      </c>
      <c r="AS2054">
        <v>3</v>
      </c>
      <c r="AT2054" t="s">
        <v>465</v>
      </c>
      <c r="AU2054" t="s">
        <v>13081</v>
      </c>
    </row>
    <row r="2055" spans="1:48">
      <c r="A2055" s="1">
        <f>HYPERLINK("https://cms.ls-nyc.org/matter/dynamic-profile/view/1898384","19-1898384")</f>
        <v>0</v>
      </c>
      <c r="B2055" t="s">
        <v>126</v>
      </c>
      <c r="C2055" t="s">
        <v>257</v>
      </c>
      <c r="E2055" t="s">
        <v>1613</v>
      </c>
      <c r="F2055" t="s">
        <v>3115</v>
      </c>
      <c r="G2055" t="s">
        <v>3956</v>
      </c>
      <c r="H2055" t="s">
        <v>5424</v>
      </c>
      <c r="I2055" t="s">
        <v>6049</v>
      </c>
      <c r="J2055">
        <v>10031</v>
      </c>
      <c r="K2055" t="s">
        <v>6074</v>
      </c>
      <c r="L2055" t="s">
        <v>6074</v>
      </c>
      <c r="N2055" t="s">
        <v>6104</v>
      </c>
      <c r="O2055" t="s">
        <v>7307</v>
      </c>
      <c r="Q2055" t="s">
        <v>7322</v>
      </c>
      <c r="R2055" t="s">
        <v>6074</v>
      </c>
      <c r="S2055" t="s">
        <v>7324</v>
      </c>
      <c r="T2055" t="s">
        <v>7336</v>
      </c>
      <c r="U2055" t="s">
        <v>279</v>
      </c>
      <c r="V2055">
        <v>2100</v>
      </c>
      <c r="W2055" t="s">
        <v>7365</v>
      </c>
      <c r="X2055" t="s">
        <v>7378</v>
      </c>
      <c r="Z2055" t="s">
        <v>8979</v>
      </c>
      <c r="AB2055" t="s">
        <v>11679</v>
      </c>
      <c r="AC2055">
        <v>44</v>
      </c>
      <c r="AD2055" t="s">
        <v>12422</v>
      </c>
      <c r="AE2055" t="s">
        <v>12434</v>
      </c>
      <c r="AF2055">
        <v>40</v>
      </c>
      <c r="AG2055">
        <v>2</v>
      </c>
      <c r="AH2055">
        <v>0</v>
      </c>
      <c r="AI2055">
        <v>136.01</v>
      </c>
      <c r="AL2055" t="s">
        <v>12460</v>
      </c>
      <c r="AM2055">
        <v>23000</v>
      </c>
      <c r="AS2055">
        <v>0</v>
      </c>
      <c r="AU2055" t="s">
        <v>13107</v>
      </c>
    </row>
    <row r="2056" spans="1:48">
      <c r="A2056" s="1">
        <f>HYPERLINK("https://cms.ls-nyc.org/matter/dynamic-profile/view/1892227","19-1892227")</f>
        <v>0</v>
      </c>
      <c r="B2056" t="s">
        <v>112</v>
      </c>
      <c r="C2056" t="s">
        <v>359</v>
      </c>
      <c r="E2056" t="s">
        <v>877</v>
      </c>
      <c r="F2056" t="s">
        <v>3116</v>
      </c>
      <c r="G2056" t="s">
        <v>3793</v>
      </c>
      <c r="H2056" t="s">
        <v>5483</v>
      </c>
      <c r="I2056" t="s">
        <v>6047</v>
      </c>
      <c r="J2056">
        <v>10453</v>
      </c>
      <c r="K2056" t="s">
        <v>6074</v>
      </c>
      <c r="L2056" t="s">
        <v>6074</v>
      </c>
      <c r="N2056" t="s">
        <v>7279</v>
      </c>
      <c r="O2056" t="s">
        <v>7311</v>
      </c>
      <c r="Q2056" t="s">
        <v>7322</v>
      </c>
      <c r="R2056" t="s">
        <v>6074</v>
      </c>
      <c r="S2056" t="s">
        <v>7324</v>
      </c>
      <c r="U2056" t="s">
        <v>457</v>
      </c>
      <c r="V2056">
        <v>968.91</v>
      </c>
      <c r="W2056" t="s">
        <v>7363</v>
      </c>
      <c r="X2056" t="s">
        <v>7376</v>
      </c>
      <c r="Z2056" t="s">
        <v>8980</v>
      </c>
      <c r="AB2056" t="s">
        <v>11680</v>
      </c>
      <c r="AC2056">
        <v>49</v>
      </c>
      <c r="AD2056" t="s">
        <v>12422</v>
      </c>
      <c r="AE2056" t="s">
        <v>6110</v>
      </c>
      <c r="AF2056">
        <v>14</v>
      </c>
      <c r="AG2056">
        <v>1</v>
      </c>
      <c r="AH2056">
        <v>4</v>
      </c>
      <c r="AI2056">
        <v>136.21</v>
      </c>
      <c r="AL2056" t="s">
        <v>12460</v>
      </c>
      <c r="AM2056">
        <v>41095</v>
      </c>
      <c r="AS2056">
        <v>0</v>
      </c>
      <c r="AU2056" t="s">
        <v>13092</v>
      </c>
    </row>
    <row r="2057" spans="1:48">
      <c r="A2057" s="1">
        <f>HYPERLINK("https://cms.ls-nyc.org/matter/dynamic-profile/view/1884826","18-1884826")</f>
        <v>0</v>
      </c>
      <c r="B2057" t="s">
        <v>83</v>
      </c>
      <c r="C2057" t="s">
        <v>428</v>
      </c>
      <c r="E2057" t="s">
        <v>1614</v>
      </c>
      <c r="F2057" t="s">
        <v>3117</v>
      </c>
      <c r="G2057" t="s">
        <v>4650</v>
      </c>
      <c r="H2057" t="s">
        <v>5427</v>
      </c>
      <c r="I2057" t="s">
        <v>6043</v>
      </c>
      <c r="J2057">
        <v>11226</v>
      </c>
      <c r="K2057" t="s">
        <v>6074</v>
      </c>
      <c r="L2057" t="s">
        <v>6074</v>
      </c>
      <c r="M2057" t="s">
        <v>6932</v>
      </c>
      <c r="N2057" t="s">
        <v>7279</v>
      </c>
      <c r="O2057" t="s">
        <v>7310</v>
      </c>
      <c r="Q2057" t="s">
        <v>7322</v>
      </c>
      <c r="R2057" t="s">
        <v>6074</v>
      </c>
      <c r="S2057" t="s">
        <v>7324</v>
      </c>
      <c r="U2057" t="s">
        <v>396</v>
      </c>
      <c r="V2057">
        <v>1098.97</v>
      </c>
      <c r="W2057" t="s">
        <v>7362</v>
      </c>
      <c r="X2057" t="s">
        <v>7376</v>
      </c>
      <c r="Z2057" t="s">
        <v>8981</v>
      </c>
      <c r="AB2057" t="s">
        <v>11681</v>
      </c>
      <c r="AC2057">
        <v>48</v>
      </c>
      <c r="AD2057" t="s">
        <v>12422</v>
      </c>
      <c r="AE2057" t="s">
        <v>6110</v>
      </c>
      <c r="AF2057">
        <v>16</v>
      </c>
      <c r="AG2057">
        <v>2</v>
      </c>
      <c r="AH2057">
        <v>1</v>
      </c>
      <c r="AI2057">
        <v>136.48</v>
      </c>
      <c r="AL2057" t="s">
        <v>12460</v>
      </c>
      <c r="AM2057">
        <v>28360.8</v>
      </c>
      <c r="AS2057">
        <v>0.5</v>
      </c>
      <c r="AT2057" t="s">
        <v>462</v>
      </c>
      <c r="AU2057" t="s">
        <v>88</v>
      </c>
    </row>
    <row r="2058" spans="1:48">
      <c r="A2058" s="1">
        <f>HYPERLINK("https://cms.ls-nyc.org/matter/dynamic-profile/view/1897121","19-1897121")</f>
        <v>0</v>
      </c>
      <c r="B2058" t="s">
        <v>54</v>
      </c>
      <c r="C2058" t="s">
        <v>279</v>
      </c>
      <c r="E2058" t="s">
        <v>1421</v>
      </c>
      <c r="F2058" t="s">
        <v>2342</v>
      </c>
      <c r="G2058" t="s">
        <v>4866</v>
      </c>
      <c r="H2058">
        <v>1</v>
      </c>
      <c r="I2058" t="s">
        <v>6025</v>
      </c>
      <c r="J2058">
        <v>11691</v>
      </c>
      <c r="K2058" t="s">
        <v>6074</v>
      </c>
      <c r="L2058" t="s">
        <v>6074</v>
      </c>
      <c r="M2058" t="s">
        <v>6933</v>
      </c>
      <c r="N2058" t="s">
        <v>7291</v>
      </c>
      <c r="O2058" t="s">
        <v>7307</v>
      </c>
      <c r="Q2058" t="s">
        <v>7322</v>
      </c>
      <c r="R2058" t="s">
        <v>6076</v>
      </c>
      <c r="S2058" t="s">
        <v>7324</v>
      </c>
      <c r="U2058" t="s">
        <v>279</v>
      </c>
      <c r="V2058">
        <v>1100</v>
      </c>
      <c r="W2058" t="s">
        <v>7361</v>
      </c>
      <c r="X2058" t="s">
        <v>7366</v>
      </c>
      <c r="Z2058" t="s">
        <v>8982</v>
      </c>
      <c r="AA2058" t="s">
        <v>10227</v>
      </c>
      <c r="AB2058" t="s">
        <v>11682</v>
      </c>
      <c r="AC2058">
        <v>3</v>
      </c>
      <c r="AD2058" t="s">
        <v>12422</v>
      </c>
      <c r="AE2058" t="s">
        <v>6110</v>
      </c>
      <c r="AF2058">
        <v>1</v>
      </c>
      <c r="AG2058">
        <v>1</v>
      </c>
      <c r="AH2058">
        <v>2</v>
      </c>
      <c r="AI2058">
        <v>136.52</v>
      </c>
      <c r="AL2058" t="s">
        <v>12460</v>
      </c>
      <c r="AM2058">
        <v>29120.04</v>
      </c>
      <c r="AS2058">
        <v>0</v>
      </c>
      <c r="AU2058" t="s">
        <v>54</v>
      </c>
    </row>
    <row r="2059" spans="1:48">
      <c r="A2059" s="1">
        <f>HYPERLINK("https://cms.ls-nyc.org/matter/dynamic-profile/view/1875703","18-1875703")</f>
        <v>0</v>
      </c>
      <c r="B2059" t="s">
        <v>53</v>
      </c>
      <c r="C2059" t="s">
        <v>353</v>
      </c>
      <c r="E2059" t="s">
        <v>1615</v>
      </c>
      <c r="F2059" t="s">
        <v>3118</v>
      </c>
      <c r="G2059" t="s">
        <v>4867</v>
      </c>
      <c r="H2059" t="s">
        <v>5357</v>
      </c>
      <c r="I2059" t="s">
        <v>6025</v>
      </c>
      <c r="J2059">
        <v>11691</v>
      </c>
      <c r="K2059" t="s">
        <v>6074</v>
      </c>
      <c r="L2059" t="s">
        <v>6074</v>
      </c>
      <c r="M2059" t="s">
        <v>6934</v>
      </c>
      <c r="N2059" t="s">
        <v>7276</v>
      </c>
      <c r="O2059" t="s">
        <v>7306</v>
      </c>
      <c r="Q2059" t="s">
        <v>7322</v>
      </c>
      <c r="R2059" t="s">
        <v>6076</v>
      </c>
      <c r="S2059" t="s">
        <v>7324</v>
      </c>
      <c r="T2059" t="s">
        <v>7336</v>
      </c>
      <c r="U2059" t="s">
        <v>353</v>
      </c>
      <c r="V2059">
        <v>1461</v>
      </c>
      <c r="W2059" t="s">
        <v>7361</v>
      </c>
      <c r="X2059" t="s">
        <v>7366</v>
      </c>
      <c r="Z2059" t="s">
        <v>8983</v>
      </c>
      <c r="AA2059" t="s">
        <v>10228</v>
      </c>
      <c r="AB2059" t="s">
        <v>11683</v>
      </c>
      <c r="AC2059">
        <v>60</v>
      </c>
      <c r="AD2059" t="s">
        <v>12422</v>
      </c>
      <c r="AE2059" t="s">
        <v>6110</v>
      </c>
      <c r="AF2059">
        <v>6</v>
      </c>
      <c r="AG2059">
        <v>3</v>
      </c>
      <c r="AH2059">
        <v>0</v>
      </c>
      <c r="AI2059">
        <v>136.63</v>
      </c>
      <c r="AL2059" t="s">
        <v>12460</v>
      </c>
      <c r="AM2059">
        <v>28392</v>
      </c>
      <c r="AS2059">
        <v>1.2</v>
      </c>
      <c r="AT2059" t="s">
        <v>301</v>
      </c>
      <c r="AU2059" t="s">
        <v>51</v>
      </c>
    </row>
    <row r="2060" spans="1:48">
      <c r="A2060" s="1">
        <f>HYPERLINK("https://cms.ls-nyc.org/matter/dynamic-profile/view/1879082","18-1879082")</f>
        <v>0</v>
      </c>
      <c r="B2060" t="s">
        <v>80</v>
      </c>
      <c r="C2060" t="s">
        <v>407</v>
      </c>
      <c r="E2060" t="s">
        <v>1601</v>
      </c>
      <c r="F2060" t="s">
        <v>3106</v>
      </c>
      <c r="G2060" t="s">
        <v>4354</v>
      </c>
      <c r="H2060" t="s">
        <v>5438</v>
      </c>
      <c r="I2060" t="s">
        <v>6043</v>
      </c>
      <c r="J2060">
        <v>11221</v>
      </c>
      <c r="K2060" t="s">
        <v>6074</v>
      </c>
      <c r="L2060" t="s">
        <v>6074</v>
      </c>
      <c r="N2060" t="s">
        <v>7279</v>
      </c>
      <c r="O2060" t="s">
        <v>7311</v>
      </c>
      <c r="Q2060" t="s">
        <v>7322</v>
      </c>
      <c r="R2060" t="s">
        <v>6074</v>
      </c>
      <c r="S2060" t="s">
        <v>7324</v>
      </c>
      <c r="U2060" t="s">
        <v>273</v>
      </c>
      <c r="V2060">
        <v>834</v>
      </c>
      <c r="W2060" t="s">
        <v>7362</v>
      </c>
      <c r="X2060" t="s">
        <v>7376</v>
      </c>
      <c r="Z2060" t="s">
        <v>8963</v>
      </c>
      <c r="AB2060" t="s">
        <v>11664</v>
      </c>
      <c r="AC2060">
        <v>12</v>
      </c>
      <c r="AD2060" t="s">
        <v>12422</v>
      </c>
      <c r="AE2060" t="s">
        <v>6110</v>
      </c>
      <c r="AF2060">
        <v>26</v>
      </c>
      <c r="AG2060">
        <v>5</v>
      </c>
      <c r="AH2060">
        <v>2</v>
      </c>
      <c r="AI2060">
        <v>136.63</v>
      </c>
      <c r="AL2060" t="s">
        <v>12460</v>
      </c>
      <c r="AM2060">
        <v>52000</v>
      </c>
      <c r="AN2060" t="s">
        <v>12660</v>
      </c>
      <c r="AS2060">
        <v>0</v>
      </c>
      <c r="AU2060" t="s">
        <v>218</v>
      </c>
    </row>
    <row r="2061" spans="1:48">
      <c r="A2061" s="1">
        <f>HYPERLINK("https://cms.ls-nyc.org/matter/dynamic-profile/view/1879085","18-1879085")</f>
        <v>0</v>
      </c>
      <c r="B2061" t="s">
        <v>80</v>
      </c>
      <c r="C2061" t="s">
        <v>407</v>
      </c>
      <c r="E2061" t="s">
        <v>1601</v>
      </c>
      <c r="F2061" t="s">
        <v>3106</v>
      </c>
      <c r="G2061" t="s">
        <v>4354</v>
      </c>
      <c r="H2061" t="s">
        <v>5438</v>
      </c>
      <c r="I2061" t="s">
        <v>6043</v>
      </c>
      <c r="J2061">
        <v>11221</v>
      </c>
      <c r="K2061" t="s">
        <v>6074</v>
      </c>
      <c r="L2061" t="s">
        <v>6074</v>
      </c>
      <c r="N2061" t="s">
        <v>7273</v>
      </c>
      <c r="O2061" t="s">
        <v>7308</v>
      </c>
      <c r="Q2061" t="s">
        <v>7322</v>
      </c>
      <c r="R2061" t="s">
        <v>6074</v>
      </c>
      <c r="S2061" t="s">
        <v>7324</v>
      </c>
      <c r="U2061" t="s">
        <v>273</v>
      </c>
      <c r="V2061">
        <v>834</v>
      </c>
      <c r="W2061" t="s">
        <v>7362</v>
      </c>
      <c r="X2061" t="s">
        <v>7376</v>
      </c>
      <c r="Z2061" t="s">
        <v>8963</v>
      </c>
      <c r="AB2061" t="s">
        <v>11664</v>
      </c>
      <c r="AC2061">
        <v>12</v>
      </c>
      <c r="AD2061" t="s">
        <v>12422</v>
      </c>
      <c r="AE2061" t="s">
        <v>6110</v>
      </c>
      <c r="AF2061">
        <v>26</v>
      </c>
      <c r="AG2061">
        <v>5</v>
      </c>
      <c r="AH2061">
        <v>2</v>
      </c>
      <c r="AI2061">
        <v>136.63</v>
      </c>
      <c r="AL2061" t="s">
        <v>12460</v>
      </c>
      <c r="AM2061">
        <v>52000</v>
      </c>
      <c r="AN2061" t="s">
        <v>12661</v>
      </c>
      <c r="AS2061">
        <v>1</v>
      </c>
      <c r="AT2061" t="s">
        <v>392</v>
      </c>
      <c r="AU2061" t="s">
        <v>218</v>
      </c>
    </row>
    <row r="2062" spans="1:48">
      <c r="A2062" s="1">
        <f>HYPERLINK("https://cms.ls-nyc.org/matter/dynamic-profile/view/1879063","18-1879063")</f>
        <v>0</v>
      </c>
      <c r="B2062" t="s">
        <v>80</v>
      </c>
      <c r="C2062" t="s">
        <v>407</v>
      </c>
      <c r="D2062" t="s">
        <v>396</v>
      </c>
      <c r="E2062" t="s">
        <v>1601</v>
      </c>
      <c r="F2062" t="s">
        <v>3106</v>
      </c>
      <c r="G2062" t="s">
        <v>4354</v>
      </c>
      <c r="H2062" t="s">
        <v>5438</v>
      </c>
      <c r="I2062" t="s">
        <v>6043</v>
      </c>
      <c r="J2062">
        <v>11221</v>
      </c>
      <c r="K2062" t="s">
        <v>6074</v>
      </c>
      <c r="L2062" t="s">
        <v>6074</v>
      </c>
      <c r="N2062" t="s">
        <v>7275</v>
      </c>
      <c r="O2062" t="s">
        <v>7307</v>
      </c>
      <c r="P2062" t="s">
        <v>7315</v>
      </c>
      <c r="Q2062" t="s">
        <v>7322</v>
      </c>
      <c r="R2062" t="s">
        <v>6074</v>
      </c>
      <c r="S2062" t="s">
        <v>7324</v>
      </c>
      <c r="U2062" t="s">
        <v>273</v>
      </c>
      <c r="V2062">
        <v>834</v>
      </c>
      <c r="W2062" t="s">
        <v>7362</v>
      </c>
      <c r="X2062" t="s">
        <v>7376</v>
      </c>
      <c r="Y2062" t="s">
        <v>7394</v>
      </c>
      <c r="Z2062" t="s">
        <v>8963</v>
      </c>
      <c r="AB2062" t="s">
        <v>11664</v>
      </c>
      <c r="AC2062">
        <v>12</v>
      </c>
      <c r="AE2062" t="s">
        <v>6110</v>
      </c>
      <c r="AF2062">
        <v>26</v>
      </c>
      <c r="AG2062">
        <v>5</v>
      </c>
      <c r="AH2062">
        <v>2</v>
      </c>
      <c r="AI2062">
        <v>136.63</v>
      </c>
      <c r="AL2062" t="s">
        <v>12460</v>
      </c>
      <c r="AM2062">
        <v>52000</v>
      </c>
      <c r="AN2062" t="s">
        <v>12491</v>
      </c>
      <c r="AS2062">
        <v>0.08</v>
      </c>
      <c r="AT2062" t="s">
        <v>466</v>
      </c>
      <c r="AU2062" t="s">
        <v>218</v>
      </c>
    </row>
    <row r="2063" spans="1:48">
      <c r="A2063" s="1">
        <f>HYPERLINK("https://cms.ls-nyc.org/matter/dynamic-profile/view/1879855","18-1879855")</f>
        <v>0</v>
      </c>
      <c r="B2063" t="s">
        <v>115</v>
      </c>
      <c r="C2063" t="s">
        <v>271</v>
      </c>
      <c r="E2063" t="s">
        <v>1616</v>
      </c>
      <c r="F2063" t="s">
        <v>2418</v>
      </c>
      <c r="G2063" t="s">
        <v>4868</v>
      </c>
      <c r="H2063" t="s">
        <v>5476</v>
      </c>
      <c r="I2063" t="s">
        <v>6047</v>
      </c>
      <c r="J2063">
        <v>10459</v>
      </c>
      <c r="K2063" t="s">
        <v>6074</v>
      </c>
      <c r="L2063" t="s">
        <v>6074</v>
      </c>
      <c r="M2063" t="s">
        <v>6935</v>
      </c>
      <c r="N2063" t="s">
        <v>7274</v>
      </c>
      <c r="O2063" t="s">
        <v>7308</v>
      </c>
      <c r="Q2063" t="s">
        <v>7322</v>
      </c>
      <c r="R2063" t="s">
        <v>6076</v>
      </c>
      <c r="S2063" t="s">
        <v>7324</v>
      </c>
      <c r="T2063" t="s">
        <v>7336</v>
      </c>
      <c r="U2063" t="s">
        <v>271</v>
      </c>
      <c r="V2063">
        <v>1477</v>
      </c>
      <c r="W2063" t="s">
        <v>7363</v>
      </c>
      <c r="X2063" t="s">
        <v>7373</v>
      </c>
      <c r="Z2063" t="s">
        <v>8984</v>
      </c>
      <c r="AB2063" t="s">
        <v>11684</v>
      </c>
      <c r="AC2063">
        <v>26</v>
      </c>
      <c r="AD2063" t="s">
        <v>12422</v>
      </c>
      <c r="AE2063" t="s">
        <v>12434</v>
      </c>
      <c r="AF2063">
        <v>33</v>
      </c>
      <c r="AG2063">
        <v>3</v>
      </c>
      <c r="AH2063">
        <v>0</v>
      </c>
      <c r="AI2063">
        <v>136.63</v>
      </c>
      <c r="AL2063" t="s">
        <v>12461</v>
      </c>
      <c r="AM2063">
        <v>28392</v>
      </c>
      <c r="AS2063">
        <v>39.1</v>
      </c>
      <c r="AT2063" t="s">
        <v>265</v>
      </c>
      <c r="AU2063" t="s">
        <v>13096</v>
      </c>
    </row>
    <row r="2064" spans="1:48">
      <c r="A2064" s="1">
        <f>HYPERLINK("https://cms.ls-nyc.org/matter/dynamic-profile/view/1874997","18-1874997")</f>
        <v>0</v>
      </c>
      <c r="B2064" t="s">
        <v>117</v>
      </c>
      <c r="C2064" t="s">
        <v>427</v>
      </c>
      <c r="D2064" t="s">
        <v>448</v>
      </c>
      <c r="E2064" t="s">
        <v>1617</v>
      </c>
      <c r="F2064" t="s">
        <v>2133</v>
      </c>
      <c r="G2064" t="s">
        <v>4869</v>
      </c>
      <c r="H2064">
        <v>2</v>
      </c>
      <c r="I2064" t="s">
        <v>6048</v>
      </c>
      <c r="J2064">
        <v>10301</v>
      </c>
      <c r="K2064" t="s">
        <v>6074</v>
      </c>
      <c r="L2064" t="s">
        <v>6074</v>
      </c>
      <c r="M2064" t="s">
        <v>6936</v>
      </c>
      <c r="N2064" t="s">
        <v>7274</v>
      </c>
      <c r="O2064" t="s">
        <v>7308</v>
      </c>
      <c r="P2064" t="s">
        <v>7316</v>
      </c>
      <c r="Q2064" t="s">
        <v>7322</v>
      </c>
      <c r="R2064" t="s">
        <v>6076</v>
      </c>
      <c r="S2064" t="s">
        <v>7324</v>
      </c>
      <c r="T2064" t="s">
        <v>7336</v>
      </c>
      <c r="U2064" t="s">
        <v>427</v>
      </c>
      <c r="V2064">
        <v>975</v>
      </c>
      <c r="W2064" t="s">
        <v>7364</v>
      </c>
      <c r="X2064" t="s">
        <v>7367</v>
      </c>
      <c r="Y2064" t="s">
        <v>7391</v>
      </c>
      <c r="Z2064" t="s">
        <v>8985</v>
      </c>
      <c r="AB2064" t="s">
        <v>11685</v>
      </c>
      <c r="AC2064">
        <v>2</v>
      </c>
      <c r="AD2064" t="s">
        <v>12419</v>
      </c>
      <c r="AE2064" t="s">
        <v>6110</v>
      </c>
      <c r="AF2064">
        <v>1</v>
      </c>
      <c r="AG2064">
        <v>1</v>
      </c>
      <c r="AH2064">
        <v>2</v>
      </c>
      <c r="AI2064">
        <v>136.63</v>
      </c>
      <c r="AL2064" t="s">
        <v>12460</v>
      </c>
      <c r="AM2064">
        <v>28392</v>
      </c>
      <c r="AO2064" t="s">
        <v>12850</v>
      </c>
      <c r="AP2064" t="s">
        <v>7305</v>
      </c>
      <c r="AQ2064" t="s">
        <v>12910</v>
      </c>
      <c r="AR2064" t="s">
        <v>12929</v>
      </c>
      <c r="AS2064">
        <v>26.9</v>
      </c>
      <c r="AT2064" t="s">
        <v>448</v>
      </c>
      <c r="AU2064" t="s">
        <v>210</v>
      </c>
    </row>
    <row r="2065" spans="1:48">
      <c r="A2065" s="1">
        <f>HYPERLINK("https://cms.ls-nyc.org/matter/dynamic-profile/view/1885279","18-1885279")</f>
        <v>0</v>
      </c>
      <c r="B2065" t="s">
        <v>126</v>
      </c>
      <c r="C2065" t="s">
        <v>341</v>
      </c>
      <c r="E2065" t="s">
        <v>1618</v>
      </c>
      <c r="F2065" t="s">
        <v>3119</v>
      </c>
      <c r="G2065" t="s">
        <v>4870</v>
      </c>
      <c r="H2065">
        <v>3</v>
      </c>
      <c r="I2065" t="s">
        <v>6049</v>
      </c>
      <c r="J2065">
        <v>10029</v>
      </c>
      <c r="K2065" t="s">
        <v>6074</v>
      </c>
      <c r="L2065" t="s">
        <v>6074</v>
      </c>
      <c r="M2065" t="s">
        <v>6937</v>
      </c>
      <c r="N2065" t="s">
        <v>7273</v>
      </c>
      <c r="O2065" t="s">
        <v>7308</v>
      </c>
      <c r="Q2065" t="s">
        <v>7322</v>
      </c>
      <c r="R2065" t="s">
        <v>6074</v>
      </c>
      <c r="S2065" t="s">
        <v>7324</v>
      </c>
      <c r="T2065" t="s">
        <v>7336</v>
      </c>
      <c r="U2065" t="s">
        <v>341</v>
      </c>
      <c r="V2065">
        <v>1542</v>
      </c>
      <c r="W2065" t="s">
        <v>7365</v>
      </c>
      <c r="X2065" t="s">
        <v>7375</v>
      </c>
      <c r="Z2065" t="s">
        <v>8986</v>
      </c>
      <c r="AB2065" t="s">
        <v>11686</v>
      </c>
      <c r="AC2065">
        <v>6</v>
      </c>
      <c r="AD2065" t="s">
        <v>12422</v>
      </c>
      <c r="AE2065" t="s">
        <v>6110</v>
      </c>
      <c r="AF2065">
        <v>10</v>
      </c>
      <c r="AG2065">
        <v>3</v>
      </c>
      <c r="AH2065">
        <v>2</v>
      </c>
      <c r="AI2065">
        <v>136.98</v>
      </c>
      <c r="AL2065" t="s">
        <v>12460</v>
      </c>
      <c r="AM2065">
        <v>40300</v>
      </c>
      <c r="AS2065">
        <v>0.75</v>
      </c>
      <c r="AT2065" t="s">
        <v>314</v>
      </c>
      <c r="AU2065" t="s">
        <v>13107</v>
      </c>
    </row>
    <row r="2066" spans="1:48">
      <c r="A2066" s="1">
        <f>HYPERLINK("https://cms.ls-nyc.org/matter/dynamic-profile/view/1876256","18-1876256")</f>
        <v>0</v>
      </c>
      <c r="B2066" t="s">
        <v>210</v>
      </c>
      <c r="C2066" t="s">
        <v>253</v>
      </c>
      <c r="D2066" t="s">
        <v>383</v>
      </c>
      <c r="E2066" t="s">
        <v>1619</v>
      </c>
      <c r="F2066" t="s">
        <v>1647</v>
      </c>
      <c r="G2066" t="s">
        <v>4871</v>
      </c>
      <c r="I2066" t="s">
        <v>6048</v>
      </c>
      <c r="J2066">
        <v>10303</v>
      </c>
      <c r="K2066" t="s">
        <v>6074</v>
      </c>
      <c r="L2066" t="s">
        <v>6074</v>
      </c>
      <c r="M2066" t="s">
        <v>6081</v>
      </c>
      <c r="N2066" t="s">
        <v>6104</v>
      </c>
      <c r="O2066" t="s">
        <v>7306</v>
      </c>
      <c r="P2066" t="s">
        <v>7314</v>
      </c>
      <c r="Q2066" t="s">
        <v>7323</v>
      </c>
      <c r="R2066" t="s">
        <v>6076</v>
      </c>
      <c r="S2066" t="s">
        <v>7324</v>
      </c>
      <c r="T2066" t="s">
        <v>7336</v>
      </c>
      <c r="U2066" t="s">
        <v>253</v>
      </c>
      <c r="V2066">
        <v>400</v>
      </c>
      <c r="W2066" t="s">
        <v>7364</v>
      </c>
      <c r="X2066" t="s">
        <v>7369</v>
      </c>
      <c r="Y2066" t="s">
        <v>7386</v>
      </c>
      <c r="Z2066" t="s">
        <v>8987</v>
      </c>
      <c r="AC2066">
        <v>130</v>
      </c>
      <c r="AD2066" t="s">
        <v>12419</v>
      </c>
      <c r="AE2066" t="s">
        <v>6110</v>
      </c>
      <c r="AF2066">
        <v>3</v>
      </c>
      <c r="AG2066">
        <v>1</v>
      </c>
      <c r="AH2066">
        <v>0</v>
      </c>
      <c r="AI2066">
        <v>137.07</v>
      </c>
      <c r="AJ2066" t="s">
        <v>12443</v>
      </c>
      <c r="AK2066" t="s">
        <v>12455</v>
      </c>
      <c r="AL2066" t="s">
        <v>12461</v>
      </c>
      <c r="AM2066">
        <v>16640</v>
      </c>
      <c r="AS2066">
        <v>1.3</v>
      </c>
      <c r="AT2066" t="s">
        <v>336</v>
      </c>
      <c r="AU2066" t="s">
        <v>210</v>
      </c>
    </row>
    <row r="2067" spans="1:48">
      <c r="A2067" s="1">
        <f>HYPERLINK("https://cms.ls-nyc.org/matter/dynamic-profile/view/1881313","18-1881313")</f>
        <v>0</v>
      </c>
      <c r="B2067" t="s">
        <v>70</v>
      </c>
      <c r="C2067" t="s">
        <v>414</v>
      </c>
      <c r="D2067" t="s">
        <v>414</v>
      </c>
      <c r="E2067" t="s">
        <v>1620</v>
      </c>
      <c r="F2067" t="s">
        <v>3120</v>
      </c>
      <c r="G2067" t="s">
        <v>4872</v>
      </c>
      <c r="H2067" t="s">
        <v>5815</v>
      </c>
      <c r="I2067" t="s">
        <v>6043</v>
      </c>
      <c r="J2067">
        <v>11208</v>
      </c>
      <c r="K2067" t="s">
        <v>6074</v>
      </c>
      <c r="L2067" t="s">
        <v>6074</v>
      </c>
      <c r="M2067" t="s">
        <v>6938</v>
      </c>
      <c r="N2067" t="s">
        <v>7274</v>
      </c>
      <c r="O2067" t="s">
        <v>7307</v>
      </c>
      <c r="P2067" t="s">
        <v>7315</v>
      </c>
      <c r="Q2067" t="s">
        <v>7322</v>
      </c>
      <c r="R2067" t="s">
        <v>6076</v>
      </c>
      <c r="S2067" t="s">
        <v>7324</v>
      </c>
      <c r="T2067" t="s">
        <v>7339</v>
      </c>
      <c r="U2067" t="s">
        <v>414</v>
      </c>
      <c r="V2067">
        <v>1650</v>
      </c>
      <c r="W2067" t="s">
        <v>7362</v>
      </c>
      <c r="X2067" t="s">
        <v>7373</v>
      </c>
      <c r="Y2067" t="s">
        <v>7386</v>
      </c>
      <c r="Z2067" t="s">
        <v>8988</v>
      </c>
      <c r="AB2067" t="s">
        <v>11687</v>
      </c>
      <c r="AC2067">
        <v>4</v>
      </c>
      <c r="AD2067" t="s">
        <v>12419</v>
      </c>
      <c r="AF2067">
        <v>4</v>
      </c>
      <c r="AG2067">
        <v>3</v>
      </c>
      <c r="AH2067">
        <v>1</v>
      </c>
      <c r="AI2067">
        <v>137.32</v>
      </c>
      <c r="AL2067" t="s">
        <v>12460</v>
      </c>
      <c r="AM2067">
        <v>34468</v>
      </c>
      <c r="AS2067">
        <v>3</v>
      </c>
      <c r="AT2067" t="s">
        <v>414</v>
      </c>
      <c r="AU2067" t="s">
        <v>13084</v>
      </c>
    </row>
    <row r="2068" spans="1:48">
      <c r="A2068" s="1">
        <f>HYPERLINK("https://cms.ls-nyc.org/matter/dynamic-profile/view/1891213","19-1891213")</f>
        <v>0</v>
      </c>
      <c r="B2068" t="s">
        <v>131</v>
      </c>
      <c r="C2068" t="s">
        <v>371</v>
      </c>
      <c r="D2068" t="s">
        <v>423</v>
      </c>
      <c r="E2068" t="s">
        <v>701</v>
      </c>
      <c r="F2068" t="s">
        <v>2083</v>
      </c>
      <c r="G2068" t="s">
        <v>4873</v>
      </c>
      <c r="H2068" t="s">
        <v>5398</v>
      </c>
      <c r="I2068" t="s">
        <v>6049</v>
      </c>
      <c r="J2068">
        <v>10034</v>
      </c>
      <c r="K2068" t="s">
        <v>6074</v>
      </c>
      <c r="L2068" t="s">
        <v>6074</v>
      </c>
      <c r="O2068" t="s">
        <v>7306</v>
      </c>
      <c r="P2068" t="s">
        <v>7314</v>
      </c>
      <c r="Q2068" t="s">
        <v>7322</v>
      </c>
      <c r="R2068" t="s">
        <v>6076</v>
      </c>
      <c r="S2068" t="s">
        <v>7324</v>
      </c>
      <c r="U2068" t="s">
        <v>371</v>
      </c>
      <c r="V2068">
        <v>1281.5</v>
      </c>
      <c r="W2068" t="s">
        <v>7365</v>
      </c>
      <c r="X2068" t="s">
        <v>7367</v>
      </c>
      <c r="Y2068" t="s">
        <v>7386</v>
      </c>
      <c r="Z2068" t="s">
        <v>8989</v>
      </c>
      <c r="AB2068" t="s">
        <v>11688</v>
      </c>
      <c r="AC2068">
        <v>0</v>
      </c>
      <c r="AD2068" t="s">
        <v>12422</v>
      </c>
      <c r="AE2068" t="s">
        <v>12441</v>
      </c>
      <c r="AF2068">
        <v>10</v>
      </c>
      <c r="AG2068">
        <v>1</v>
      </c>
      <c r="AH2068">
        <v>0</v>
      </c>
      <c r="AI2068">
        <v>137.39</v>
      </c>
      <c r="AL2068" t="s">
        <v>12460</v>
      </c>
      <c r="AM2068">
        <v>17160</v>
      </c>
      <c r="AS2068">
        <v>0.2</v>
      </c>
      <c r="AT2068" t="s">
        <v>423</v>
      </c>
      <c r="AU2068" t="s">
        <v>13106</v>
      </c>
    </row>
    <row r="2069" spans="1:48">
      <c r="A2069" s="1">
        <f>HYPERLINK("https://cms.ls-nyc.org/matter/dynamic-profile/view/1874460","18-1874460")</f>
        <v>0</v>
      </c>
      <c r="B2069" t="s">
        <v>139</v>
      </c>
      <c r="C2069" t="s">
        <v>236</v>
      </c>
      <c r="D2069" t="s">
        <v>290</v>
      </c>
      <c r="E2069" t="s">
        <v>1621</v>
      </c>
      <c r="F2069" t="s">
        <v>1218</v>
      </c>
      <c r="G2069" t="s">
        <v>4091</v>
      </c>
      <c r="H2069" t="s">
        <v>5485</v>
      </c>
      <c r="I2069" t="s">
        <v>6049</v>
      </c>
      <c r="J2069">
        <v>10033</v>
      </c>
      <c r="K2069" t="s">
        <v>6074</v>
      </c>
      <c r="L2069" t="s">
        <v>6074</v>
      </c>
      <c r="N2069" t="s">
        <v>6104</v>
      </c>
      <c r="O2069" t="s">
        <v>7306</v>
      </c>
      <c r="P2069" t="s">
        <v>7314</v>
      </c>
      <c r="Q2069" t="s">
        <v>7322</v>
      </c>
      <c r="R2069" t="s">
        <v>6076</v>
      </c>
      <c r="S2069" t="s">
        <v>7324</v>
      </c>
      <c r="U2069" t="s">
        <v>236</v>
      </c>
      <c r="V2069">
        <v>934.15</v>
      </c>
      <c r="W2069" t="s">
        <v>7365</v>
      </c>
      <c r="X2069" t="s">
        <v>7367</v>
      </c>
      <c r="Y2069" t="s">
        <v>7386</v>
      </c>
      <c r="Z2069" t="s">
        <v>8990</v>
      </c>
      <c r="AB2069" t="s">
        <v>11689</v>
      </c>
      <c r="AC2069">
        <v>39</v>
      </c>
      <c r="AD2069" t="s">
        <v>12422</v>
      </c>
      <c r="AE2069" t="s">
        <v>6110</v>
      </c>
      <c r="AF2069">
        <v>6</v>
      </c>
      <c r="AG2069">
        <v>1</v>
      </c>
      <c r="AH2069">
        <v>0</v>
      </c>
      <c r="AI2069">
        <v>137.4</v>
      </c>
      <c r="AL2069" t="s">
        <v>12461</v>
      </c>
      <c r="AM2069">
        <v>16680</v>
      </c>
      <c r="AS2069">
        <v>4.4</v>
      </c>
      <c r="AT2069" t="s">
        <v>244</v>
      </c>
      <c r="AU2069" t="s">
        <v>13106</v>
      </c>
    </row>
    <row r="2070" spans="1:48">
      <c r="A2070" s="1">
        <f>HYPERLINK("https://cms.ls-nyc.org/matter/dynamic-profile/view/1885377","18-1885377")</f>
        <v>0</v>
      </c>
      <c r="B2070" t="s">
        <v>77</v>
      </c>
      <c r="C2070" t="s">
        <v>266</v>
      </c>
      <c r="D2070" t="s">
        <v>266</v>
      </c>
      <c r="E2070" t="s">
        <v>737</v>
      </c>
      <c r="F2070" t="s">
        <v>3121</v>
      </c>
      <c r="G2070" t="s">
        <v>4874</v>
      </c>
      <c r="I2070" t="s">
        <v>6043</v>
      </c>
      <c r="J2070">
        <v>11208</v>
      </c>
      <c r="K2070" t="s">
        <v>6074</v>
      </c>
      <c r="L2070" t="s">
        <v>6074</v>
      </c>
      <c r="O2070" t="s">
        <v>7306</v>
      </c>
      <c r="P2070" t="s">
        <v>7314</v>
      </c>
      <c r="Q2070" t="s">
        <v>7322</v>
      </c>
      <c r="S2070" t="s">
        <v>7324</v>
      </c>
      <c r="U2070" t="s">
        <v>250</v>
      </c>
      <c r="V2070">
        <v>0</v>
      </c>
      <c r="W2070" t="s">
        <v>7362</v>
      </c>
      <c r="Y2070" t="s">
        <v>7386</v>
      </c>
      <c r="Z2070" t="s">
        <v>8991</v>
      </c>
      <c r="AB2070" t="s">
        <v>11690</v>
      </c>
      <c r="AC2070">
        <v>0</v>
      </c>
      <c r="AF2070">
        <v>0</v>
      </c>
      <c r="AG2070">
        <v>2</v>
      </c>
      <c r="AH2070">
        <v>0</v>
      </c>
      <c r="AI2070">
        <v>137.42</v>
      </c>
      <c r="AL2070" t="s">
        <v>12461</v>
      </c>
      <c r="AM2070">
        <v>22620</v>
      </c>
      <c r="AS2070">
        <v>0.75</v>
      </c>
      <c r="AT2070" t="s">
        <v>250</v>
      </c>
      <c r="AU2070" t="s">
        <v>77</v>
      </c>
    </row>
    <row r="2071" spans="1:48">
      <c r="A2071" s="1">
        <f>HYPERLINK("https://cms.ls-nyc.org/matter/dynamic-profile/view/1882435","18-1882435")</f>
        <v>0</v>
      </c>
      <c r="B2071" t="s">
        <v>61</v>
      </c>
      <c r="C2071" t="s">
        <v>468</v>
      </c>
      <c r="E2071" t="s">
        <v>1622</v>
      </c>
      <c r="F2071" t="s">
        <v>2174</v>
      </c>
      <c r="G2071" t="s">
        <v>4875</v>
      </c>
      <c r="H2071" t="s">
        <v>5422</v>
      </c>
      <c r="I2071" t="s">
        <v>6068</v>
      </c>
      <c r="J2071">
        <v>11385</v>
      </c>
      <c r="K2071" t="s">
        <v>6074</v>
      </c>
      <c r="L2071" t="s">
        <v>6074</v>
      </c>
      <c r="M2071" t="s">
        <v>6939</v>
      </c>
      <c r="N2071" t="s">
        <v>7276</v>
      </c>
      <c r="O2071" t="s">
        <v>7309</v>
      </c>
      <c r="Q2071" t="s">
        <v>7322</v>
      </c>
      <c r="R2071" t="s">
        <v>6076</v>
      </c>
      <c r="S2071" t="s">
        <v>7327</v>
      </c>
      <c r="T2071" t="s">
        <v>7338</v>
      </c>
      <c r="U2071" t="s">
        <v>271</v>
      </c>
      <c r="V2071">
        <v>1850</v>
      </c>
      <c r="W2071" t="s">
        <v>7361</v>
      </c>
      <c r="X2071" t="s">
        <v>7366</v>
      </c>
      <c r="Z2071" t="s">
        <v>8992</v>
      </c>
      <c r="AA2071" t="s">
        <v>9856</v>
      </c>
      <c r="AB2071" t="s">
        <v>11691</v>
      </c>
      <c r="AC2071">
        <v>6</v>
      </c>
      <c r="AD2071" t="s">
        <v>12422</v>
      </c>
      <c r="AE2071" t="s">
        <v>6110</v>
      </c>
      <c r="AF2071">
        <v>6</v>
      </c>
      <c r="AG2071">
        <v>1</v>
      </c>
      <c r="AH2071">
        <v>2</v>
      </c>
      <c r="AI2071">
        <v>137.63</v>
      </c>
      <c r="AL2071" t="s">
        <v>12460</v>
      </c>
      <c r="AM2071">
        <v>28600</v>
      </c>
      <c r="AO2071" t="s">
        <v>12850</v>
      </c>
      <c r="AP2071" t="s">
        <v>7305</v>
      </c>
      <c r="AQ2071" t="s">
        <v>12909</v>
      </c>
      <c r="AR2071" t="s">
        <v>13032</v>
      </c>
      <c r="AS2071">
        <v>0</v>
      </c>
      <c r="AU2071" t="s">
        <v>152</v>
      </c>
    </row>
    <row r="2072" spans="1:48">
      <c r="A2072" s="1">
        <f>HYPERLINK("https://cms.ls-nyc.org/matter/dynamic-profile/view/1894371","19-1894371")</f>
        <v>0</v>
      </c>
      <c r="B2072" t="s">
        <v>117</v>
      </c>
      <c r="C2072" t="s">
        <v>264</v>
      </c>
      <c r="E2072" t="s">
        <v>944</v>
      </c>
      <c r="F2072" t="s">
        <v>3122</v>
      </c>
      <c r="G2072" t="s">
        <v>3830</v>
      </c>
      <c r="H2072" t="s">
        <v>5556</v>
      </c>
      <c r="I2072" t="s">
        <v>6048</v>
      </c>
      <c r="J2072">
        <v>10301</v>
      </c>
      <c r="K2072" t="s">
        <v>6074</v>
      </c>
      <c r="L2072" t="s">
        <v>6074</v>
      </c>
      <c r="M2072" t="s">
        <v>6940</v>
      </c>
      <c r="N2072" t="s">
        <v>7276</v>
      </c>
      <c r="O2072" t="s">
        <v>7308</v>
      </c>
      <c r="Q2072" t="s">
        <v>7322</v>
      </c>
      <c r="R2072" t="s">
        <v>6076</v>
      </c>
      <c r="S2072" t="s">
        <v>7324</v>
      </c>
      <c r="T2072" t="s">
        <v>7336</v>
      </c>
      <c r="U2072" t="s">
        <v>264</v>
      </c>
      <c r="V2072">
        <v>1153</v>
      </c>
      <c r="W2072" t="s">
        <v>7364</v>
      </c>
      <c r="X2072" t="s">
        <v>7368</v>
      </c>
      <c r="Z2072" t="s">
        <v>8180</v>
      </c>
      <c r="AB2072" t="s">
        <v>11692</v>
      </c>
      <c r="AC2072">
        <v>9</v>
      </c>
      <c r="AD2072" t="s">
        <v>12422</v>
      </c>
      <c r="AE2072" t="s">
        <v>6110</v>
      </c>
      <c r="AF2072">
        <v>6</v>
      </c>
      <c r="AG2072">
        <v>2</v>
      </c>
      <c r="AH2072">
        <v>0</v>
      </c>
      <c r="AI2072">
        <v>137.76</v>
      </c>
      <c r="AL2072" t="s">
        <v>12460</v>
      </c>
      <c r="AM2072">
        <v>23296</v>
      </c>
      <c r="AS2072">
        <v>8.1</v>
      </c>
      <c r="AT2072" t="s">
        <v>460</v>
      </c>
      <c r="AU2072" t="s">
        <v>13101</v>
      </c>
    </row>
    <row r="2073" spans="1:48">
      <c r="A2073" s="1">
        <f>HYPERLINK("https://cms.ls-nyc.org/matter/dynamic-profile/view/1900309","19-1900309")</f>
        <v>0</v>
      </c>
      <c r="B2073" t="s">
        <v>64</v>
      </c>
      <c r="C2073" t="s">
        <v>501</v>
      </c>
      <c r="E2073" t="s">
        <v>1623</v>
      </c>
      <c r="F2073" t="s">
        <v>3123</v>
      </c>
      <c r="G2073" t="s">
        <v>4876</v>
      </c>
      <c r="H2073" t="s">
        <v>5361</v>
      </c>
      <c r="I2073" t="s">
        <v>6040</v>
      </c>
      <c r="J2073">
        <v>11358</v>
      </c>
      <c r="K2073" t="s">
        <v>6075</v>
      </c>
      <c r="L2073" t="s">
        <v>6075</v>
      </c>
      <c r="M2073" t="s">
        <v>6941</v>
      </c>
      <c r="N2073" t="s">
        <v>7276</v>
      </c>
      <c r="O2073" t="s">
        <v>7308</v>
      </c>
      <c r="Q2073" t="s">
        <v>7322</v>
      </c>
      <c r="R2073" t="s">
        <v>6076</v>
      </c>
      <c r="S2073" t="s">
        <v>7324</v>
      </c>
      <c r="U2073" t="s">
        <v>260</v>
      </c>
      <c r="V2073">
        <v>2300</v>
      </c>
      <c r="W2073" t="s">
        <v>7361</v>
      </c>
      <c r="X2073" t="s">
        <v>7305</v>
      </c>
      <c r="Z2073" t="s">
        <v>8993</v>
      </c>
      <c r="AA2073" t="s">
        <v>9856</v>
      </c>
      <c r="AB2073" t="s">
        <v>11693</v>
      </c>
      <c r="AC2073">
        <v>2</v>
      </c>
      <c r="AD2073" t="s">
        <v>12430</v>
      </c>
      <c r="AE2073" t="s">
        <v>6110</v>
      </c>
      <c r="AF2073">
        <v>1</v>
      </c>
      <c r="AG2073">
        <v>3</v>
      </c>
      <c r="AH2073">
        <v>1</v>
      </c>
      <c r="AI2073">
        <v>137.86</v>
      </c>
      <c r="AL2073" t="s">
        <v>12460</v>
      </c>
      <c r="AM2073">
        <v>35500</v>
      </c>
      <c r="AS2073">
        <v>14.6</v>
      </c>
      <c r="AT2073" t="s">
        <v>324</v>
      </c>
      <c r="AU2073" t="s">
        <v>13089</v>
      </c>
      <c r="AV2073" t="s">
        <v>13145</v>
      </c>
    </row>
    <row r="2074" spans="1:48">
      <c r="A2074" s="1">
        <f>HYPERLINK("https://cms.ls-nyc.org/matter/dynamic-profile/view/1879421","18-1879421")</f>
        <v>0</v>
      </c>
      <c r="B2074" t="s">
        <v>101</v>
      </c>
      <c r="C2074" t="s">
        <v>249</v>
      </c>
      <c r="E2074" t="s">
        <v>742</v>
      </c>
      <c r="F2074" t="s">
        <v>3124</v>
      </c>
      <c r="G2074" t="s">
        <v>4877</v>
      </c>
      <c r="H2074" t="s">
        <v>5467</v>
      </c>
      <c r="I2074" t="s">
        <v>6047</v>
      </c>
      <c r="J2074">
        <v>10459</v>
      </c>
      <c r="K2074" t="s">
        <v>6074</v>
      </c>
      <c r="L2074" t="s">
        <v>6074</v>
      </c>
      <c r="N2074" t="s">
        <v>7278</v>
      </c>
      <c r="O2074" t="s">
        <v>7309</v>
      </c>
      <c r="Q2074" t="s">
        <v>7322</v>
      </c>
      <c r="R2074" t="s">
        <v>6076</v>
      </c>
      <c r="S2074" t="s">
        <v>7324</v>
      </c>
      <c r="U2074" t="s">
        <v>249</v>
      </c>
      <c r="V2074">
        <v>795</v>
      </c>
      <c r="W2074" t="s">
        <v>7363</v>
      </c>
      <c r="X2074" t="s">
        <v>7376</v>
      </c>
      <c r="Z2074" t="s">
        <v>8994</v>
      </c>
      <c r="AB2074" t="s">
        <v>11694</v>
      </c>
      <c r="AC2074">
        <v>72</v>
      </c>
      <c r="AD2074" t="s">
        <v>12422</v>
      </c>
      <c r="AE2074" t="s">
        <v>12441</v>
      </c>
      <c r="AF2074">
        <v>22</v>
      </c>
      <c r="AG2074">
        <v>1</v>
      </c>
      <c r="AH2074">
        <v>0</v>
      </c>
      <c r="AI2074">
        <v>138.09</v>
      </c>
      <c r="AL2074" t="s">
        <v>12460</v>
      </c>
      <c r="AM2074">
        <v>16764</v>
      </c>
      <c r="AS2074">
        <v>2.5</v>
      </c>
      <c r="AT2074" t="s">
        <v>391</v>
      </c>
      <c r="AU2074" t="s">
        <v>13100</v>
      </c>
    </row>
    <row r="2075" spans="1:48">
      <c r="A2075" s="1">
        <f>HYPERLINK("https://cms.ls-nyc.org/matter/dynamic-profile/view/1874036","18-1874036")</f>
        <v>0</v>
      </c>
      <c r="B2075" t="s">
        <v>73</v>
      </c>
      <c r="C2075" t="s">
        <v>437</v>
      </c>
      <c r="D2075" t="s">
        <v>472</v>
      </c>
      <c r="E2075" t="s">
        <v>1205</v>
      </c>
      <c r="F2075" t="s">
        <v>3125</v>
      </c>
      <c r="G2075" t="s">
        <v>4878</v>
      </c>
      <c r="H2075" t="s">
        <v>5400</v>
      </c>
      <c r="I2075" t="s">
        <v>6043</v>
      </c>
      <c r="J2075">
        <v>11212</v>
      </c>
      <c r="K2075" t="s">
        <v>6074</v>
      </c>
      <c r="L2075" t="s">
        <v>6074</v>
      </c>
      <c r="M2075" t="s">
        <v>6942</v>
      </c>
      <c r="N2075" t="s">
        <v>7276</v>
      </c>
      <c r="O2075" t="s">
        <v>7308</v>
      </c>
      <c r="P2075" t="s">
        <v>7314</v>
      </c>
      <c r="Q2075" t="s">
        <v>7322</v>
      </c>
      <c r="R2075" t="s">
        <v>6076</v>
      </c>
      <c r="S2075" t="s">
        <v>7324</v>
      </c>
      <c r="U2075" t="s">
        <v>281</v>
      </c>
      <c r="V2075">
        <v>950</v>
      </c>
      <c r="W2075" t="s">
        <v>7362</v>
      </c>
      <c r="X2075" t="s">
        <v>7368</v>
      </c>
      <c r="Y2075" t="s">
        <v>7386</v>
      </c>
      <c r="Z2075" t="s">
        <v>8995</v>
      </c>
      <c r="AA2075" t="s">
        <v>10229</v>
      </c>
      <c r="AB2075" t="s">
        <v>11695</v>
      </c>
      <c r="AC2075">
        <v>23</v>
      </c>
      <c r="AD2075" t="s">
        <v>12422</v>
      </c>
      <c r="AE2075" t="s">
        <v>12440</v>
      </c>
      <c r="AF2075">
        <v>8</v>
      </c>
      <c r="AG2075">
        <v>2</v>
      </c>
      <c r="AH2075">
        <v>0</v>
      </c>
      <c r="AI2075">
        <v>138.15</v>
      </c>
      <c r="AL2075" t="s">
        <v>12460</v>
      </c>
      <c r="AM2075">
        <v>22740</v>
      </c>
      <c r="AS2075">
        <v>6.85</v>
      </c>
      <c r="AT2075" t="s">
        <v>320</v>
      </c>
      <c r="AU2075" t="s">
        <v>218</v>
      </c>
    </row>
    <row r="2076" spans="1:48">
      <c r="A2076" s="1">
        <f>HYPERLINK("https://cms.ls-nyc.org/matter/dynamic-profile/view/1898185","19-1898185")</f>
        <v>0</v>
      </c>
      <c r="B2076" t="s">
        <v>102</v>
      </c>
      <c r="C2076" t="s">
        <v>270</v>
      </c>
      <c r="E2076" t="s">
        <v>1096</v>
      </c>
      <c r="F2076" t="s">
        <v>3126</v>
      </c>
      <c r="I2076" t="s">
        <v>6047</v>
      </c>
      <c r="J2076">
        <v>10473</v>
      </c>
      <c r="K2076" t="s">
        <v>6074</v>
      </c>
      <c r="L2076" t="s">
        <v>6074</v>
      </c>
      <c r="N2076" t="s">
        <v>7275</v>
      </c>
      <c r="O2076" t="s">
        <v>7306</v>
      </c>
      <c r="Q2076" t="s">
        <v>7322</v>
      </c>
      <c r="S2076" t="s">
        <v>7324</v>
      </c>
      <c r="U2076" t="s">
        <v>270</v>
      </c>
      <c r="V2076">
        <v>556</v>
      </c>
      <c r="W2076" t="s">
        <v>7363</v>
      </c>
      <c r="X2076" t="s">
        <v>7375</v>
      </c>
      <c r="Z2076" t="s">
        <v>8996</v>
      </c>
      <c r="AB2076" t="s">
        <v>11696</v>
      </c>
      <c r="AC2076">
        <v>0</v>
      </c>
      <c r="AD2076" t="s">
        <v>12422</v>
      </c>
      <c r="AF2076">
        <v>25</v>
      </c>
      <c r="AG2076">
        <v>1</v>
      </c>
      <c r="AH2076">
        <v>0</v>
      </c>
      <c r="AI2076">
        <v>138.35</v>
      </c>
      <c r="AM2076">
        <v>17280</v>
      </c>
      <c r="AS2076">
        <v>0</v>
      </c>
      <c r="AU2076" t="s">
        <v>102</v>
      </c>
    </row>
    <row r="2077" spans="1:48">
      <c r="A2077" s="1">
        <f>HYPERLINK("https://cms.ls-nyc.org/matter/dynamic-profile/view/1889678","19-1889678")</f>
        <v>0</v>
      </c>
      <c r="B2077" t="s">
        <v>104</v>
      </c>
      <c r="C2077" t="s">
        <v>379</v>
      </c>
      <c r="E2077" t="s">
        <v>1624</v>
      </c>
      <c r="F2077" t="s">
        <v>3127</v>
      </c>
      <c r="G2077" t="s">
        <v>4231</v>
      </c>
      <c r="H2077" t="s">
        <v>5786</v>
      </c>
      <c r="I2077" t="s">
        <v>6047</v>
      </c>
      <c r="J2077">
        <v>10463</v>
      </c>
      <c r="K2077" t="s">
        <v>6074</v>
      </c>
      <c r="L2077" t="s">
        <v>6074</v>
      </c>
      <c r="M2077" t="s">
        <v>6943</v>
      </c>
      <c r="N2077" t="s">
        <v>7278</v>
      </c>
      <c r="O2077" t="s">
        <v>7309</v>
      </c>
      <c r="Q2077" t="s">
        <v>7322</v>
      </c>
      <c r="R2077" t="s">
        <v>6076</v>
      </c>
      <c r="S2077" t="s">
        <v>7324</v>
      </c>
      <c r="T2077" t="s">
        <v>7336</v>
      </c>
      <c r="U2077" t="s">
        <v>286</v>
      </c>
      <c r="V2077">
        <v>421.7</v>
      </c>
      <c r="W2077" t="s">
        <v>7363</v>
      </c>
      <c r="X2077" t="s">
        <v>7376</v>
      </c>
      <c r="Z2077" t="s">
        <v>8997</v>
      </c>
      <c r="AB2077" t="s">
        <v>11697</v>
      </c>
      <c r="AC2077">
        <v>67</v>
      </c>
      <c r="AD2077" t="s">
        <v>12428</v>
      </c>
      <c r="AE2077" t="s">
        <v>12440</v>
      </c>
      <c r="AF2077">
        <v>19</v>
      </c>
      <c r="AG2077">
        <v>1</v>
      </c>
      <c r="AH2077">
        <v>0</v>
      </c>
      <c r="AI2077">
        <v>138.35</v>
      </c>
      <c r="AL2077" t="s">
        <v>12460</v>
      </c>
      <c r="AM2077">
        <v>17280</v>
      </c>
      <c r="AS2077">
        <v>6</v>
      </c>
      <c r="AT2077" t="s">
        <v>278</v>
      </c>
      <c r="AU2077" t="s">
        <v>13095</v>
      </c>
    </row>
    <row r="2078" spans="1:48">
      <c r="A2078" s="1">
        <f>HYPERLINK("https://cms.ls-nyc.org/matter/dynamic-profile/view/1901242","19-1901242")</f>
        <v>0</v>
      </c>
      <c r="B2078" t="s">
        <v>199</v>
      </c>
      <c r="C2078" t="s">
        <v>496</v>
      </c>
      <c r="E2078" t="s">
        <v>956</v>
      </c>
      <c r="F2078" t="s">
        <v>2721</v>
      </c>
      <c r="G2078" t="s">
        <v>4879</v>
      </c>
      <c r="H2078" t="s">
        <v>5425</v>
      </c>
      <c r="I2078" t="s">
        <v>6049</v>
      </c>
      <c r="J2078">
        <v>10033</v>
      </c>
      <c r="K2078" t="s">
        <v>6074</v>
      </c>
      <c r="L2078" t="s">
        <v>6075</v>
      </c>
      <c r="M2078" t="s">
        <v>6944</v>
      </c>
      <c r="N2078" t="s">
        <v>7276</v>
      </c>
      <c r="O2078" t="s">
        <v>7310</v>
      </c>
      <c r="Q2078" t="s">
        <v>7322</v>
      </c>
      <c r="R2078" t="s">
        <v>6076</v>
      </c>
      <c r="S2078" t="s">
        <v>7324</v>
      </c>
      <c r="U2078" t="s">
        <v>496</v>
      </c>
      <c r="V2078">
        <v>1807.17</v>
      </c>
      <c r="W2078" t="s">
        <v>7365</v>
      </c>
      <c r="X2078" t="s">
        <v>7366</v>
      </c>
      <c r="Z2078" t="s">
        <v>8998</v>
      </c>
      <c r="AA2078" t="s">
        <v>10230</v>
      </c>
      <c r="AB2078" t="s">
        <v>11698</v>
      </c>
      <c r="AC2078">
        <v>0</v>
      </c>
      <c r="AD2078" t="s">
        <v>12422</v>
      </c>
      <c r="AE2078" t="s">
        <v>6110</v>
      </c>
      <c r="AF2078">
        <v>6</v>
      </c>
      <c r="AG2078">
        <v>2</v>
      </c>
      <c r="AH2078">
        <v>0</v>
      </c>
      <c r="AI2078">
        <v>138.38</v>
      </c>
      <c r="AL2078" t="s">
        <v>12461</v>
      </c>
      <c r="AM2078">
        <v>23400</v>
      </c>
      <c r="AS2078">
        <v>0</v>
      </c>
      <c r="AU2078" t="s">
        <v>13109</v>
      </c>
      <c r="AV2078" t="s">
        <v>13146</v>
      </c>
    </row>
    <row r="2079" spans="1:48">
      <c r="A2079" s="1">
        <f>HYPERLINK("https://cms.ls-nyc.org/matter/dynamic-profile/view/1879146","18-1879146")</f>
        <v>0</v>
      </c>
      <c r="B2079" t="s">
        <v>96</v>
      </c>
      <c r="C2079" t="s">
        <v>355</v>
      </c>
      <c r="D2079" t="s">
        <v>326</v>
      </c>
      <c r="E2079" t="s">
        <v>743</v>
      </c>
      <c r="F2079" t="s">
        <v>1121</v>
      </c>
      <c r="G2079" t="s">
        <v>4880</v>
      </c>
      <c r="H2079">
        <v>1</v>
      </c>
      <c r="I2079" t="s">
        <v>6047</v>
      </c>
      <c r="J2079">
        <v>10465</v>
      </c>
      <c r="K2079" t="s">
        <v>6074</v>
      </c>
      <c r="L2079" t="s">
        <v>6074</v>
      </c>
      <c r="N2079" t="s">
        <v>7278</v>
      </c>
      <c r="O2079" t="s">
        <v>7306</v>
      </c>
      <c r="P2079" t="s">
        <v>7314</v>
      </c>
      <c r="Q2079" t="s">
        <v>7322</v>
      </c>
      <c r="R2079" t="s">
        <v>6076</v>
      </c>
      <c r="S2079" t="s">
        <v>7324</v>
      </c>
      <c r="U2079" t="s">
        <v>355</v>
      </c>
      <c r="V2079">
        <v>1020</v>
      </c>
      <c r="W2079" t="s">
        <v>7363</v>
      </c>
      <c r="Y2079" t="s">
        <v>7386</v>
      </c>
      <c r="Z2079" t="s">
        <v>8999</v>
      </c>
      <c r="AB2079" t="s">
        <v>11699</v>
      </c>
      <c r="AC2079">
        <v>0</v>
      </c>
      <c r="AD2079" t="s">
        <v>12419</v>
      </c>
      <c r="AE2079" t="s">
        <v>6110</v>
      </c>
      <c r="AF2079">
        <v>6</v>
      </c>
      <c r="AG2079">
        <v>1</v>
      </c>
      <c r="AH2079">
        <v>0</v>
      </c>
      <c r="AI2079">
        <v>138.39</v>
      </c>
      <c r="AL2079" t="s">
        <v>12460</v>
      </c>
      <c r="AM2079">
        <v>16800</v>
      </c>
      <c r="AS2079">
        <v>0.1</v>
      </c>
      <c r="AT2079" t="s">
        <v>326</v>
      </c>
      <c r="AU2079" t="s">
        <v>13092</v>
      </c>
    </row>
    <row r="2080" spans="1:48">
      <c r="A2080" s="1">
        <f>HYPERLINK("https://cms.ls-nyc.org/matter/dynamic-profile/view/1888492","19-1888492")</f>
        <v>0</v>
      </c>
      <c r="B2080" t="s">
        <v>101</v>
      </c>
      <c r="C2080" t="s">
        <v>410</v>
      </c>
      <c r="E2080" t="s">
        <v>1625</v>
      </c>
      <c r="F2080" t="s">
        <v>3128</v>
      </c>
      <c r="G2080" t="s">
        <v>4881</v>
      </c>
      <c r="H2080" t="s">
        <v>5357</v>
      </c>
      <c r="I2080" t="s">
        <v>6047</v>
      </c>
      <c r="J2080">
        <v>10453</v>
      </c>
      <c r="K2080" t="s">
        <v>6074</v>
      </c>
      <c r="L2080" t="s">
        <v>6074</v>
      </c>
      <c r="N2080" t="s">
        <v>6104</v>
      </c>
      <c r="O2080" t="s">
        <v>7307</v>
      </c>
      <c r="Q2080" t="s">
        <v>7322</v>
      </c>
      <c r="R2080" t="s">
        <v>6076</v>
      </c>
      <c r="S2080" t="s">
        <v>7324</v>
      </c>
      <c r="U2080" t="s">
        <v>364</v>
      </c>
      <c r="V2080">
        <v>460</v>
      </c>
      <c r="W2080" t="s">
        <v>7363</v>
      </c>
      <c r="X2080" t="s">
        <v>7376</v>
      </c>
      <c r="Z2080" t="s">
        <v>9000</v>
      </c>
      <c r="AB2080" t="s">
        <v>11700</v>
      </c>
      <c r="AC2080">
        <v>8</v>
      </c>
      <c r="AD2080" t="s">
        <v>12422</v>
      </c>
      <c r="AE2080" t="s">
        <v>12434</v>
      </c>
      <c r="AF2080">
        <v>5</v>
      </c>
      <c r="AG2080">
        <v>1</v>
      </c>
      <c r="AH2080">
        <v>0</v>
      </c>
      <c r="AI2080">
        <v>138.39</v>
      </c>
      <c r="AL2080" t="s">
        <v>12461</v>
      </c>
      <c r="AM2080">
        <v>16800</v>
      </c>
      <c r="AS2080">
        <v>1</v>
      </c>
      <c r="AT2080" t="s">
        <v>364</v>
      </c>
      <c r="AU2080" t="s">
        <v>13095</v>
      </c>
    </row>
    <row r="2081" spans="1:48">
      <c r="A2081" s="1">
        <f>HYPERLINK("https://cms.ls-nyc.org/matter/dynamic-profile/view/1872017","18-1872017")</f>
        <v>0</v>
      </c>
      <c r="B2081" t="s">
        <v>49</v>
      </c>
      <c r="C2081" t="s">
        <v>388</v>
      </c>
      <c r="E2081" t="s">
        <v>679</v>
      </c>
      <c r="F2081" t="s">
        <v>3129</v>
      </c>
      <c r="G2081" t="s">
        <v>4882</v>
      </c>
      <c r="I2081" t="s">
        <v>6025</v>
      </c>
      <c r="J2081">
        <v>11691</v>
      </c>
      <c r="K2081" t="s">
        <v>6074</v>
      </c>
      <c r="L2081" t="s">
        <v>6074</v>
      </c>
      <c r="M2081" t="s">
        <v>6945</v>
      </c>
      <c r="N2081" t="s">
        <v>7274</v>
      </c>
      <c r="O2081" t="s">
        <v>7306</v>
      </c>
      <c r="Q2081" t="s">
        <v>7322</v>
      </c>
      <c r="R2081" t="s">
        <v>6076</v>
      </c>
      <c r="S2081" t="s">
        <v>7324</v>
      </c>
      <c r="T2081" t="s">
        <v>7338</v>
      </c>
      <c r="U2081" t="s">
        <v>388</v>
      </c>
      <c r="V2081">
        <v>2100</v>
      </c>
      <c r="W2081" t="s">
        <v>7361</v>
      </c>
      <c r="X2081" t="s">
        <v>7366</v>
      </c>
      <c r="Z2081" t="s">
        <v>9001</v>
      </c>
      <c r="AA2081" t="s">
        <v>6170</v>
      </c>
      <c r="AB2081" t="s">
        <v>11701</v>
      </c>
      <c r="AC2081">
        <v>20</v>
      </c>
      <c r="AD2081" t="s">
        <v>12419</v>
      </c>
      <c r="AE2081" t="s">
        <v>12434</v>
      </c>
      <c r="AF2081">
        <v>3</v>
      </c>
      <c r="AG2081">
        <v>1</v>
      </c>
      <c r="AH2081">
        <v>3</v>
      </c>
      <c r="AI2081">
        <v>138.65</v>
      </c>
      <c r="AK2081" t="s">
        <v>12457</v>
      </c>
      <c r="AL2081" t="s">
        <v>12460</v>
      </c>
      <c r="AM2081">
        <v>34800</v>
      </c>
      <c r="AS2081">
        <v>1.2</v>
      </c>
      <c r="AT2081" t="s">
        <v>492</v>
      </c>
      <c r="AU2081" t="s">
        <v>189</v>
      </c>
    </row>
    <row r="2082" spans="1:48">
      <c r="A2082" s="1">
        <f>HYPERLINK("https://cms.ls-nyc.org/matter/dynamic-profile/view/1884862","18-1884862")</f>
        <v>0</v>
      </c>
      <c r="B2082" t="s">
        <v>75</v>
      </c>
      <c r="C2082" t="s">
        <v>434</v>
      </c>
      <c r="E2082" t="s">
        <v>1596</v>
      </c>
      <c r="F2082" t="s">
        <v>3098</v>
      </c>
      <c r="G2082" t="s">
        <v>4841</v>
      </c>
      <c r="H2082">
        <v>8</v>
      </c>
      <c r="I2082" t="s">
        <v>6043</v>
      </c>
      <c r="J2082">
        <v>11226</v>
      </c>
      <c r="K2082" t="s">
        <v>6074</v>
      </c>
      <c r="L2082" t="s">
        <v>6074</v>
      </c>
      <c r="N2082" t="s">
        <v>7278</v>
      </c>
      <c r="O2082" t="s">
        <v>7309</v>
      </c>
      <c r="Q2082" t="s">
        <v>7322</v>
      </c>
      <c r="S2082" t="s">
        <v>7324</v>
      </c>
      <c r="U2082" t="s">
        <v>434</v>
      </c>
      <c r="V2082">
        <v>763.86</v>
      </c>
      <c r="W2082" t="s">
        <v>7362</v>
      </c>
      <c r="Z2082" t="s">
        <v>8949</v>
      </c>
      <c r="AB2082" t="s">
        <v>11652</v>
      </c>
      <c r="AC2082">
        <v>0</v>
      </c>
      <c r="AD2082" t="s">
        <v>12422</v>
      </c>
      <c r="AF2082">
        <v>21</v>
      </c>
      <c r="AG2082">
        <v>4</v>
      </c>
      <c r="AH2082">
        <v>1</v>
      </c>
      <c r="AI2082">
        <v>138.68</v>
      </c>
      <c r="AL2082" t="s">
        <v>12460</v>
      </c>
      <c r="AM2082">
        <v>40800</v>
      </c>
      <c r="AS2082">
        <v>1.7</v>
      </c>
      <c r="AT2082" t="s">
        <v>250</v>
      </c>
      <c r="AU2082" t="s">
        <v>88</v>
      </c>
    </row>
    <row r="2083" spans="1:48">
      <c r="A2083" s="1">
        <f>HYPERLINK("https://cms.ls-nyc.org/matter/dynamic-profile/view/1878269","18-1878269")</f>
        <v>0</v>
      </c>
      <c r="B2083" t="s">
        <v>97</v>
      </c>
      <c r="C2083" t="s">
        <v>248</v>
      </c>
      <c r="D2083" t="s">
        <v>389</v>
      </c>
      <c r="E2083" t="s">
        <v>1324</v>
      </c>
      <c r="F2083" t="s">
        <v>3130</v>
      </c>
      <c r="G2083" t="s">
        <v>4883</v>
      </c>
      <c r="I2083" t="s">
        <v>6047</v>
      </c>
      <c r="J2083">
        <v>10452</v>
      </c>
      <c r="K2083" t="s">
        <v>6074</v>
      </c>
      <c r="L2083" t="s">
        <v>6074</v>
      </c>
      <c r="N2083" t="s">
        <v>6104</v>
      </c>
      <c r="O2083" t="s">
        <v>7306</v>
      </c>
      <c r="P2083" t="s">
        <v>7314</v>
      </c>
      <c r="Q2083" t="s">
        <v>7322</v>
      </c>
      <c r="R2083" t="s">
        <v>6076</v>
      </c>
      <c r="S2083" t="s">
        <v>7324</v>
      </c>
      <c r="U2083" t="s">
        <v>248</v>
      </c>
      <c r="V2083">
        <v>705.71</v>
      </c>
      <c r="W2083" t="s">
        <v>7363</v>
      </c>
      <c r="X2083" t="s">
        <v>7376</v>
      </c>
      <c r="Y2083" t="s">
        <v>7386</v>
      </c>
      <c r="Z2083" t="s">
        <v>9002</v>
      </c>
      <c r="AB2083" t="s">
        <v>11702</v>
      </c>
      <c r="AC2083">
        <v>41</v>
      </c>
      <c r="AD2083" t="s">
        <v>12422</v>
      </c>
      <c r="AE2083" t="s">
        <v>6110</v>
      </c>
      <c r="AF2083">
        <v>35</v>
      </c>
      <c r="AG2083">
        <v>3</v>
      </c>
      <c r="AH2083">
        <v>0</v>
      </c>
      <c r="AI2083">
        <v>138.88</v>
      </c>
      <c r="AL2083" t="s">
        <v>12460</v>
      </c>
      <c r="AM2083">
        <v>28860</v>
      </c>
      <c r="AS2083">
        <v>0.9</v>
      </c>
      <c r="AT2083" t="s">
        <v>389</v>
      </c>
      <c r="AU2083" t="s">
        <v>97</v>
      </c>
    </row>
    <row r="2084" spans="1:48">
      <c r="A2084" s="1">
        <f>HYPERLINK("https://cms.ls-nyc.org/matter/dynamic-profile/view/1890794","19-1890794")</f>
        <v>0</v>
      </c>
      <c r="B2084" t="s">
        <v>125</v>
      </c>
      <c r="C2084" t="s">
        <v>251</v>
      </c>
      <c r="E2084" t="s">
        <v>1626</v>
      </c>
      <c r="F2084" t="s">
        <v>2457</v>
      </c>
      <c r="G2084" t="s">
        <v>4174</v>
      </c>
      <c r="H2084" t="s">
        <v>5348</v>
      </c>
      <c r="I2084" t="s">
        <v>6049</v>
      </c>
      <c r="J2084">
        <v>10032</v>
      </c>
      <c r="K2084" t="s">
        <v>6074</v>
      </c>
      <c r="L2084" t="s">
        <v>6074</v>
      </c>
      <c r="O2084" t="s">
        <v>7306</v>
      </c>
      <c r="Q2084" t="s">
        <v>7322</v>
      </c>
      <c r="R2084" t="s">
        <v>6074</v>
      </c>
      <c r="S2084" t="s">
        <v>7324</v>
      </c>
      <c r="U2084" t="s">
        <v>251</v>
      </c>
      <c r="V2084">
        <v>650</v>
      </c>
      <c r="W2084" t="s">
        <v>7365</v>
      </c>
      <c r="X2084" t="s">
        <v>7367</v>
      </c>
      <c r="Z2084" t="s">
        <v>9003</v>
      </c>
      <c r="AB2084" t="s">
        <v>11703</v>
      </c>
      <c r="AC2084">
        <v>42</v>
      </c>
      <c r="AD2084" t="s">
        <v>12422</v>
      </c>
      <c r="AE2084" t="s">
        <v>6110</v>
      </c>
      <c r="AF2084">
        <v>25</v>
      </c>
      <c r="AG2084">
        <v>3</v>
      </c>
      <c r="AH2084">
        <v>1</v>
      </c>
      <c r="AI2084">
        <v>139.04</v>
      </c>
      <c r="AL2084" t="s">
        <v>12461</v>
      </c>
      <c r="AM2084">
        <v>35804</v>
      </c>
      <c r="AS2084">
        <v>0</v>
      </c>
      <c r="AU2084" t="s">
        <v>13106</v>
      </c>
    </row>
    <row r="2085" spans="1:48">
      <c r="A2085" s="1">
        <f>HYPERLINK("https://cms.ls-nyc.org/matter/dynamic-profile/view/1871510","18-1871510")</f>
        <v>0</v>
      </c>
      <c r="B2085" t="s">
        <v>96</v>
      </c>
      <c r="C2085" t="s">
        <v>374</v>
      </c>
      <c r="D2085" t="s">
        <v>389</v>
      </c>
      <c r="E2085" t="s">
        <v>1627</v>
      </c>
      <c r="F2085" t="s">
        <v>3131</v>
      </c>
      <c r="G2085" t="s">
        <v>4267</v>
      </c>
      <c r="H2085" t="s">
        <v>5476</v>
      </c>
      <c r="I2085" t="s">
        <v>6047</v>
      </c>
      <c r="J2085">
        <v>10468</v>
      </c>
      <c r="K2085" t="s">
        <v>6074</v>
      </c>
      <c r="L2085" t="s">
        <v>6074</v>
      </c>
      <c r="N2085" t="s">
        <v>6104</v>
      </c>
      <c r="O2085" t="s">
        <v>7306</v>
      </c>
      <c r="P2085" t="s">
        <v>7314</v>
      </c>
      <c r="Q2085" t="s">
        <v>7322</v>
      </c>
      <c r="R2085" t="s">
        <v>6076</v>
      </c>
      <c r="S2085" t="s">
        <v>7324</v>
      </c>
      <c r="U2085" t="s">
        <v>374</v>
      </c>
      <c r="V2085">
        <v>1057.58</v>
      </c>
      <c r="W2085" t="s">
        <v>7363</v>
      </c>
      <c r="X2085" t="s">
        <v>7376</v>
      </c>
      <c r="Y2085" t="s">
        <v>7386</v>
      </c>
      <c r="Z2085" t="s">
        <v>9004</v>
      </c>
      <c r="AB2085" t="s">
        <v>11704</v>
      </c>
      <c r="AC2085">
        <v>58</v>
      </c>
      <c r="AE2085" t="s">
        <v>6110</v>
      </c>
      <c r="AF2085">
        <v>51</v>
      </c>
      <c r="AG2085">
        <v>3</v>
      </c>
      <c r="AH2085">
        <v>0</v>
      </c>
      <c r="AI2085">
        <v>139.26</v>
      </c>
      <c r="AL2085" t="s">
        <v>12460</v>
      </c>
      <c r="AM2085">
        <v>28937.22</v>
      </c>
      <c r="AS2085">
        <v>0.5</v>
      </c>
      <c r="AT2085" t="s">
        <v>374</v>
      </c>
      <c r="AU2085" t="s">
        <v>13092</v>
      </c>
    </row>
    <row r="2086" spans="1:48">
      <c r="A2086" s="1">
        <f>HYPERLINK("https://cms.ls-nyc.org/matter/dynamic-profile/view/1886391","18-1886391")</f>
        <v>0</v>
      </c>
      <c r="B2086" t="s">
        <v>75</v>
      </c>
      <c r="C2086" t="s">
        <v>472</v>
      </c>
      <c r="D2086" t="s">
        <v>472</v>
      </c>
      <c r="E2086" t="s">
        <v>1628</v>
      </c>
      <c r="F2086" t="s">
        <v>3132</v>
      </c>
      <c r="G2086" t="s">
        <v>4884</v>
      </c>
      <c r="H2086">
        <v>2</v>
      </c>
      <c r="I2086" t="s">
        <v>6043</v>
      </c>
      <c r="J2086">
        <v>11215</v>
      </c>
      <c r="K2086" t="s">
        <v>6074</v>
      </c>
      <c r="L2086" t="s">
        <v>6076</v>
      </c>
      <c r="N2086" t="s">
        <v>7279</v>
      </c>
      <c r="O2086" t="s">
        <v>7307</v>
      </c>
      <c r="P2086" t="s">
        <v>7319</v>
      </c>
      <c r="Q2086" t="s">
        <v>7322</v>
      </c>
      <c r="R2086" t="s">
        <v>6076</v>
      </c>
      <c r="S2086" t="s">
        <v>7324</v>
      </c>
      <c r="T2086" t="s">
        <v>7336</v>
      </c>
      <c r="U2086" t="s">
        <v>472</v>
      </c>
      <c r="V2086">
        <v>0</v>
      </c>
      <c r="W2086" t="s">
        <v>7362</v>
      </c>
      <c r="Y2086" t="s">
        <v>7398</v>
      </c>
      <c r="Z2086" t="s">
        <v>9005</v>
      </c>
      <c r="AC2086">
        <v>0</v>
      </c>
      <c r="AF2086">
        <v>0</v>
      </c>
      <c r="AG2086">
        <v>3</v>
      </c>
      <c r="AH2086">
        <v>0</v>
      </c>
      <c r="AI2086">
        <v>139.56</v>
      </c>
      <c r="AL2086" t="s">
        <v>12460</v>
      </c>
      <c r="AM2086">
        <v>29000</v>
      </c>
      <c r="AN2086" t="s">
        <v>12662</v>
      </c>
      <c r="AP2086" t="s">
        <v>7305</v>
      </c>
      <c r="AQ2086" t="s">
        <v>12909</v>
      </c>
      <c r="AR2086" t="s">
        <v>13033</v>
      </c>
      <c r="AS2086">
        <v>0.25</v>
      </c>
      <c r="AT2086" t="s">
        <v>443</v>
      </c>
      <c r="AU2086" t="s">
        <v>13139</v>
      </c>
    </row>
    <row r="2087" spans="1:48">
      <c r="A2087" s="1">
        <f>HYPERLINK("https://cms.ls-nyc.org/matter/dynamic-profile/view/1888825","19-1888825")</f>
        <v>0</v>
      </c>
      <c r="B2087" t="s">
        <v>84</v>
      </c>
      <c r="C2087" t="s">
        <v>284</v>
      </c>
      <c r="E2087" t="s">
        <v>628</v>
      </c>
      <c r="F2087" t="s">
        <v>3133</v>
      </c>
      <c r="G2087" t="s">
        <v>4885</v>
      </c>
      <c r="I2087" t="s">
        <v>6043</v>
      </c>
      <c r="J2087">
        <v>11215</v>
      </c>
      <c r="K2087" t="s">
        <v>6074</v>
      </c>
      <c r="L2087" t="s">
        <v>6074</v>
      </c>
      <c r="M2087" t="s">
        <v>6946</v>
      </c>
      <c r="N2087" t="s">
        <v>7276</v>
      </c>
      <c r="O2087" t="s">
        <v>7308</v>
      </c>
      <c r="Q2087" t="s">
        <v>7322</v>
      </c>
      <c r="R2087" t="s">
        <v>6076</v>
      </c>
      <c r="S2087" t="s">
        <v>7324</v>
      </c>
      <c r="U2087" t="s">
        <v>306</v>
      </c>
      <c r="V2087">
        <v>1252.83</v>
      </c>
      <c r="W2087" t="s">
        <v>7362</v>
      </c>
      <c r="Z2087" t="s">
        <v>9006</v>
      </c>
      <c r="AB2087" t="s">
        <v>11705</v>
      </c>
      <c r="AC2087">
        <v>0</v>
      </c>
      <c r="AF2087">
        <v>23</v>
      </c>
      <c r="AG2087">
        <v>1</v>
      </c>
      <c r="AH2087">
        <v>0</v>
      </c>
      <c r="AI2087">
        <v>139.6</v>
      </c>
      <c r="AL2087" t="s">
        <v>12460</v>
      </c>
      <c r="AM2087">
        <v>17436</v>
      </c>
      <c r="AS2087">
        <v>4.6</v>
      </c>
      <c r="AT2087" t="s">
        <v>424</v>
      </c>
      <c r="AU2087" t="s">
        <v>88</v>
      </c>
    </row>
    <row r="2088" spans="1:48">
      <c r="A2088" s="1">
        <f>HYPERLINK("https://cms.ls-nyc.org/matter/dynamic-profile/view/1887051","19-1887051")</f>
        <v>0</v>
      </c>
      <c r="B2088" t="s">
        <v>112</v>
      </c>
      <c r="C2088" t="s">
        <v>272</v>
      </c>
      <c r="E2088" t="s">
        <v>877</v>
      </c>
      <c r="F2088" t="s">
        <v>3116</v>
      </c>
      <c r="G2088" t="s">
        <v>3793</v>
      </c>
      <c r="H2088" t="s">
        <v>5483</v>
      </c>
      <c r="I2088" t="s">
        <v>6047</v>
      </c>
      <c r="J2088">
        <v>10453</v>
      </c>
      <c r="K2088" t="s">
        <v>6074</v>
      </c>
      <c r="L2088" t="s">
        <v>6074</v>
      </c>
      <c r="M2088" t="s">
        <v>6194</v>
      </c>
      <c r="N2088" t="s">
        <v>7273</v>
      </c>
      <c r="O2088" t="s">
        <v>7308</v>
      </c>
      <c r="Q2088" t="s">
        <v>7322</v>
      </c>
      <c r="R2088" t="s">
        <v>6074</v>
      </c>
      <c r="S2088" t="s">
        <v>7324</v>
      </c>
      <c r="U2088" t="s">
        <v>457</v>
      </c>
      <c r="V2088">
        <v>968.91</v>
      </c>
      <c r="W2088" t="s">
        <v>7363</v>
      </c>
      <c r="X2088" t="s">
        <v>7376</v>
      </c>
      <c r="Z2088" t="s">
        <v>8980</v>
      </c>
      <c r="AB2088" t="s">
        <v>11680</v>
      </c>
      <c r="AC2088">
        <v>49</v>
      </c>
      <c r="AD2088" t="s">
        <v>12422</v>
      </c>
      <c r="AE2088" t="s">
        <v>6110</v>
      </c>
      <c r="AF2088">
        <v>14</v>
      </c>
      <c r="AG2088">
        <v>1</v>
      </c>
      <c r="AH2088">
        <v>4</v>
      </c>
      <c r="AI2088">
        <v>139.68</v>
      </c>
      <c r="AL2088" t="s">
        <v>12460</v>
      </c>
      <c r="AM2088">
        <v>41095</v>
      </c>
      <c r="AS2088">
        <v>0</v>
      </c>
      <c r="AU2088" t="s">
        <v>13092</v>
      </c>
    </row>
    <row r="2089" spans="1:48">
      <c r="A2089" s="1">
        <f>HYPERLINK("https://cms.ls-nyc.org/matter/dynamic-profile/view/1887071","19-1887071")</f>
        <v>0</v>
      </c>
      <c r="B2089" t="s">
        <v>112</v>
      </c>
      <c r="C2089" t="s">
        <v>272</v>
      </c>
      <c r="E2089" t="s">
        <v>877</v>
      </c>
      <c r="F2089" t="s">
        <v>3116</v>
      </c>
      <c r="G2089" t="s">
        <v>3793</v>
      </c>
      <c r="H2089" t="s">
        <v>5483</v>
      </c>
      <c r="I2089" t="s">
        <v>6047</v>
      </c>
      <c r="J2089">
        <v>10453</v>
      </c>
      <c r="K2089" t="s">
        <v>6074</v>
      </c>
      <c r="L2089" t="s">
        <v>6074</v>
      </c>
      <c r="N2089" t="s">
        <v>6104</v>
      </c>
      <c r="O2089" t="s">
        <v>7309</v>
      </c>
      <c r="Q2089" t="s">
        <v>7322</v>
      </c>
      <c r="R2089" t="s">
        <v>6074</v>
      </c>
      <c r="S2089" t="s">
        <v>7324</v>
      </c>
      <c r="U2089" t="s">
        <v>457</v>
      </c>
      <c r="V2089">
        <v>968.91</v>
      </c>
      <c r="W2089" t="s">
        <v>7363</v>
      </c>
      <c r="X2089" t="s">
        <v>7376</v>
      </c>
      <c r="Z2089" t="s">
        <v>8980</v>
      </c>
      <c r="AB2089" t="s">
        <v>11680</v>
      </c>
      <c r="AC2089">
        <v>49</v>
      </c>
      <c r="AD2089" t="s">
        <v>12422</v>
      </c>
      <c r="AE2089" t="s">
        <v>6110</v>
      </c>
      <c r="AF2089">
        <v>14</v>
      </c>
      <c r="AG2089">
        <v>1</v>
      </c>
      <c r="AH2089">
        <v>4</v>
      </c>
      <c r="AI2089">
        <v>139.68</v>
      </c>
      <c r="AL2089" t="s">
        <v>12460</v>
      </c>
      <c r="AM2089">
        <v>41095</v>
      </c>
      <c r="AS2089">
        <v>0</v>
      </c>
      <c r="AU2089" t="s">
        <v>13092</v>
      </c>
    </row>
    <row r="2090" spans="1:48">
      <c r="A2090" s="1">
        <f>HYPERLINK("https://cms.ls-nyc.org/matter/dynamic-profile/view/1874611","18-1874611")</f>
        <v>0</v>
      </c>
      <c r="B2090" t="s">
        <v>131</v>
      </c>
      <c r="C2090" t="s">
        <v>237</v>
      </c>
      <c r="D2090" t="s">
        <v>354</v>
      </c>
      <c r="E2090" t="s">
        <v>1017</v>
      </c>
      <c r="F2090" t="s">
        <v>3134</v>
      </c>
      <c r="G2090" t="s">
        <v>4886</v>
      </c>
      <c r="I2090" t="s">
        <v>6049</v>
      </c>
      <c r="J2090">
        <v>10034</v>
      </c>
      <c r="K2090" t="s">
        <v>6074</v>
      </c>
      <c r="L2090" t="s">
        <v>6076</v>
      </c>
      <c r="N2090" t="s">
        <v>7279</v>
      </c>
      <c r="O2090" t="s">
        <v>7307</v>
      </c>
      <c r="P2090" t="s">
        <v>7315</v>
      </c>
      <c r="Q2090" t="s">
        <v>7322</v>
      </c>
      <c r="R2090" t="s">
        <v>6076</v>
      </c>
      <c r="S2090" t="s">
        <v>7324</v>
      </c>
      <c r="U2090" t="s">
        <v>237</v>
      </c>
      <c r="V2090">
        <v>900</v>
      </c>
      <c r="W2090" t="s">
        <v>7365</v>
      </c>
      <c r="X2090" t="s">
        <v>7375</v>
      </c>
      <c r="Y2090" t="s">
        <v>7387</v>
      </c>
      <c r="Z2090" t="s">
        <v>9007</v>
      </c>
      <c r="AB2090" t="s">
        <v>11706</v>
      </c>
      <c r="AC2090">
        <v>74</v>
      </c>
      <c r="AD2090" t="s">
        <v>12422</v>
      </c>
      <c r="AE2090" t="s">
        <v>6110</v>
      </c>
      <c r="AF2090">
        <v>38</v>
      </c>
      <c r="AG2090">
        <v>4</v>
      </c>
      <c r="AH2090">
        <v>0</v>
      </c>
      <c r="AI2090">
        <v>139.7</v>
      </c>
      <c r="AL2090" t="s">
        <v>12460</v>
      </c>
      <c r="AM2090">
        <v>35064</v>
      </c>
      <c r="AS2090">
        <v>0.1</v>
      </c>
      <c r="AT2090" t="s">
        <v>354</v>
      </c>
      <c r="AU2090" t="s">
        <v>13106</v>
      </c>
    </row>
    <row r="2091" spans="1:48">
      <c r="A2091" s="1">
        <f>HYPERLINK("https://cms.ls-nyc.org/matter/dynamic-profile/view/1877546","18-1877546")</f>
        <v>0</v>
      </c>
      <c r="B2091" t="s">
        <v>54</v>
      </c>
      <c r="C2091" t="s">
        <v>372</v>
      </c>
      <c r="E2091" t="s">
        <v>1563</v>
      </c>
      <c r="F2091" t="s">
        <v>715</v>
      </c>
      <c r="G2091" t="s">
        <v>4887</v>
      </c>
      <c r="H2091" t="s">
        <v>5489</v>
      </c>
      <c r="I2091" t="s">
        <v>6040</v>
      </c>
      <c r="J2091">
        <v>11354</v>
      </c>
      <c r="K2091" t="s">
        <v>6074</v>
      </c>
      <c r="L2091" t="s">
        <v>6074</v>
      </c>
      <c r="M2091" t="s">
        <v>6947</v>
      </c>
      <c r="N2091" t="s">
        <v>7276</v>
      </c>
      <c r="O2091" t="s">
        <v>7308</v>
      </c>
      <c r="Q2091" t="s">
        <v>7322</v>
      </c>
      <c r="R2091" t="s">
        <v>6076</v>
      </c>
      <c r="S2091" t="s">
        <v>7324</v>
      </c>
      <c r="T2091" t="s">
        <v>7336</v>
      </c>
      <c r="U2091" t="s">
        <v>372</v>
      </c>
      <c r="V2091">
        <v>700</v>
      </c>
      <c r="W2091" t="s">
        <v>7361</v>
      </c>
      <c r="X2091" t="s">
        <v>7366</v>
      </c>
      <c r="Z2091" t="s">
        <v>9008</v>
      </c>
      <c r="AB2091" t="s">
        <v>11707</v>
      </c>
      <c r="AC2091">
        <v>84</v>
      </c>
      <c r="AD2091" t="s">
        <v>12422</v>
      </c>
      <c r="AE2091" t="s">
        <v>6110</v>
      </c>
      <c r="AF2091">
        <v>3</v>
      </c>
      <c r="AG2091">
        <v>2</v>
      </c>
      <c r="AH2091">
        <v>0</v>
      </c>
      <c r="AI2091">
        <v>139.73</v>
      </c>
      <c r="AL2091" t="s">
        <v>12460</v>
      </c>
      <c r="AM2091">
        <v>23000</v>
      </c>
      <c r="AO2091" t="s">
        <v>12853</v>
      </c>
      <c r="AP2091" t="s">
        <v>7305</v>
      </c>
      <c r="AQ2091" t="s">
        <v>12910</v>
      </c>
      <c r="AR2091" t="s">
        <v>13030</v>
      </c>
      <c r="AS2091">
        <v>6.95</v>
      </c>
      <c r="AT2091" t="s">
        <v>317</v>
      </c>
      <c r="AU2091" t="s">
        <v>48</v>
      </c>
    </row>
    <row r="2092" spans="1:48">
      <c r="A2092" s="1">
        <f>HYPERLINK("https://cms.ls-nyc.org/matter/dynamic-profile/view/1897972","19-1897972")</f>
        <v>0</v>
      </c>
      <c r="B2092" t="s">
        <v>86</v>
      </c>
      <c r="C2092" t="s">
        <v>418</v>
      </c>
      <c r="E2092" t="s">
        <v>1258</v>
      </c>
      <c r="F2092" t="s">
        <v>2059</v>
      </c>
      <c r="G2092" t="s">
        <v>4284</v>
      </c>
      <c r="H2092" t="s">
        <v>5816</v>
      </c>
      <c r="I2092" t="s">
        <v>6043</v>
      </c>
      <c r="J2092">
        <v>11233</v>
      </c>
      <c r="K2092" t="s">
        <v>6074</v>
      </c>
      <c r="L2092" t="s">
        <v>6076</v>
      </c>
      <c r="M2092" t="s">
        <v>6948</v>
      </c>
      <c r="N2092" t="s">
        <v>7291</v>
      </c>
      <c r="Q2092" t="s">
        <v>7322</v>
      </c>
      <c r="R2092" t="s">
        <v>6076</v>
      </c>
      <c r="S2092" t="s">
        <v>7327</v>
      </c>
      <c r="T2092" t="s">
        <v>7336</v>
      </c>
      <c r="U2092" t="s">
        <v>363</v>
      </c>
      <c r="V2092">
        <v>1090</v>
      </c>
      <c r="W2092" t="s">
        <v>7362</v>
      </c>
      <c r="X2092" t="s">
        <v>7366</v>
      </c>
      <c r="Z2092" t="s">
        <v>9009</v>
      </c>
      <c r="AA2092">
        <v>176531211</v>
      </c>
      <c r="AB2092" t="s">
        <v>11708</v>
      </c>
      <c r="AC2092">
        <v>101</v>
      </c>
      <c r="AD2092" t="s">
        <v>6322</v>
      </c>
      <c r="AF2092">
        <v>2</v>
      </c>
      <c r="AG2092">
        <v>4</v>
      </c>
      <c r="AH2092">
        <v>0</v>
      </c>
      <c r="AI2092">
        <v>139.81</v>
      </c>
      <c r="AL2092" t="s">
        <v>12461</v>
      </c>
      <c r="AM2092">
        <v>36000</v>
      </c>
      <c r="AS2092">
        <v>1.25</v>
      </c>
      <c r="AT2092" t="s">
        <v>363</v>
      </c>
      <c r="AU2092" t="s">
        <v>13085</v>
      </c>
      <c r="AV2092" t="s">
        <v>13145</v>
      </c>
    </row>
    <row r="2093" spans="1:48">
      <c r="A2093" s="1">
        <f>HYPERLINK("https://cms.ls-nyc.org/matter/dynamic-profile/view/1887798","19-1887798")</f>
        <v>0</v>
      </c>
      <c r="B2093" t="s">
        <v>148</v>
      </c>
      <c r="C2093" t="s">
        <v>310</v>
      </c>
      <c r="E2093" t="s">
        <v>1142</v>
      </c>
      <c r="F2093" t="s">
        <v>3135</v>
      </c>
      <c r="G2093" t="s">
        <v>4888</v>
      </c>
      <c r="H2093" t="s">
        <v>5370</v>
      </c>
      <c r="I2093" t="s">
        <v>6043</v>
      </c>
      <c r="J2093">
        <v>11207</v>
      </c>
      <c r="K2093" t="s">
        <v>6074</v>
      </c>
      <c r="L2093" t="s">
        <v>6074</v>
      </c>
      <c r="M2093" t="s">
        <v>6949</v>
      </c>
      <c r="N2093" t="s">
        <v>7274</v>
      </c>
      <c r="O2093" t="s">
        <v>7307</v>
      </c>
      <c r="Q2093" t="s">
        <v>7322</v>
      </c>
      <c r="R2093" t="s">
        <v>6076</v>
      </c>
      <c r="S2093" t="s">
        <v>7324</v>
      </c>
      <c r="T2093" t="s">
        <v>7336</v>
      </c>
      <c r="U2093" t="s">
        <v>365</v>
      </c>
      <c r="V2093">
        <v>1992</v>
      </c>
      <c r="W2093" t="s">
        <v>7362</v>
      </c>
      <c r="X2093" t="s">
        <v>7372</v>
      </c>
      <c r="Z2093" t="s">
        <v>9010</v>
      </c>
      <c r="AA2093" t="s">
        <v>9871</v>
      </c>
      <c r="AB2093" t="s">
        <v>11709</v>
      </c>
      <c r="AC2093">
        <v>3</v>
      </c>
      <c r="AD2093" t="s">
        <v>12419</v>
      </c>
      <c r="AE2093" t="s">
        <v>12434</v>
      </c>
      <c r="AF2093">
        <v>4</v>
      </c>
      <c r="AG2093">
        <v>3</v>
      </c>
      <c r="AH2093">
        <v>1</v>
      </c>
      <c r="AI2093">
        <v>139.81</v>
      </c>
      <c r="AL2093" t="s">
        <v>12460</v>
      </c>
      <c r="AM2093">
        <v>36000</v>
      </c>
      <c r="AS2093">
        <v>3.75</v>
      </c>
      <c r="AT2093" t="s">
        <v>456</v>
      </c>
      <c r="AU2093" t="s">
        <v>218</v>
      </c>
    </row>
    <row r="2094" spans="1:48">
      <c r="A2094" s="1">
        <f>HYPERLINK("https://cms.ls-nyc.org/matter/dynamic-profile/view/1895730","19-1895730")</f>
        <v>0</v>
      </c>
      <c r="B2094" t="s">
        <v>64</v>
      </c>
      <c r="C2094" t="s">
        <v>315</v>
      </c>
      <c r="D2094" t="s">
        <v>363</v>
      </c>
      <c r="E2094" t="s">
        <v>1629</v>
      </c>
      <c r="F2094" t="s">
        <v>2460</v>
      </c>
      <c r="G2094" t="s">
        <v>3766</v>
      </c>
      <c r="H2094" t="s">
        <v>5663</v>
      </c>
      <c r="I2094" t="s">
        <v>6045</v>
      </c>
      <c r="J2094">
        <v>11101</v>
      </c>
      <c r="K2094" t="s">
        <v>6074</v>
      </c>
      <c r="L2094" t="s">
        <v>6074</v>
      </c>
      <c r="M2094" t="s">
        <v>6950</v>
      </c>
      <c r="N2094" t="s">
        <v>7276</v>
      </c>
      <c r="O2094" t="s">
        <v>7306</v>
      </c>
      <c r="P2094" t="s">
        <v>7314</v>
      </c>
      <c r="Q2094" t="s">
        <v>7322</v>
      </c>
      <c r="R2094" t="s">
        <v>6076</v>
      </c>
      <c r="S2094" t="s">
        <v>7324</v>
      </c>
      <c r="T2094" t="s">
        <v>7340</v>
      </c>
      <c r="U2094" t="s">
        <v>315</v>
      </c>
      <c r="V2094">
        <v>851.7</v>
      </c>
      <c r="W2094" t="s">
        <v>7361</v>
      </c>
      <c r="X2094" t="s">
        <v>7366</v>
      </c>
      <c r="Y2094" t="s">
        <v>7386</v>
      </c>
      <c r="Z2094" t="s">
        <v>9011</v>
      </c>
      <c r="AA2094" t="s">
        <v>10231</v>
      </c>
      <c r="AB2094" t="s">
        <v>11710</v>
      </c>
      <c r="AC2094">
        <v>320</v>
      </c>
      <c r="AD2094" t="s">
        <v>12422</v>
      </c>
      <c r="AE2094" t="s">
        <v>6110</v>
      </c>
      <c r="AF2094">
        <v>4</v>
      </c>
      <c r="AG2094">
        <v>2</v>
      </c>
      <c r="AH2094">
        <v>2</v>
      </c>
      <c r="AI2094">
        <v>139.81</v>
      </c>
      <c r="AL2094" t="s">
        <v>12460</v>
      </c>
      <c r="AM2094">
        <v>36000</v>
      </c>
      <c r="AS2094">
        <v>2.1</v>
      </c>
      <c r="AT2094" t="s">
        <v>13073</v>
      </c>
      <c r="AU2094" t="s">
        <v>189</v>
      </c>
    </row>
    <row r="2095" spans="1:48">
      <c r="A2095" s="1">
        <f>HYPERLINK("https://cms.ls-nyc.org/matter/dynamic-profile/view/1885990","18-1885990")</f>
        <v>0</v>
      </c>
      <c r="B2095" t="s">
        <v>54</v>
      </c>
      <c r="C2095" t="s">
        <v>462</v>
      </c>
      <c r="E2095" t="s">
        <v>1421</v>
      </c>
      <c r="F2095" t="s">
        <v>2342</v>
      </c>
      <c r="G2095" t="s">
        <v>4866</v>
      </c>
      <c r="H2095">
        <v>1</v>
      </c>
      <c r="I2095" t="s">
        <v>6025</v>
      </c>
      <c r="J2095">
        <v>11691</v>
      </c>
      <c r="K2095" t="s">
        <v>6074</v>
      </c>
      <c r="L2095" t="s">
        <v>6074</v>
      </c>
      <c r="M2095" t="s">
        <v>6933</v>
      </c>
      <c r="N2095" t="s">
        <v>7276</v>
      </c>
      <c r="O2095" t="s">
        <v>7308</v>
      </c>
      <c r="Q2095" t="s">
        <v>7322</v>
      </c>
      <c r="R2095" t="s">
        <v>6076</v>
      </c>
      <c r="S2095" t="s">
        <v>7324</v>
      </c>
      <c r="T2095" t="s">
        <v>7336</v>
      </c>
      <c r="U2095" t="s">
        <v>422</v>
      </c>
      <c r="V2095">
        <v>1100</v>
      </c>
      <c r="W2095" t="s">
        <v>7361</v>
      </c>
      <c r="X2095" t="s">
        <v>7366</v>
      </c>
      <c r="Z2095" t="s">
        <v>8982</v>
      </c>
      <c r="AA2095" t="s">
        <v>10227</v>
      </c>
      <c r="AB2095" t="s">
        <v>11682</v>
      </c>
      <c r="AC2095">
        <v>3</v>
      </c>
      <c r="AD2095" t="s">
        <v>12422</v>
      </c>
      <c r="AE2095" t="s">
        <v>6110</v>
      </c>
      <c r="AF2095">
        <v>1</v>
      </c>
      <c r="AG2095">
        <v>1</v>
      </c>
      <c r="AH2095">
        <v>2</v>
      </c>
      <c r="AI2095">
        <v>140.13</v>
      </c>
      <c r="AL2095" t="s">
        <v>12460</v>
      </c>
      <c r="AM2095">
        <v>29120</v>
      </c>
      <c r="AO2095" t="s">
        <v>12845</v>
      </c>
      <c r="AP2095" t="s">
        <v>12891</v>
      </c>
      <c r="AS2095">
        <v>8.970000000000001</v>
      </c>
      <c r="AT2095" t="s">
        <v>421</v>
      </c>
      <c r="AU2095" t="s">
        <v>189</v>
      </c>
    </row>
    <row r="2096" spans="1:48">
      <c r="A2096" s="1">
        <f>HYPERLINK("https://cms.ls-nyc.org/matter/dynamic-profile/view/1880616","18-1880616")</f>
        <v>0</v>
      </c>
      <c r="B2096" t="s">
        <v>96</v>
      </c>
      <c r="C2096" t="s">
        <v>360</v>
      </c>
      <c r="E2096" t="s">
        <v>862</v>
      </c>
      <c r="F2096" t="s">
        <v>2501</v>
      </c>
      <c r="G2096" t="s">
        <v>4152</v>
      </c>
      <c r="H2096" t="s">
        <v>5529</v>
      </c>
      <c r="I2096" t="s">
        <v>6047</v>
      </c>
      <c r="J2096">
        <v>10456</v>
      </c>
      <c r="K2096" t="s">
        <v>6074</v>
      </c>
      <c r="L2096" t="s">
        <v>6074</v>
      </c>
      <c r="M2096" t="s">
        <v>6498</v>
      </c>
      <c r="N2096" t="s">
        <v>7279</v>
      </c>
      <c r="O2096" t="s">
        <v>7311</v>
      </c>
      <c r="Q2096" t="s">
        <v>7322</v>
      </c>
      <c r="R2096" t="s">
        <v>6074</v>
      </c>
      <c r="S2096" t="s">
        <v>7324</v>
      </c>
      <c r="U2096" t="s">
        <v>424</v>
      </c>
      <c r="V2096">
        <v>1380</v>
      </c>
      <c r="W2096" t="s">
        <v>7363</v>
      </c>
      <c r="X2096" t="s">
        <v>7376</v>
      </c>
      <c r="Z2096" t="s">
        <v>7980</v>
      </c>
      <c r="AB2096" t="s">
        <v>10781</v>
      </c>
      <c r="AC2096">
        <v>61</v>
      </c>
      <c r="AD2096" t="s">
        <v>12422</v>
      </c>
      <c r="AE2096" t="s">
        <v>12434</v>
      </c>
      <c r="AF2096">
        <v>17</v>
      </c>
      <c r="AG2096">
        <v>3</v>
      </c>
      <c r="AH2096">
        <v>0</v>
      </c>
      <c r="AI2096">
        <v>140.13</v>
      </c>
      <c r="AL2096" t="s">
        <v>12461</v>
      </c>
      <c r="AM2096">
        <v>29120</v>
      </c>
      <c r="AS2096">
        <v>0</v>
      </c>
      <c r="AU2096" t="s">
        <v>13092</v>
      </c>
    </row>
    <row r="2097" spans="1:48">
      <c r="A2097" s="1">
        <f>HYPERLINK("https://cms.ls-nyc.org/matter/dynamic-profile/view/1872462","18-1872462")</f>
        <v>0</v>
      </c>
      <c r="B2097" t="s">
        <v>94</v>
      </c>
      <c r="C2097" t="s">
        <v>376</v>
      </c>
      <c r="D2097" t="s">
        <v>472</v>
      </c>
      <c r="E2097" t="s">
        <v>1490</v>
      </c>
      <c r="F2097" t="s">
        <v>3136</v>
      </c>
      <c r="G2097" t="s">
        <v>4889</v>
      </c>
      <c r="H2097" t="s">
        <v>5359</v>
      </c>
      <c r="I2097" t="s">
        <v>6025</v>
      </c>
      <c r="J2097">
        <v>11691</v>
      </c>
      <c r="K2097" t="s">
        <v>6074</v>
      </c>
      <c r="L2097" t="s">
        <v>6074</v>
      </c>
      <c r="M2097" t="s">
        <v>6951</v>
      </c>
      <c r="N2097" t="s">
        <v>7274</v>
      </c>
      <c r="O2097" t="s">
        <v>7306</v>
      </c>
      <c r="P2097" t="s">
        <v>7314</v>
      </c>
      <c r="Q2097" t="s">
        <v>7322</v>
      </c>
      <c r="R2097" t="s">
        <v>6076</v>
      </c>
      <c r="S2097" t="s">
        <v>7324</v>
      </c>
      <c r="T2097" t="s">
        <v>7336</v>
      </c>
      <c r="U2097" t="s">
        <v>7349</v>
      </c>
      <c r="V2097">
        <v>545</v>
      </c>
      <c r="W2097" t="s">
        <v>7361</v>
      </c>
      <c r="X2097" t="s">
        <v>7366</v>
      </c>
      <c r="Y2097" t="s">
        <v>7386</v>
      </c>
      <c r="Z2097" t="s">
        <v>9012</v>
      </c>
      <c r="AA2097" t="s">
        <v>10232</v>
      </c>
      <c r="AB2097" t="s">
        <v>11711</v>
      </c>
      <c r="AC2097">
        <v>6</v>
      </c>
      <c r="AD2097" t="s">
        <v>12422</v>
      </c>
      <c r="AE2097" t="s">
        <v>6110</v>
      </c>
      <c r="AF2097">
        <v>41</v>
      </c>
      <c r="AG2097">
        <v>2</v>
      </c>
      <c r="AH2097">
        <v>0</v>
      </c>
      <c r="AI2097">
        <v>140.27</v>
      </c>
      <c r="AL2097" t="s">
        <v>12460</v>
      </c>
      <c r="AM2097">
        <v>23088</v>
      </c>
      <c r="AP2097" t="s">
        <v>7305</v>
      </c>
      <c r="AS2097">
        <v>0.2</v>
      </c>
      <c r="AT2097" t="s">
        <v>368</v>
      </c>
      <c r="AU2097" t="s">
        <v>48</v>
      </c>
    </row>
    <row r="2098" spans="1:48">
      <c r="A2098" s="1">
        <f>HYPERLINK("https://cms.ls-nyc.org/matter/dynamic-profile/view/1878587","18-1878587")</f>
        <v>0</v>
      </c>
      <c r="B2098" t="s">
        <v>54</v>
      </c>
      <c r="C2098" t="s">
        <v>299</v>
      </c>
      <c r="D2098" t="s">
        <v>355</v>
      </c>
      <c r="E2098" t="s">
        <v>1090</v>
      </c>
      <c r="F2098" t="s">
        <v>2710</v>
      </c>
      <c r="G2098" t="s">
        <v>4890</v>
      </c>
      <c r="H2098" t="s">
        <v>5522</v>
      </c>
      <c r="I2098" t="s">
        <v>6025</v>
      </c>
      <c r="J2098">
        <v>11691</v>
      </c>
      <c r="K2098" t="s">
        <v>6074</v>
      </c>
      <c r="L2098" t="s">
        <v>6074</v>
      </c>
      <c r="M2098" t="s">
        <v>6952</v>
      </c>
      <c r="N2098" t="s">
        <v>7276</v>
      </c>
      <c r="O2098" t="s">
        <v>7306</v>
      </c>
      <c r="P2098" t="s">
        <v>7314</v>
      </c>
      <c r="Q2098" t="s">
        <v>7322</v>
      </c>
      <c r="R2098" t="s">
        <v>6076</v>
      </c>
      <c r="S2098" t="s">
        <v>7324</v>
      </c>
      <c r="T2098" t="s">
        <v>7336</v>
      </c>
      <c r="U2098" t="s">
        <v>282</v>
      </c>
      <c r="V2098">
        <v>1174</v>
      </c>
      <c r="W2098" t="s">
        <v>7361</v>
      </c>
      <c r="X2098" t="s">
        <v>7366</v>
      </c>
      <c r="Y2098" t="s">
        <v>7386</v>
      </c>
      <c r="Z2098" t="s">
        <v>9013</v>
      </c>
      <c r="AB2098" t="s">
        <v>11712</v>
      </c>
      <c r="AC2098">
        <v>134</v>
      </c>
      <c r="AD2098" t="s">
        <v>12422</v>
      </c>
      <c r="AE2098" t="s">
        <v>6110</v>
      </c>
      <c r="AF2098">
        <v>4</v>
      </c>
      <c r="AG2098">
        <v>1</v>
      </c>
      <c r="AH2098">
        <v>1</v>
      </c>
      <c r="AI2098">
        <v>140.41</v>
      </c>
      <c r="AL2098" t="s">
        <v>12460</v>
      </c>
      <c r="AM2098">
        <v>23112</v>
      </c>
      <c r="AS2098">
        <v>1.05</v>
      </c>
      <c r="AT2098" t="s">
        <v>407</v>
      </c>
      <c r="AU2098" t="s">
        <v>189</v>
      </c>
    </row>
    <row r="2099" spans="1:48">
      <c r="A2099" s="1">
        <f>HYPERLINK("https://cms.ls-nyc.org/matter/dynamic-profile/view/1892316","19-1892316")</f>
        <v>0</v>
      </c>
      <c r="B2099" t="s">
        <v>96</v>
      </c>
      <c r="C2099" t="s">
        <v>359</v>
      </c>
      <c r="E2099" t="s">
        <v>737</v>
      </c>
      <c r="F2099" t="s">
        <v>2555</v>
      </c>
      <c r="G2099" t="s">
        <v>4396</v>
      </c>
      <c r="H2099" t="s">
        <v>5817</v>
      </c>
      <c r="I2099" t="s">
        <v>6047</v>
      </c>
      <c r="J2099">
        <v>10453</v>
      </c>
      <c r="K2099" t="s">
        <v>6074</v>
      </c>
      <c r="L2099" t="s">
        <v>6074</v>
      </c>
      <c r="N2099" t="s">
        <v>7279</v>
      </c>
      <c r="O2099" t="s">
        <v>7311</v>
      </c>
      <c r="Q2099" t="s">
        <v>7322</v>
      </c>
      <c r="R2099" t="s">
        <v>6074</v>
      </c>
      <c r="S2099" t="s">
        <v>7324</v>
      </c>
      <c r="U2099" t="s">
        <v>457</v>
      </c>
      <c r="V2099">
        <v>1110.63</v>
      </c>
      <c r="W2099" t="s">
        <v>7363</v>
      </c>
      <c r="X2099" t="s">
        <v>7375</v>
      </c>
      <c r="Z2099" t="s">
        <v>7562</v>
      </c>
      <c r="AC2099">
        <v>170</v>
      </c>
      <c r="AD2099" t="s">
        <v>12422</v>
      </c>
      <c r="AE2099" t="s">
        <v>6110</v>
      </c>
      <c r="AF2099">
        <v>9</v>
      </c>
      <c r="AG2099">
        <v>1</v>
      </c>
      <c r="AH2099">
        <v>2</v>
      </c>
      <c r="AI2099">
        <v>140.65</v>
      </c>
      <c r="AL2099" t="s">
        <v>12461</v>
      </c>
      <c r="AM2099">
        <v>30000</v>
      </c>
      <c r="AS2099">
        <v>0</v>
      </c>
      <c r="AU2099" t="s">
        <v>13093</v>
      </c>
    </row>
    <row r="2100" spans="1:48">
      <c r="A2100" s="1">
        <f>HYPERLINK("https://cms.ls-nyc.org/matter/dynamic-profile/view/1891850","19-1891850")</f>
        <v>0</v>
      </c>
      <c r="B2100" t="s">
        <v>96</v>
      </c>
      <c r="C2100" t="s">
        <v>329</v>
      </c>
      <c r="E2100" t="s">
        <v>737</v>
      </c>
      <c r="F2100" t="s">
        <v>2555</v>
      </c>
      <c r="G2100" t="s">
        <v>4396</v>
      </c>
      <c r="H2100" t="s">
        <v>5817</v>
      </c>
      <c r="I2100" t="s">
        <v>6047</v>
      </c>
      <c r="J2100">
        <v>10453</v>
      </c>
      <c r="K2100" t="s">
        <v>6074</v>
      </c>
      <c r="L2100" t="s">
        <v>6074</v>
      </c>
      <c r="M2100" t="s">
        <v>6259</v>
      </c>
      <c r="N2100" t="s">
        <v>7273</v>
      </c>
      <c r="O2100" t="s">
        <v>7308</v>
      </c>
      <c r="Q2100" t="s">
        <v>7322</v>
      </c>
      <c r="R2100" t="s">
        <v>6074</v>
      </c>
      <c r="S2100" t="s">
        <v>7324</v>
      </c>
      <c r="U2100" t="s">
        <v>457</v>
      </c>
      <c r="V2100">
        <v>1110.63</v>
      </c>
      <c r="W2100" t="s">
        <v>7363</v>
      </c>
      <c r="X2100" t="s">
        <v>7375</v>
      </c>
      <c r="Z2100" t="s">
        <v>7562</v>
      </c>
      <c r="AC2100">
        <v>170</v>
      </c>
      <c r="AD2100" t="s">
        <v>12422</v>
      </c>
      <c r="AE2100" t="s">
        <v>6110</v>
      </c>
      <c r="AF2100">
        <v>9</v>
      </c>
      <c r="AG2100">
        <v>1</v>
      </c>
      <c r="AH2100">
        <v>2</v>
      </c>
      <c r="AI2100">
        <v>140.65</v>
      </c>
      <c r="AL2100" t="s">
        <v>12461</v>
      </c>
      <c r="AM2100">
        <v>30000</v>
      </c>
      <c r="AS2100">
        <v>0</v>
      </c>
      <c r="AU2100" t="s">
        <v>13093</v>
      </c>
    </row>
    <row r="2101" spans="1:48">
      <c r="A2101" s="1">
        <f>HYPERLINK("https://cms.ls-nyc.org/matter/dynamic-profile/view/1899145","19-1899145")</f>
        <v>0</v>
      </c>
      <c r="B2101" t="s">
        <v>109</v>
      </c>
      <c r="C2101" t="s">
        <v>254</v>
      </c>
      <c r="E2101" t="s">
        <v>1630</v>
      </c>
      <c r="F2101" t="s">
        <v>3137</v>
      </c>
      <c r="G2101" t="s">
        <v>3927</v>
      </c>
      <c r="H2101" t="s">
        <v>5444</v>
      </c>
      <c r="I2101" t="s">
        <v>6047</v>
      </c>
      <c r="J2101">
        <v>10452</v>
      </c>
      <c r="K2101" t="s">
        <v>6074</v>
      </c>
      <c r="L2101" t="s">
        <v>6075</v>
      </c>
      <c r="N2101" t="s">
        <v>7279</v>
      </c>
      <c r="O2101" t="s">
        <v>7307</v>
      </c>
      <c r="Q2101" t="s">
        <v>7322</v>
      </c>
      <c r="R2101" t="s">
        <v>6074</v>
      </c>
      <c r="S2101" t="s">
        <v>7324</v>
      </c>
      <c r="U2101" t="s">
        <v>257</v>
      </c>
      <c r="V2101">
        <v>1087.54</v>
      </c>
      <c r="W2101" t="s">
        <v>7363</v>
      </c>
      <c r="X2101" t="s">
        <v>7376</v>
      </c>
      <c r="Z2101" t="s">
        <v>9014</v>
      </c>
      <c r="AB2101" t="s">
        <v>11713</v>
      </c>
      <c r="AC2101">
        <v>41</v>
      </c>
      <c r="AD2101" t="s">
        <v>12422</v>
      </c>
      <c r="AE2101" t="s">
        <v>6110</v>
      </c>
      <c r="AF2101">
        <v>15</v>
      </c>
      <c r="AG2101">
        <v>1</v>
      </c>
      <c r="AH2101">
        <v>2</v>
      </c>
      <c r="AI2101">
        <v>140.65</v>
      </c>
      <c r="AL2101" t="s">
        <v>12460</v>
      </c>
      <c r="AM2101">
        <v>30000</v>
      </c>
      <c r="AS2101">
        <v>0</v>
      </c>
      <c r="AU2101" t="s">
        <v>13092</v>
      </c>
      <c r="AV2101" t="s">
        <v>13145</v>
      </c>
    </row>
    <row r="2102" spans="1:48">
      <c r="A2102" s="1">
        <f>HYPERLINK("https://cms.ls-nyc.org/matter/dynamic-profile/view/1900463","19-1900463")</f>
        <v>0</v>
      </c>
      <c r="B2102" t="s">
        <v>125</v>
      </c>
      <c r="C2102" t="s">
        <v>241</v>
      </c>
      <c r="E2102" t="s">
        <v>582</v>
      </c>
      <c r="F2102" t="s">
        <v>2697</v>
      </c>
      <c r="G2102" t="s">
        <v>4174</v>
      </c>
      <c r="H2102" t="s">
        <v>5390</v>
      </c>
      <c r="I2102" t="s">
        <v>6049</v>
      </c>
      <c r="J2102">
        <v>10032</v>
      </c>
      <c r="K2102" t="s">
        <v>6074</v>
      </c>
      <c r="L2102" t="s">
        <v>6075</v>
      </c>
      <c r="O2102" t="s">
        <v>7306</v>
      </c>
      <c r="Q2102" t="s">
        <v>7322</v>
      </c>
      <c r="R2102" t="s">
        <v>6076</v>
      </c>
      <c r="S2102" t="s">
        <v>7324</v>
      </c>
      <c r="U2102" t="s">
        <v>241</v>
      </c>
      <c r="V2102">
        <v>775</v>
      </c>
      <c r="W2102" t="s">
        <v>7365</v>
      </c>
      <c r="X2102" t="s">
        <v>7367</v>
      </c>
      <c r="Z2102" t="s">
        <v>9015</v>
      </c>
      <c r="AB2102" t="s">
        <v>11714</v>
      </c>
      <c r="AC2102">
        <v>48</v>
      </c>
      <c r="AD2102" t="s">
        <v>12422</v>
      </c>
      <c r="AE2102" t="s">
        <v>6110</v>
      </c>
      <c r="AF2102">
        <v>21</v>
      </c>
      <c r="AG2102">
        <v>3</v>
      </c>
      <c r="AH2102">
        <v>0</v>
      </c>
      <c r="AI2102">
        <v>140.65</v>
      </c>
      <c r="AL2102" t="s">
        <v>12460</v>
      </c>
      <c r="AM2102">
        <v>30000</v>
      </c>
      <c r="AS2102">
        <v>0</v>
      </c>
      <c r="AU2102" t="s">
        <v>13106</v>
      </c>
      <c r="AV2102" t="s">
        <v>13145</v>
      </c>
    </row>
    <row r="2103" spans="1:48">
      <c r="A2103" s="1">
        <f>HYPERLINK("https://cms.ls-nyc.org/matter/dynamic-profile/view/1891939","19-1891939")</f>
        <v>0</v>
      </c>
      <c r="B2103" t="s">
        <v>64</v>
      </c>
      <c r="C2103" t="s">
        <v>329</v>
      </c>
      <c r="E2103" t="s">
        <v>1631</v>
      </c>
      <c r="F2103" t="s">
        <v>3138</v>
      </c>
      <c r="G2103" t="s">
        <v>4891</v>
      </c>
      <c r="H2103" t="s">
        <v>5455</v>
      </c>
      <c r="I2103" t="s">
        <v>6025</v>
      </c>
      <c r="J2103">
        <v>11691</v>
      </c>
      <c r="K2103" t="s">
        <v>6074</v>
      </c>
      <c r="L2103" t="s">
        <v>6074</v>
      </c>
      <c r="M2103" t="s">
        <v>6953</v>
      </c>
      <c r="N2103" t="s">
        <v>7274</v>
      </c>
      <c r="O2103" t="s">
        <v>7308</v>
      </c>
      <c r="Q2103" t="s">
        <v>7322</v>
      </c>
      <c r="R2103" t="s">
        <v>6076</v>
      </c>
      <c r="S2103" t="s">
        <v>7324</v>
      </c>
      <c r="T2103" t="s">
        <v>7336</v>
      </c>
      <c r="U2103" t="s">
        <v>469</v>
      </c>
      <c r="V2103">
        <v>700</v>
      </c>
      <c r="W2103" t="s">
        <v>7361</v>
      </c>
      <c r="X2103" t="s">
        <v>7366</v>
      </c>
      <c r="Z2103" t="s">
        <v>9016</v>
      </c>
      <c r="AA2103" t="s">
        <v>10233</v>
      </c>
      <c r="AB2103" t="s">
        <v>11715</v>
      </c>
      <c r="AC2103">
        <v>54</v>
      </c>
      <c r="AD2103" t="s">
        <v>6322</v>
      </c>
      <c r="AE2103" t="s">
        <v>6110</v>
      </c>
      <c r="AF2103">
        <v>1</v>
      </c>
      <c r="AG2103">
        <v>1</v>
      </c>
      <c r="AH2103">
        <v>0</v>
      </c>
      <c r="AI2103">
        <v>140.66</v>
      </c>
      <c r="AL2103" t="s">
        <v>12460</v>
      </c>
      <c r="AM2103">
        <v>17568</v>
      </c>
      <c r="AS2103">
        <v>11.45</v>
      </c>
      <c r="AT2103" t="s">
        <v>254</v>
      </c>
      <c r="AU2103" t="s">
        <v>189</v>
      </c>
    </row>
    <row r="2104" spans="1:48">
      <c r="A2104" s="1">
        <f>HYPERLINK("https://cms.ls-nyc.org/matter/dynamic-profile/view/1883131","18-1883131")</f>
        <v>0</v>
      </c>
      <c r="B2104" t="s">
        <v>76</v>
      </c>
      <c r="C2104" t="s">
        <v>331</v>
      </c>
      <c r="E2104" t="s">
        <v>1632</v>
      </c>
      <c r="F2104" t="s">
        <v>3139</v>
      </c>
      <c r="G2104" t="s">
        <v>3912</v>
      </c>
      <c r="H2104">
        <v>7</v>
      </c>
      <c r="I2104" t="s">
        <v>6043</v>
      </c>
      <c r="J2104">
        <v>11233</v>
      </c>
      <c r="K2104" t="s">
        <v>6074</v>
      </c>
      <c r="L2104" t="s">
        <v>6074</v>
      </c>
      <c r="M2104" t="s">
        <v>6954</v>
      </c>
      <c r="N2104" t="s">
        <v>7276</v>
      </c>
      <c r="O2104" t="s">
        <v>7310</v>
      </c>
      <c r="Q2104" t="s">
        <v>7322</v>
      </c>
      <c r="R2104" t="s">
        <v>6076</v>
      </c>
      <c r="S2104" t="s">
        <v>7324</v>
      </c>
      <c r="T2104" t="s">
        <v>7336</v>
      </c>
      <c r="U2104" t="s">
        <v>331</v>
      </c>
      <c r="V2104">
        <v>1473.42</v>
      </c>
      <c r="W2104" t="s">
        <v>7362</v>
      </c>
      <c r="X2104" t="s">
        <v>7368</v>
      </c>
      <c r="Z2104" t="s">
        <v>9017</v>
      </c>
      <c r="AA2104" t="s">
        <v>10234</v>
      </c>
      <c r="AB2104" t="s">
        <v>11716</v>
      </c>
      <c r="AC2104">
        <v>8</v>
      </c>
      <c r="AD2104" t="s">
        <v>12422</v>
      </c>
      <c r="AE2104" t="s">
        <v>12441</v>
      </c>
      <c r="AF2104">
        <v>9</v>
      </c>
      <c r="AG2104">
        <v>2</v>
      </c>
      <c r="AH2104">
        <v>1</v>
      </c>
      <c r="AI2104">
        <v>141.19</v>
      </c>
      <c r="AL2104" t="s">
        <v>12460</v>
      </c>
      <c r="AM2104">
        <v>29340</v>
      </c>
      <c r="AN2104" t="s">
        <v>12663</v>
      </c>
      <c r="AS2104">
        <v>22.5</v>
      </c>
      <c r="AT2104" t="s">
        <v>254</v>
      </c>
      <c r="AU2104" t="s">
        <v>218</v>
      </c>
    </row>
    <row r="2105" spans="1:48">
      <c r="A2105" s="1">
        <f>HYPERLINK("https://cms.ls-nyc.org/matter/dynamic-profile/view/1891182","19-1891182")</f>
        <v>0</v>
      </c>
      <c r="B2105" t="s">
        <v>131</v>
      </c>
      <c r="C2105" t="s">
        <v>371</v>
      </c>
      <c r="E2105" t="s">
        <v>753</v>
      </c>
      <c r="F2105" t="s">
        <v>2244</v>
      </c>
      <c r="G2105" t="s">
        <v>4892</v>
      </c>
      <c r="H2105" t="s">
        <v>5446</v>
      </c>
      <c r="I2105" t="s">
        <v>6049</v>
      </c>
      <c r="J2105">
        <v>10040</v>
      </c>
      <c r="K2105" t="s">
        <v>6074</v>
      </c>
      <c r="L2105" t="s">
        <v>6074</v>
      </c>
      <c r="O2105" t="s">
        <v>7306</v>
      </c>
      <c r="Q2105" t="s">
        <v>7322</v>
      </c>
      <c r="R2105" t="s">
        <v>6076</v>
      </c>
      <c r="S2105" t="s">
        <v>7324</v>
      </c>
      <c r="U2105" t="s">
        <v>371</v>
      </c>
      <c r="V2105">
        <v>1796.11</v>
      </c>
      <c r="W2105" t="s">
        <v>7365</v>
      </c>
      <c r="X2105" t="s">
        <v>7367</v>
      </c>
      <c r="Z2105" t="s">
        <v>9018</v>
      </c>
      <c r="AB2105" t="s">
        <v>11717</v>
      </c>
      <c r="AC2105">
        <v>21</v>
      </c>
      <c r="AD2105" t="s">
        <v>12422</v>
      </c>
      <c r="AE2105" t="s">
        <v>6110</v>
      </c>
      <c r="AF2105">
        <v>13</v>
      </c>
      <c r="AG2105">
        <v>3</v>
      </c>
      <c r="AH2105">
        <v>1</v>
      </c>
      <c r="AI2105">
        <v>141.36</v>
      </c>
      <c r="AL2105" t="s">
        <v>12461</v>
      </c>
      <c r="AM2105">
        <v>36400</v>
      </c>
      <c r="AS2105">
        <v>0.1</v>
      </c>
      <c r="AT2105" t="s">
        <v>371</v>
      </c>
      <c r="AU2105" t="s">
        <v>13106</v>
      </c>
    </row>
    <row r="2106" spans="1:48">
      <c r="A2106" s="1">
        <f>HYPERLINK("https://cms.ls-nyc.org/matter/dynamic-profile/view/1894896","19-1894896")</f>
        <v>0</v>
      </c>
      <c r="B2106" t="s">
        <v>130</v>
      </c>
      <c r="C2106" t="s">
        <v>361</v>
      </c>
      <c r="D2106" t="s">
        <v>343</v>
      </c>
      <c r="E2106" t="s">
        <v>981</v>
      </c>
      <c r="F2106" t="s">
        <v>2173</v>
      </c>
      <c r="G2106" t="s">
        <v>4893</v>
      </c>
      <c r="H2106">
        <v>42</v>
      </c>
      <c r="I2106" t="s">
        <v>6049</v>
      </c>
      <c r="J2106">
        <v>10034</v>
      </c>
      <c r="K2106" t="s">
        <v>6074</v>
      </c>
      <c r="L2106" t="s">
        <v>6074</v>
      </c>
      <c r="N2106" t="s">
        <v>7278</v>
      </c>
      <c r="O2106" t="s">
        <v>7306</v>
      </c>
      <c r="P2106" t="s">
        <v>7314</v>
      </c>
      <c r="Q2106" t="s">
        <v>7322</v>
      </c>
      <c r="R2106" t="s">
        <v>6076</v>
      </c>
      <c r="S2106" t="s">
        <v>7324</v>
      </c>
      <c r="U2106" t="s">
        <v>361</v>
      </c>
      <c r="V2106">
        <v>1950</v>
      </c>
      <c r="W2106" t="s">
        <v>7365</v>
      </c>
      <c r="X2106" t="s">
        <v>7305</v>
      </c>
      <c r="Y2106" t="s">
        <v>7386</v>
      </c>
      <c r="Z2106" t="s">
        <v>9019</v>
      </c>
      <c r="AC2106">
        <v>21</v>
      </c>
      <c r="AD2106" t="s">
        <v>12419</v>
      </c>
      <c r="AE2106" t="s">
        <v>6110</v>
      </c>
      <c r="AF2106">
        <v>9</v>
      </c>
      <c r="AG2106">
        <v>2</v>
      </c>
      <c r="AH2106">
        <v>2</v>
      </c>
      <c r="AI2106">
        <v>141.36</v>
      </c>
      <c r="AM2106">
        <v>36400</v>
      </c>
      <c r="AS2106">
        <v>1.4</v>
      </c>
      <c r="AT2106" t="s">
        <v>279</v>
      </c>
      <c r="AU2106" t="s">
        <v>13119</v>
      </c>
    </row>
    <row r="2107" spans="1:48">
      <c r="A2107" s="1">
        <f>HYPERLINK("https://cms.ls-nyc.org/matter/dynamic-profile/view/1895966","19-1895966")</f>
        <v>0</v>
      </c>
      <c r="B2107" t="s">
        <v>54</v>
      </c>
      <c r="C2107" t="s">
        <v>270</v>
      </c>
      <c r="E2107" t="s">
        <v>1137</v>
      </c>
      <c r="F2107" t="s">
        <v>3140</v>
      </c>
      <c r="G2107" t="s">
        <v>3900</v>
      </c>
      <c r="H2107" t="s">
        <v>5411</v>
      </c>
      <c r="I2107" t="s">
        <v>6025</v>
      </c>
      <c r="J2107">
        <v>11691</v>
      </c>
      <c r="K2107" t="s">
        <v>6074</v>
      </c>
      <c r="L2107" t="s">
        <v>6074</v>
      </c>
      <c r="N2107" t="s">
        <v>7279</v>
      </c>
      <c r="O2107" t="s">
        <v>7307</v>
      </c>
      <c r="Q2107" t="s">
        <v>7322</v>
      </c>
      <c r="R2107" t="s">
        <v>6074</v>
      </c>
      <c r="S2107" t="s">
        <v>7324</v>
      </c>
      <c r="U2107" t="s">
        <v>270</v>
      </c>
      <c r="V2107">
        <v>675</v>
      </c>
      <c r="W2107" t="s">
        <v>7361</v>
      </c>
      <c r="X2107" t="s">
        <v>7375</v>
      </c>
      <c r="Z2107" t="s">
        <v>9020</v>
      </c>
      <c r="AB2107" t="s">
        <v>11718</v>
      </c>
      <c r="AC2107">
        <v>43</v>
      </c>
      <c r="AD2107" t="s">
        <v>12422</v>
      </c>
      <c r="AE2107" t="s">
        <v>6110</v>
      </c>
      <c r="AF2107">
        <v>5</v>
      </c>
      <c r="AG2107">
        <v>2</v>
      </c>
      <c r="AH2107">
        <v>0</v>
      </c>
      <c r="AI2107">
        <v>141.45</v>
      </c>
      <c r="AL2107" t="s">
        <v>12460</v>
      </c>
      <c r="AM2107">
        <v>23920</v>
      </c>
      <c r="AS2107">
        <v>0</v>
      </c>
      <c r="AU2107" t="s">
        <v>189</v>
      </c>
    </row>
    <row r="2108" spans="1:48">
      <c r="A2108" s="1">
        <f>HYPERLINK("https://cms.ls-nyc.org/matter/dynamic-profile/view/1896160","19-1896160")</f>
        <v>0</v>
      </c>
      <c r="B2108" t="s">
        <v>54</v>
      </c>
      <c r="C2108" t="s">
        <v>314</v>
      </c>
      <c r="E2108" t="s">
        <v>1137</v>
      </c>
      <c r="F2108" t="s">
        <v>3140</v>
      </c>
      <c r="G2108" t="s">
        <v>3900</v>
      </c>
      <c r="H2108" t="s">
        <v>5818</v>
      </c>
      <c r="I2108" t="s">
        <v>6025</v>
      </c>
      <c r="J2108">
        <v>11691</v>
      </c>
      <c r="K2108" t="s">
        <v>6074</v>
      </c>
      <c r="L2108" t="s">
        <v>6074</v>
      </c>
      <c r="N2108" t="s">
        <v>7279</v>
      </c>
      <c r="O2108" t="s">
        <v>7311</v>
      </c>
      <c r="Q2108" t="s">
        <v>7322</v>
      </c>
      <c r="R2108" t="s">
        <v>6074</v>
      </c>
      <c r="S2108" t="s">
        <v>7324</v>
      </c>
      <c r="U2108" t="s">
        <v>314</v>
      </c>
      <c r="V2108">
        <v>675</v>
      </c>
      <c r="W2108" t="s">
        <v>7361</v>
      </c>
      <c r="X2108" t="s">
        <v>7366</v>
      </c>
      <c r="Z2108" t="s">
        <v>9020</v>
      </c>
      <c r="AB2108" t="s">
        <v>11718</v>
      </c>
      <c r="AC2108">
        <v>43</v>
      </c>
      <c r="AF2108">
        <v>5</v>
      </c>
      <c r="AG2108">
        <v>2</v>
      </c>
      <c r="AH2108">
        <v>0</v>
      </c>
      <c r="AI2108">
        <v>141.45</v>
      </c>
      <c r="AL2108" t="s">
        <v>12460</v>
      </c>
      <c r="AM2108">
        <v>23920</v>
      </c>
      <c r="AS2108">
        <v>0</v>
      </c>
      <c r="AU2108" t="s">
        <v>13078</v>
      </c>
    </row>
    <row r="2109" spans="1:48">
      <c r="A2109" s="1">
        <f>HYPERLINK("https://cms.ls-nyc.org/matter/dynamic-profile/view/1896172","19-1896172")</f>
        <v>0</v>
      </c>
      <c r="B2109" t="s">
        <v>54</v>
      </c>
      <c r="C2109" t="s">
        <v>314</v>
      </c>
      <c r="E2109" t="s">
        <v>1137</v>
      </c>
      <c r="F2109" t="s">
        <v>3140</v>
      </c>
      <c r="G2109" t="s">
        <v>3900</v>
      </c>
      <c r="H2109" t="s">
        <v>5818</v>
      </c>
      <c r="I2109" t="s">
        <v>6025</v>
      </c>
      <c r="J2109">
        <v>11691</v>
      </c>
      <c r="K2109" t="s">
        <v>6074</v>
      </c>
      <c r="L2109" t="s">
        <v>6074</v>
      </c>
      <c r="N2109" t="s">
        <v>7278</v>
      </c>
      <c r="O2109" t="s">
        <v>7307</v>
      </c>
      <c r="Q2109" t="s">
        <v>7322</v>
      </c>
      <c r="R2109" t="s">
        <v>6074</v>
      </c>
      <c r="S2109" t="s">
        <v>7324</v>
      </c>
      <c r="U2109" t="s">
        <v>314</v>
      </c>
      <c r="V2109">
        <v>675</v>
      </c>
      <c r="W2109" t="s">
        <v>7361</v>
      </c>
      <c r="Z2109" t="s">
        <v>9020</v>
      </c>
      <c r="AB2109" t="s">
        <v>11718</v>
      </c>
      <c r="AC2109">
        <v>43</v>
      </c>
      <c r="AF2109">
        <v>5</v>
      </c>
      <c r="AG2109">
        <v>2</v>
      </c>
      <c r="AH2109">
        <v>0</v>
      </c>
      <c r="AI2109">
        <v>141.45</v>
      </c>
      <c r="AL2109" t="s">
        <v>12460</v>
      </c>
      <c r="AM2109">
        <v>23920</v>
      </c>
      <c r="AS2109">
        <v>0</v>
      </c>
      <c r="AU2109" t="s">
        <v>13078</v>
      </c>
    </row>
    <row r="2110" spans="1:48">
      <c r="A2110" s="1">
        <f>HYPERLINK("https://cms.ls-nyc.org/matter/dynamic-profile/view/1880916","18-1880916")</f>
        <v>0</v>
      </c>
      <c r="B2110" t="s">
        <v>110</v>
      </c>
      <c r="C2110" t="s">
        <v>333</v>
      </c>
      <c r="D2110" t="s">
        <v>241</v>
      </c>
      <c r="E2110" t="s">
        <v>1633</v>
      </c>
      <c r="F2110" t="s">
        <v>2436</v>
      </c>
      <c r="G2110" t="s">
        <v>4894</v>
      </c>
      <c r="H2110" t="s">
        <v>5430</v>
      </c>
      <c r="I2110" t="s">
        <v>6047</v>
      </c>
      <c r="J2110">
        <v>10453</v>
      </c>
      <c r="K2110" t="s">
        <v>6074</v>
      </c>
      <c r="L2110" t="s">
        <v>6074</v>
      </c>
      <c r="M2110" t="s">
        <v>6955</v>
      </c>
      <c r="N2110" t="s">
        <v>7276</v>
      </c>
      <c r="O2110" t="s">
        <v>7308</v>
      </c>
      <c r="P2110" t="s">
        <v>7316</v>
      </c>
      <c r="Q2110" t="s">
        <v>7322</v>
      </c>
      <c r="S2110" t="s">
        <v>7324</v>
      </c>
      <c r="T2110" t="s">
        <v>7337</v>
      </c>
      <c r="U2110" t="s">
        <v>333</v>
      </c>
      <c r="V2110">
        <v>1450</v>
      </c>
      <c r="W2110" t="s">
        <v>7363</v>
      </c>
      <c r="X2110" t="s">
        <v>7378</v>
      </c>
      <c r="Y2110" t="s">
        <v>7388</v>
      </c>
      <c r="Z2110" t="s">
        <v>9021</v>
      </c>
      <c r="AA2110" t="s">
        <v>10235</v>
      </c>
      <c r="AB2110" t="s">
        <v>11719</v>
      </c>
      <c r="AC2110">
        <v>31</v>
      </c>
      <c r="AD2110" t="s">
        <v>12422</v>
      </c>
      <c r="AE2110" t="s">
        <v>12434</v>
      </c>
      <c r="AF2110">
        <v>3</v>
      </c>
      <c r="AG2110">
        <v>2</v>
      </c>
      <c r="AH2110">
        <v>0</v>
      </c>
      <c r="AI2110">
        <v>141.63</v>
      </c>
      <c r="AL2110" t="s">
        <v>12460</v>
      </c>
      <c r="AM2110">
        <v>23312</v>
      </c>
      <c r="AO2110" t="s">
        <v>12850</v>
      </c>
      <c r="AP2110" t="s">
        <v>12858</v>
      </c>
      <c r="AQ2110" t="s">
        <v>12909</v>
      </c>
      <c r="AR2110" t="s">
        <v>13034</v>
      </c>
      <c r="AS2110">
        <v>10.9</v>
      </c>
      <c r="AT2110" t="s">
        <v>468</v>
      </c>
      <c r="AU2110" t="s">
        <v>13094</v>
      </c>
    </row>
    <row r="2111" spans="1:48">
      <c r="A2111" s="1">
        <f>HYPERLINK("https://cms.ls-nyc.org/matter/dynamic-profile/view/1900930","19-1900930")</f>
        <v>0</v>
      </c>
      <c r="B2111" t="s">
        <v>64</v>
      </c>
      <c r="C2111" t="s">
        <v>423</v>
      </c>
      <c r="E2111" t="s">
        <v>699</v>
      </c>
      <c r="F2111" t="s">
        <v>2190</v>
      </c>
      <c r="G2111" t="s">
        <v>4895</v>
      </c>
      <c r="H2111" t="s">
        <v>5819</v>
      </c>
      <c r="I2111" t="s">
        <v>6040</v>
      </c>
      <c r="J2111">
        <v>11354</v>
      </c>
      <c r="K2111" t="s">
        <v>6074</v>
      </c>
      <c r="L2111" t="s">
        <v>6075</v>
      </c>
      <c r="M2111" t="s">
        <v>6956</v>
      </c>
      <c r="N2111" t="s">
        <v>7279</v>
      </c>
      <c r="O2111" t="s">
        <v>7311</v>
      </c>
      <c r="Q2111" t="s">
        <v>7322</v>
      </c>
      <c r="R2111" t="s">
        <v>6074</v>
      </c>
      <c r="S2111" t="s">
        <v>7324</v>
      </c>
      <c r="T2111" t="s">
        <v>7336</v>
      </c>
      <c r="U2111" t="s">
        <v>423</v>
      </c>
      <c r="V2111">
        <v>0</v>
      </c>
      <c r="W2111" t="s">
        <v>7361</v>
      </c>
      <c r="X2111" t="s">
        <v>7371</v>
      </c>
      <c r="Z2111" t="s">
        <v>9022</v>
      </c>
      <c r="AC2111">
        <v>91</v>
      </c>
      <c r="AD2111" t="s">
        <v>12422</v>
      </c>
      <c r="AE2111" t="s">
        <v>6110</v>
      </c>
      <c r="AF2111">
        <v>25</v>
      </c>
      <c r="AG2111">
        <v>2</v>
      </c>
      <c r="AH2111">
        <v>0</v>
      </c>
      <c r="AI2111">
        <v>141.93</v>
      </c>
      <c r="AL2111" t="s">
        <v>12461</v>
      </c>
      <c r="AM2111">
        <v>24000</v>
      </c>
      <c r="AS2111">
        <v>1.5</v>
      </c>
      <c r="AT2111" t="s">
        <v>460</v>
      </c>
      <c r="AU2111" t="s">
        <v>64</v>
      </c>
      <c r="AV2111" t="s">
        <v>13145</v>
      </c>
    </row>
    <row r="2112" spans="1:48">
      <c r="A2112" s="1">
        <f>HYPERLINK("https://cms.ls-nyc.org/matter/dynamic-profile/view/1875865","18-1875865")</f>
        <v>0</v>
      </c>
      <c r="B2112" t="s">
        <v>133</v>
      </c>
      <c r="C2112" t="s">
        <v>281</v>
      </c>
      <c r="D2112" t="s">
        <v>344</v>
      </c>
      <c r="E2112" t="s">
        <v>1634</v>
      </c>
      <c r="F2112" t="s">
        <v>3141</v>
      </c>
      <c r="G2112" t="s">
        <v>4896</v>
      </c>
      <c r="H2112" t="s">
        <v>5820</v>
      </c>
      <c r="I2112" t="s">
        <v>6049</v>
      </c>
      <c r="J2112">
        <v>10033</v>
      </c>
      <c r="K2112" t="s">
        <v>6074</v>
      </c>
      <c r="L2112" t="s">
        <v>6074</v>
      </c>
      <c r="O2112" t="s">
        <v>7307</v>
      </c>
      <c r="P2112" t="s">
        <v>7315</v>
      </c>
      <c r="Q2112" t="s">
        <v>7322</v>
      </c>
      <c r="R2112" t="s">
        <v>6076</v>
      </c>
      <c r="S2112" t="s">
        <v>7324</v>
      </c>
      <c r="U2112" t="s">
        <v>281</v>
      </c>
      <c r="V2112">
        <v>1468</v>
      </c>
      <c r="W2112" t="s">
        <v>7365</v>
      </c>
      <c r="X2112" t="s">
        <v>7367</v>
      </c>
      <c r="Y2112" t="s">
        <v>7386</v>
      </c>
      <c r="Z2112" t="s">
        <v>9023</v>
      </c>
      <c r="AB2112" t="s">
        <v>11720</v>
      </c>
      <c r="AC2112">
        <v>22</v>
      </c>
      <c r="AD2112" t="s">
        <v>12422</v>
      </c>
      <c r="AE2112" t="s">
        <v>12441</v>
      </c>
      <c r="AF2112">
        <v>24</v>
      </c>
      <c r="AG2112">
        <v>2</v>
      </c>
      <c r="AH2112">
        <v>0</v>
      </c>
      <c r="AI2112">
        <v>141.94</v>
      </c>
      <c r="AL2112" t="s">
        <v>12461</v>
      </c>
      <c r="AM2112">
        <v>23364</v>
      </c>
      <c r="AS2112">
        <v>6.75</v>
      </c>
      <c r="AT2112" t="s">
        <v>344</v>
      </c>
      <c r="AU2112" t="s">
        <v>13106</v>
      </c>
    </row>
    <row r="2113" spans="1:47">
      <c r="A2113" s="1">
        <f>HYPERLINK("https://cms.ls-nyc.org/matter/dynamic-profile/view/1883827","18-1883827")</f>
        <v>0</v>
      </c>
      <c r="B2113" t="s">
        <v>141</v>
      </c>
      <c r="C2113" t="s">
        <v>345</v>
      </c>
      <c r="E2113" t="s">
        <v>1635</v>
      </c>
      <c r="F2113" t="s">
        <v>2056</v>
      </c>
      <c r="G2113" t="s">
        <v>4897</v>
      </c>
      <c r="H2113">
        <v>905</v>
      </c>
      <c r="I2113" t="s">
        <v>6049</v>
      </c>
      <c r="J2113">
        <v>10029</v>
      </c>
      <c r="K2113" t="s">
        <v>6074</v>
      </c>
      <c r="L2113" t="s">
        <v>6076</v>
      </c>
      <c r="N2113" t="s">
        <v>7294</v>
      </c>
      <c r="O2113" t="s">
        <v>7309</v>
      </c>
      <c r="Q2113" t="s">
        <v>7322</v>
      </c>
      <c r="R2113" t="s">
        <v>6076</v>
      </c>
      <c r="S2113" t="s">
        <v>7324</v>
      </c>
      <c r="U2113" t="s">
        <v>345</v>
      </c>
      <c r="V2113">
        <v>860</v>
      </c>
      <c r="W2113" t="s">
        <v>7365</v>
      </c>
      <c r="X2113" t="s">
        <v>7368</v>
      </c>
      <c r="Z2113" t="s">
        <v>9024</v>
      </c>
      <c r="AB2113" t="s">
        <v>11721</v>
      </c>
      <c r="AC2113">
        <v>31</v>
      </c>
      <c r="AD2113" t="s">
        <v>12431</v>
      </c>
      <c r="AE2113" t="s">
        <v>6110</v>
      </c>
      <c r="AF2113">
        <v>40</v>
      </c>
      <c r="AG2113">
        <v>1</v>
      </c>
      <c r="AH2113">
        <v>0</v>
      </c>
      <c r="AI2113">
        <v>141.94</v>
      </c>
      <c r="AL2113" t="s">
        <v>12461</v>
      </c>
      <c r="AM2113">
        <v>17232</v>
      </c>
      <c r="AS2113">
        <v>25.2</v>
      </c>
      <c r="AT2113" t="s">
        <v>324</v>
      </c>
      <c r="AU2113" t="s">
        <v>13111</v>
      </c>
    </row>
    <row r="2114" spans="1:47">
      <c r="A2114" s="1">
        <f>HYPERLINK("https://cms.ls-nyc.org/matter/dynamic-profile/view/1878495","18-1878495")</f>
        <v>0</v>
      </c>
      <c r="B2114" t="s">
        <v>126</v>
      </c>
      <c r="C2114" t="s">
        <v>425</v>
      </c>
      <c r="E2114" t="s">
        <v>883</v>
      </c>
      <c r="F2114" t="s">
        <v>1647</v>
      </c>
      <c r="G2114" t="s">
        <v>4898</v>
      </c>
      <c r="H2114" t="s">
        <v>5439</v>
      </c>
      <c r="I2114" t="s">
        <v>6049</v>
      </c>
      <c r="J2114">
        <v>10035</v>
      </c>
      <c r="K2114" t="s">
        <v>6074</v>
      </c>
      <c r="L2114" t="s">
        <v>6074</v>
      </c>
      <c r="M2114" t="s">
        <v>6957</v>
      </c>
      <c r="N2114" t="s">
        <v>7276</v>
      </c>
      <c r="O2114" t="s">
        <v>7308</v>
      </c>
      <c r="Q2114" t="s">
        <v>7322</v>
      </c>
      <c r="R2114" t="s">
        <v>6076</v>
      </c>
      <c r="S2114" t="s">
        <v>7324</v>
      </c>
      <c r="T2114" t="s">
        <v>7336</v>
      </c>
      <c r="U2114" t="s">
        <v>244</v>
      </c>
      <c r="V2114">
        <v>648</v>
      </c>
      <c r="W2114" t="s">
        <v>7365</v>
      </c>
      <c r="X2114" t="s">
        <v>7367</v>
      </c>
      <c r="Z2114" t="s">
        <v>9025</v>
      </c>
      <c r="AB2114" t="s">
        <v>11722</v>
      </c>
      <c r="AC2114">
        <v>11</v>
      </c>
      <c r="AD2114" t="s">
        <v>12422</v>
      </c>
      <c r="AE2114" t="s">
        <v>12441</v>
      </c>
      <c r="AF2114">
        <v>38</v>
      </c>
      <c r="AG2114">
        <v>2</v>
      </c>
      <c r="AH2114">
        <v>1</v>
      </c>
      <c r="AI2114">
        <v>142.23</v>
      </c>
      <c r="AL2114" t="s">
        <v>12460</v>
      </c>
      <c r="AM2114">
        <v>29556</v>
      </c>
      <c r="AO2114" t="s">
        <v>12846</v>
      </c>
      <c r="AS2114">
        <v>65.15000000000001</v>
      </c>
      <c r="AT2114" t="s">
        <v>421</v>
      </c>
      <c r="AU2114" t="s">
        <v>13107</v>
      </c>
    </row>
    <row r="2115" spans="1:47">
      <c r="A2115" s="1">
        <f>HYPERLINK("https://cms.ls-nyc.org/matter/dynamic-profile/view/1872859","18-1872859")</f>
        <v>0</v>
      </c>
      <c r="B2115" t="s">
        <v>102</v>
      </c>
      <c r="C2115" t="s">
        <v>368</v>
      </c>
      <c r="D2115" t="s">
        <v>472</v>
      </c>
      <c r="E2115" t="s">
        <v>1636</v>
      </c>
      <c r="F2115" t="s">
        <v>3142</v>
      </c>
      <c r="G2115" t="s">
        <v>4899</v>
      </c>
      <c r="H2115" t="s">
        <v>5513</v>
      </c>
      <c r="I2115" t="s">
        <v>6047</v>
      </c>
      <c r="J2115">
        <v>10468</v>
      </c>
      <c r="K2115" t="s">
        <v>6074</v>
      </c>
      <c r="L2115" t="s">
        <v>6074</v>
      </c>
      <c r="N2115" t="s">
        <v>7276</v>
      </c>
      <c r="O2115" t="s">
        <v>7308</v>
      </c>
      <c r="P2115" t="s">
        <v>7316</v>
      </c>
      <c r="Q2115" t="s">
        <v>7323</v>
      </c>
      <c r="R2115" t="s">
        <v>6076</v>
      </c>
      <c r="S2115" t="s">
        <v>7324</v>
      </c>
      <c r="U2115" t="s">
        <v>467</v>
      </c>
      <c r="V2115">
        <v>871</v>
      </c>
      <c r="W2115" t="s">
        <v>7363</v>
      </c>
      <c r="X2115" t="s">
        <v>7369</v>
      </c>
      <c r="Y2115" t="s">
        <v>7388</v>
      </c>
      <c r="Z2115" t="s">
        <v>9026</v>
      </c>
      <c r="AA2115" t="s">
        <v>10236</v>
      </c>
      <c r="AB2115" t="s">
        <v>11723</v>
      </c>
      <c r="AC2115">
        <v>6</v>
      </c>
      <c r="AD2115" t="s">
        <v>12422</v>
      </c>
      <c r="AE2115" t="s">
        <v>6110</v>
      </c>
      <c r="AF2115">
        <v>15</v>
      </c>
      <c r="AG2115">
        <v>1</v>
      </c>
      <c r="AH2115">
        <v>2</v>
      </c>
      <c r="AI2115">
        <v>142.29</v>
      </c>
      <c r="AJ2115" t="s">
        <v>12443</v>
      </c>
      <c r="AK2115" t="s">
        <v>12455</v>
      </c>
      <c r="AL2115" t="s">
        <v>12460</v>
      </c>
      <c r="AM2115">
        <v>29568</v>
      </c>
      <c r="AO2115" t="s">
        <v>12847</v>
      </c>
      <c r="AP2115" t="s">
        <v>12899</v>
      </c>
      <c r="AQ2115" t="s">
        <v>12909</v>
      </c>
      <c r="AR2115" t="s">
        <v>13035</v>
      </c>
      <c r="AS2115">
        <v>16.2</v>
      </c>
      <c r="AT2115" t="s">
        <v>399</v>
      </c>
      <c r="AU2115" t="s">
        <v>172</v>
      </c>
    </row>
    <row r="2116" spans="1:47">
      <c r="A2116" s="1">
        <f>HYPERLINK("https://cms.ls-nyc.org/matter/dynamic-profile/view/1897516","19-1897516")</f>
        <v>0</v>
      </c>
      <c r="B2116" t="s">
        <v>72</v>
      </c>
      <c r="C2116" t="s">
        <v>280</v>
      </c>
      <c r="E2116" t="s">
        <v>1637</v>
      </c>
      <c r="F2116" t="s">
        <v>3143</v>
      </c>
      <c r="G2116" t="s">
        <v>3700</v>
      </c>
      <c r="H2116" t="s">
        <v>5549</v>
      </c>
      <c r="I2116" t="s">
        <v>6043</v>
      </c>
      <c r="J2116">
        <v>11233</v>
      </c>
      <c r="K2116" t="s">
        <v>6074</v>
      </c>
      <c r="L2116" t="s">
        <v>6076</v>
      </c>
      <c r="N2116" t="s">
        <v>7279</v>
      </c>
      <c r="O2116" t="s">
        <v>7311</v>
      </c>
      <c r="Q2116" t="s">
        <v>7322</v>
      </c>
      <c r="R2116" t="s">
        <v>6074</v>
      </c>
      <c r="S2116" t="s">
        <v>7324</v>
      </c>
      <c r="T2116" t="s">
        <v>7336</v>
      </c>
      <c r="U2116" t="s">
        <v>330</v>
      </c>
      <c r="V2116">
        <v>0</v>
      </c>
      <c r="W2116" t="s">
        <v>7362</v>
      </c>
      <c r="Z2116" t="s">
        <v>9027</v>
      </c>
      <c r="AC2116">
        <v>359</v>
      </c>
      <c r="AD2116" t="s">
        <v>12422</v>
      </c>
      <c r="AF2116">
        <v>0</v>
      </c>
      <c r="AG2116">
        <v>2</v>
      </c>
      <c r="AH2116">
        <v>3</v>
      </c>
      <c r="AI2116">
        <v>142.53</v>
      </c>
      <c r="AL2116" t="s">
        <v>7305</v>
      </c>
      <c r="AM2116">
        <v>43000</v>
      </c>
      <c r="AN2116" t="s">
        <v>12490</v>
      </c>
      <c r="AS2116">
        <v>0</v>
      </c>
      <c r="AU2116" t="s">
        <v>218</v>
      </c>
    </row>
    <row r="2117" spans="1:47">
      <c r="A2117" s="1">
        <f>HYPERLINK("https://cms.ls-nyc.org/matter/dynamic-profile/view/1897517","19-1897517")</f>
        <v>0</v>
      </c>
      <c r="B2117" t="s">
        <v>72</v>
      </c>
      <c r="C2117" t="s">
        <v>280</v>
      </c>
      <c r="E2117" t="s">
        <v>1637</v>
      </c>
      <c r="F2117" t="s">
        <v>3143</v>
      </c>
      <c r="G2117" t="s">
        <v>3700</v>
      </c>
      <c r="H2117" t="s">
        <v>5549</v>
      </c>
      <c r="I2117" t="s">
        <v>6043</v>
      </c>
      <c r="J2117">
        <v>11233</v>
      </c>
      <c r="K2117" t="s">
        <v>6074</v>
      </c>
      <c r="L2117" t="s">
        <v>6076</v>
      </c>
      <c r="N2117" t="s">
        <v>7275</v>
      </c>
      <c r="O2117" t="s">
        <v>7307</v>
      </c>
      <c r="Q2117" t="s">
        <v>7322</v>
      </c>
      <c r="R2117" t="s">
        <v>6076</v>
      </c>
      <c r="S2117" t="s">
        <v>7324</v>
      </c>
      <c r="T2117" t="s">
        <v>7336</v>
      </c>
      <c r="U2117" t="s">
        <v>287</v>
      </c>
      <c r="V2117">
        <v>0</v>
      </c>
      <c r="W2117" t="s">
        <v>7362</v>
      </c>
      <c r="Z2117" t="s">
        <v>9027</v>
      </c>
      <c r="AC2117">
        <v>359</v>
      </c>
      <c r="AD2117" t="s">
        <v>12422</v>
      </c>
      <c r="AF2117">
        <v>0</v>
      </c>
      <c r="AG2117">
        <v>2</v>
      </c>
      <c r="AH2117">
        <v>3</v>
      </c>
      <c r="AI2117">
        <v>142.53</v>
      </c>
      <c r="AL2117" t="s">
        <v>7305</v>
      </c>
      <c r="AM2117">
        <v>43000</v>
      </c>
      <c r="AN2117" t="s">
        <v>12664</v>
      </c>
      <c r="AS2117">
        <v>0</v>
      </c>
      <c r="AU2117" t="s">
        <v>218</v>
      </c>
    </row>
    <row r="2118" spans="1:47">
      <c r="A2118" s="1">
        <f>HYPERLINK("https://cms.ls-nyc.org/matter/dynamic-profile/view/1873786","18-1873786")</f>
        <v>0</v>
      </c>
      <c r="B2118" t="s">
        <v>128</v>
      </c>
      <c r="C2118" t="s">
        <v>402</v>
      </c>
      <c r="E2118" t="s">
        <v>1638</v>
      </c>
      <c r="F2118" t="s">
        <v>2173</v>
      </c>
      <c r="G2118" t="s">
        <v>4900</v>
      </c>
      <c r="H2118" t="s">
        <v>5390</v>
      </c>
      <c r="I2118" t="s">
        <v>6049</v>
      </c>
      <c r="J2118">
        <v>10033</v>
      </c>
      <c r="K2118" t="s">
        <v>6074</v>
      </c>
      <c r="L2118" t="s">
        <v>6074</v>
      </c>
      <c r="M2118" t="s">
        <v>6958</v>
      </c>
      <c r="N2118" t="s">
        <v>7276</v>
      </c>
      <c r="O2118" t="s">
        <v>7308</v>
      </c>
      <c r="Q2118" t="s">
        <v>7322</v>
      </c>
      <c r="R2118" t="s">
        <v>6076</v>
      </c>
      <c r="S2118" t="s">
        <v>7324</v>
      </c>
      <c r="U2118" t="s">
        <v>402</v>
      </c>
      <c r="V2118">
        <v>787.03</v>
      </c>
      <c r="W2118" t="s">
        <v>7365</v>
      </c>
      <c r="X2118" t="s">
        <v>7367</v>
      </c>
      <c r="Z2118" t="s">
        <v>9028</v>
      </c>
      <c r="AA2118" t="s">
        <v>10237</v>
      </c>
      <c r="AB2118" t="s">
        <v>11724</v>
      </c>
      <c r="AC2118">
        <v>16</v>
      </c>
      <c r="AD2118" t="s">
        <v>12422</v>
      </c>
      <c r="AE2118" t="s">
        <v>12441</v>
      </c>
      <c r="AF2118">
        <v>10</v>
      </c>
      <c r="AG2118">
        <v>2</v>
      </c>
      <c r="AH2118">
        <v>0</v>
      </c>
      <c r="AI2118">
        <v>142.75</v>
      </c>
      <c r="AL2118" t="s">
        <v>12460</v>
      </c>
      <c r="AM2118">
        <v>23496</v>
      </c>
      <c r="AS2118">
        <v>25.3</v>
      </c>
      <c r="AT2118" t="s">
        <v>343</v>
      </c>
      <c r="AU2118" t="s">
        <v>13106</v>
      </c>
    </row>
    <row r="2119" spans="1:47">
      <c r="A2119" s="1">
        <f>HYPERLINK("https://cms.ls-nyc.org/matter/dynamic-profile/view/1875981","18-1875981")</f>
        <v>0</v>
      </c>
      <c r="B2119" t="s">
        <v>96</v>
      </c>
      <c r="C2119" t="s">
        <v>301</v>
      </c>
      <c r="E2119" t="s">
        <v>1165</v>
      </c>
      <c r="F2119" t="s">
        <v>1312</v>
      </c>
      <c r="G2119" t="s">
        <v>4152</v>
      </c>
      <c r="H2119" t="s">
        <v>5588</v>
      </c>
      <c r="I2119" t="s">
        <v>6047</v>
      </c>
      <c r="J2119">
        <v>10456</v>
      </c>
      <c r="K2119" t="s">
        <v>6074</v>
      </c>
      <c r="L2119" t="s">
        <v>6074</v>
      </c>
      <c r="M2119" t="s">
        <v>6446</v>
      </c>
      <c r="N2119" t="s">
        <v>7279</v>
      </c>
      <c r="O2119" t="s">
        <v>7311</v>
      </c>
      <c r="Q2119" t="s">
        <v>7322</v>
      </c>
      <c r="R2119" t="s">
        <v>6074</v>
      </c>
      <c r="S2119" t="s">
        <v>7324</v>
      </c>
      <c r="U2119" t="s">
        <v>502</v>
      </c>
      <c r="V2119">
        <v>1800</v>
      </c>
      <c r="W2119" t="s">
        <v>7363</v>
      </c>
      <c r="X2119" t="s">
        <v>7376</v>
      </c>
      <c r="Z2119" t="s">
        <v>9029</v>
      </c>
      <c r="AB2119" t="s">
        <v>11725</v>
      </c>
      <c r="AC2119">
        <v>61</v>
      </c>
      <c r="AD2119" t="s">
        <v>12422</v>
      </c>
      <c r="AE2119" t="s">
        <v>6110</v>
      </c>
      <c r="AF2119">
        <v>1</v>
      </c>
      <c r="AG2119">
        <v>2</v>
      </c>
      <c r="AH2119">
        <v>3</v>
      </c>
      <c r="AI2119">
        <v>142.76</v>
      </c>
      <c r="AL2119" t="s">
        <v>12461</v>
      </c>
      <c r="AM2119">
        <v>42000</v>
      </c>
      <c r="AS2119">
        <v>0</v>
      </c>
      <c r="AU2119" t="s">
        <v>13095</v>
      </c>
    </row>
    <row r="2120" spans="1:47">
      <c r="A2120" s="1">
        <f>HYPERLINK("https://cms.ls-nyc.org/matter/dynamic-profile/view/1880612","18-1880612")</f>
        <v>0</v>
      </c>
      <c r="B2120" t="s">
        <v>96</v>
      </c>
      <c r="C2120" t="s">
        <v>360</v>
      </c>
      <c r="E2120" t="s">
        <v>1165</v>
      </c>
      <c r="F2120" t="s">
        <v>1312</v>
      </c>
      <c r="G2120" t="s">
        <v>4152</v>
      </c>
      <c r="H2120" t="s">
        <v>5588</v>
      </c>
      <c r="I2120" t="s">
        <v>6047</v>
      </c>
      <c r="J2120">
        <v>10456</v>
      </c>
      <c r="K2120" t="s">
        <v>6074</v>
      </c>
      <c r="L2120" t="s">
        <v>6074</v>
      </c>
      <c r="M2120" t="s">
        <v>6498</v>
      </c>
      <c r="N2120" t="s">
        <v>7279</v>
      </c>
      <c r="O2120" t="s">
        <v>7311</v>
      </c>
      <c r="Q2120" t="s">
        <v>7322</v>
      </c>
      <c r="R2120" t="s">
        <v>6074</v>
      </c>
      <c r="S2120" t="s">
        <v>7324</v>
      </c>
      <c r="U2120" t="s">
        <v>424</v>
      </c>
      <c r="V2120">
        <v>1800</v>
      </c>
      <c r="W2120" t="s">
        <v>7363</v>
      </c>
      <c r="X2120" t="s">
        <v>7376</v>
      </c>
      <c r="Z2120" t="s">
        <v>9029</v>
      </c>
      <c r="AB2120" t="s">
        <v>11725</v>
      </c>
      <c r="AC2120">
        <v>61</v>
      </c>
      <c r="AD2120" t="s">
        <v>12422</v>
      </c>
      <c r="AE2120" t="s">
        <v>6110</v>
      </c>
      <c r="AF2120">
        <v>2</v>
      </c>
      <c r="AG2120">
        <v>2</v>
      </c>
      <c r="AH2120">
        <v>3</v>
      </c>
      <c r="AI2120">
        <v>142.76</v>
      </c>
      <c r="AL2120" t="s">
        <v>12461</v>
      </c>
      <c r="AM2120">
        <v>42000</v>
      </c>
      <c r="AS2120">
        <v>0</v>
      </c>
      <c r="AU2120" t="s">
        <v>13092</v>
      </c>
    </row>
    <row r="2121" spans="1:47">
      <c r="A2121" s="1">
        <f>HYPERLINK("https://cms.ls-nyc.org/matter/dynamic-profile/view/1874712","18-1874712")</f>
        <v>0</v>
      </c>
      <c r="B2121" t="s">
        <v>161</v>
      </c>
      <c r="C2121" t="s">
        <v>378</v>
      </c>
      <c r="D2121" t="s">
        <v>266</v>
      </c>
      <c r="E2121" t="s">
        <v>1639</v>
      </c>
      <c r="F2121" t="s">
        <v>3144</v>
      </c>
      <c r="G2121" t="s">
        <v>4335</v>
      </c>
      <c r="H2121">
        <v>3210</v>
      </c>
      <c r="I2121" t="s">
        <v>6049</v>
      </c>
      <c r="J2121">
        <v>10029</v>
      </c>
      <c r="K2121" t="s">
        <v>6074</v>
      </c>
      <c r="L2121" t="s">
        <v>6074</v>
      </c>
      <c r="M2121" t="s">
        <v>6204</v>
      </c>
      <c r="N2121" t="s">
        <v>6104</v>
      </c>
      <c r="O2121" t="s">
        <v>7306</v>
      </c>
      <c r="P2121" t="s">
        <v>7314</v>
      </c>
      <c r="Q2121" t="s">
        <v>7322</v>
      </c>
      <c r="R2121" t="s">
        <v>6076</v>
      </c>
      <c r="S2121" t="s">
        <v>7324</v>
      </c>
      <c r="T2121" t="s">
        <v>7336</v>
      </c>
      <c r="U2121" t="s">
        <v>290</v>
      </c>
      <c r="V2121">
        <v>1200</v>
      </c>
      <c r="W2121" t="s">
        <v>7365</v>
      </c>
      <c r="X2121" t="s">
        <v>7370</v>
      </c>
      <c r="Y2121" t="s">
        <v>7386</v>
      </c>
      <c r="Z2121" t="s">
        <v>9030</v>
      </c>
      <c r="AB2121" t="s">
        <v>11726</v>
      </c>
      <c r="AC2121">
        <v>320</v>
      </c>
      <c r="AD2121" t="s">
        <v>12420</v>
      </c>
      <c r="AE2121" t="s">
        <v>12434</v>
      </c>
      <c r="AF2121">
        <v>43</v>
      </c>
      <c r="AG2121">
        <v>1</v>
      </c>
      <c r="AH2121">
        <v>0</v>
      </c>
      <c r="AI2121">
        <v>143.13</v>
      </c>
      <c r="AL2121" t="s">
        <v>12460</v>
      </c>
      <c r="AM2121">
        <v>17376</v>
      </c>
      <c r="AS2121">
        <v>0.5</v>
      </c>
      <c r="AT2121" t="s">
        <v>378</v>
      </c>
      <c r="AU2121" t="s">
        <v>13089</v>
      </c>
    </row>
    <row r="2122" spans="1:47">
      <c r="A2122" s="1">
        <f>HYPERLINK("https://cms.ls-nyc.org/matter/dynamic-profile/view/1877570","18-1877570")</f>
        <v>0</v>
      </c>
      <c r="B2122" t="s">
        <v>54</v>
      </c>
      <c r="C2122" t="s">
        <v>372</v>
      </c>
      <c r="D2122" t="s">
        <v>282</v>
      </c>
      <c r="E2122" t="s">
        <v>1240</v>
      </c>
      <c r="F2122" t="s">
        <v>3145</v>
      </c>
      <c r="G2122" t="s">
        <v>4901</v>
      </c>
      <c r="H2122" t="s">
        <v>5373</v>
      </c>
      <c r="I2122" t="s">
        <v>6037</v>
      </c>
      <c r="J2122">
        <v>11372</v>
      </c>
      <c r="K2122" t="s">
        <v>6074</v>
      </c>
      <c r="L2122" t="s">
        <v>6074</v>
      </c>
      <c r="M2122" t="s">
        <v>6959</v>
      </c>
      <c r="N2122" t="s">
        <v>7274</v>
      </c>
      <c r="O2122" t="s">
        <v>7306</v>
      </c>
      <c r="P2122" t="s">
        <v>7314</v>
      </c>
      <c r="Q2122" t="s">
        <v>7322</v>
      </c>
      <c r="R2122" t="s">
        <v>6076</v>
      </c>
      <c r="S2122" t="s">
        <v>7324</v>
      </c>
      <c r="T2122" t="s">
        <v>7336</v>
      </c>
      <c r="U2122" t="s">
        <v>383</v>
      </c>
      <c r="V2122">
        <v>1050</v>
      </c>
      <c r="W2122" t="s">
        <v>7361</v>
      </c>
      <c r="X2122" t="s">
        <v>7366</v>
      </c>
      <c r="Y2122" t="s">
        <v>7386</v>
      </c>
      <c r="Z2122" t="s">
        <v>9031</v>
      </c>
      <c r="AB2122" t="s">
        <v>11727</v>
      </c>
      <c r="AC2122">
        <v>120</v>
      </c>
      <c r="AD2122" t="s">
        <v>12424</v>
      </c>
      <c r="AE2122" t="s">
        <v>6110</v>
      </c>
      <c r="AF2122">
        <v>11</v>
      </c>
      <c r="AG2122">
        <v>1</v>
      </c>
      <c r="AH2122">
        <v>0</v>
      </c>
      <c r="AI2122">
        <v>143.62</v>
      </c>
      <c r="AL2122" t="s">
        <v>12460</v>
      </c>
      <c r="AM2122">
        <v>17436</v>
      </c>
      <c r="AS2122">
        <v>1.1</v>
      </c>
      <c r="AT2122" t="s">
        <v>282</v>
      </c>
      <c r="AU2122" t="s">
        <v>48</v>
      </c>
    </row>
    <row r="2123" spans="1:47">
      <c r="A2123" s="1">
        <f>HYPERLINK("https://cms.ls-nyc.org/matter/dynamic-profile/view/1897232","19-1897232")</f>
        <v>0</v>
      </c>
      <c r="B2123" t="s">
        <v>54</v>
      </c>
      <c r="C2123" t="s">
        <v>347</v>
      </c>
      <c r="E2123" t="s">
        <v>586</v>
      </c>
      <c r="F2123" t="s">
        <v>2174</v>
      </c>
      <c r="G2123" t="s">
        <v>3900</v>
      </c>
      <c r="H2123" t="s">
        <v>5453</v>
      </c>
      <c r="I2123" t="s">
        <v>6025</v>
      </c>
      <c r="J2123">
        <v>11691</v>
      </c>
      <c r="K2123" t="s">
        <v>6074</v>
      </c>
      <c r="L2123" t="s">
        <v>6074</v>
      </c>
      <c r="N2123" t="s">
        <v>7279</v>
      </c>
      <c r="O2123" t="s">
        <v>7311</v>
      </c>
      <c r="Q2123" t="s">
        <v>7322</v>
      </c>
      <c r="R2123" t="s">
        <v>6074</v>
      </c>
      <c r="S2123" t="s">
        <v>7324</v>
      </c>
      <c r="U2123" t="s">
        <v>347</v>
      </c>
      <c r="V2123">
        <v>660</v>
      </c>
      <c r="W2123" t="s">
        <v>7361</v>
      </c>
      <c r="X2123" t="s">
        <v>7375</v>
      </c>
      <c r="Z2123" t="s">
        <v>9032</v>
      </c>
      <c r="AB2123" t="s">
        <v>11728</v>
      </c>
      <c r="AC2123">
        <v>43</v>
      </c>
      <c r="AD2123" t="s">
        <v>12422</v>
      </c>
      <c r="AE2123" t="s">
        <v>7305</v>
      </c>
      <c r="AF2123">
        <v>40</v>
      </c>
      <c r="AG2123">
        <v>1</v>
      </c>
      <c r="AH2123">
        <v>0</v>
      </c>
      <c r="AI2123">
        <v>144.12</v>
      </c>
      <c r="AL2123" t="s">
        <v>12460</v>
      </c>
      <c r="AM2123">
        <v>18000</v>
      </c>
      <c r="AS2123">
        <v>0</v>
      </c>
      <c r="AU2123" t="s">
        <v>189</v>
      </c>
    </row>
    <row r="2124" spans="1:47">
      <c r="A2124" s="1">
        <f>HYPERLINK("https://cms.ls-nyc.org/matter/dynamic-profile/view/1897235","19-1897235")</f>
        <v>0</v>
      </c>
      <c r="B2124" t="s">
        <v>54</v>
      </c>
      <c r="C2124" t="s">
        <v>347</v>
      </c>
      <c r="E2124" t="s">
        <v>586</v>
      </c>
      <c r="F2124" t="s">
        <v>2174</v>
      </c>
      <c r="G2124" t="s">
        <v>3900</v>
      </c>
      <c r="H2124" t="s">
        <v>5453</v>
      </c>
      <c r="I2124" t="s">
        <v>6025</v>
      </c>
      <c r="J2124">
        <v>11691</v>
      </c>
      <c r="K2124" t="s">
        <v>6074</v>
      </c>
      <c r="L2124" t="s">
        <v>6074</v>
      </c>
      <c r="N2124" t="s">
        <v>7278</v>
      </c>
      <c r="O2124" t="s">
        <v>7307</v>
      </c>
      <c r="Q2124" t="s">
        <v>7322</v>
      </c>
      <c r="R2124" t="s">
        <v>6076</v>
      </c>
      <c r="S2124" t="s">
        <v>7324</v>
      </c>
      <c r="U2124" t="s">
        <v>347</v>
      </c>
      <c r="V2124">
        <v>660</v>
      </c>
      <c r="W2124" t="s">
        <v>7361</v>
      </c>
      <c r="X2124" t="s">
        <v>7375</v>
      </c>
      <c r="Z2124" t="s">
        <v>9032</v>
      </c>
      <c r="AB2124" t="s">
        <v>11728</v>
      </c>
      <c r="AC2124">
        <v>43</v>
      </c>
      <c r="AD2124" t="s">
        <v>12422</v>
      </c>
      <c r="AE2124" t="s">
        <v>6110</v>
      </c>
      <c r="AF2124">
        <v>40</v>
      </c>
      <c r="AG2124">
        <v>1</v>
      </c>
      <c r="AH2124">
        <v>0</v>
      </c>
      <c r="AI2124">
        <v>144.12</v>
      </c>
      <c r="AL2124" t="s">
        <v>12460</v>
      </c>
      <c r="AM2124">
        <v>18000</v>
      </c>
      <c r="AS2124">
        <v>0</v>
      </c>
      <c r="AU2124" t="s">
        <v>189</v>
      </c>
    </row>
    <row r="2125" spans="1:47">
      <c r="A2125" s="1">
        <f>HYPERLINK("https://cms.ls-nyc.org/matter/dynamic-profile/view/1895973","19-1895973")</f>
        <v>0</v>
      </c>
      <c r="B2125" t="s">
        <v>76</v>
      </c>
      <c r="C2125" t="s">
        <v>270</v>
      </c>
      <c r="E2125" t="s">
        <v>1640</v>
      </c>
      <c r="F2125" t="s">
        <v>2066</v>
      </c>
      <c r="G2125" t="s">
        <v>4902</v>
      </c>
      <c r="H2125" t="s">
        <v>5385</v>
      </c>
      <c r="I2125" t="s">
        <v>6043</v>
      </c>
      <c r="J2125">
        <v>11233</v>
      </c>
      <c r="K2125" t="s">
        <v>6074</v>
      </c>
      <c r="L2125" t="s">
        <v>6074</v>
      </c>
      <c r="M2125" t="s">
        <v>6960</v>
      </c>
      <c r="N2125" t="s">
        <v>7276</v>
      </c>
      <c r="O2125" t="s">
        <v>7310</v>
      </c>
      <c r="Q2125" t="s">
        <v>7322</v>
      </c>
      <c r="S2125" t="s">
        <v>7324</v>
      </c>
      <c r="U2125" t="s">
        <v>270</v>
      </c>
      <c r="V2125">
        <v>327.05</v>
      </c>
      <c r="W2125" t="s">
        <v>7362</v>
      </c>
      <c r="X2125" t="s">
        <v>7366</v>
      </c>
      <c r="Z2125" t="s">
        <v>9033</v>
      </c>
      <c r="AB2125" t="s">
        <v>11729</v>
      </c>
      <c r="AC2125">
        <v>6</v>
      </c>
      <c r="AD2125" t="s">
        <v>12425</v>
      </c>
      <c r="AF2125">
        <v>44</v>
      </c>
      <c r="AG2125">
        <v>1</v>
      </c>
      <c r="AH2125">
        <v>0</v>
      </c>
      <c r="AI2125">
        <v>144.12</v>
      </c>
      <c r="AL2125" t="s">
        <v>12460</v>
      </c>
      <c r="AM2125">
        <v>18000</v>
      </c>
      <c r="AS2125">
        <v>8.75</v>
      </c>
      <c r="AT2125" t="s">
        <v>387</v>
      </c>
      <c r="AU2125" t="s">
        <v>13084</v>
      </c>
    </row>
    <row r="2126" spans="1:47">
      <c r="A2126" s="1">
        <f>HYPERLINK("https://cms.ls-nyc.org/matter/dynamic-profile/view/1892391","19-1892391")</f>
        <v>0</v>
      </c>
      <c r="B2126" t="s">
        <v>96</v>
      </c>
      <c r="C2126" t="s">
        <v>337</v>
      </c>
      <c r="E2126" t="s">
        <v>1010</v>
      </c>
      <c r="F2126" t="s">
        <v>3146</v>
      </c>
      <c r="G2126" t="s">
        <v>3792</v>
      </c>
      <c r="H2126" t="s">
        <v>5821</v>
      </c>
      <c r="I2126" t="s">
        <v>6047</v>
      </c>
      <c r="J2126">
        <v>10453</v>
      </c>
      <c r="K2126" t="s">
        <v>6074</v>
      </c>
      <c r="L2126" t="s">
        <v>6074</v>
      </c>
      <c r="N2126" t="s">
        <v>7279</v>
      </c>
      <c r="O2126" t="s">
        <v>7311</v>
      </c>
      <c r="Q2126" t="s">
        <v>7322</v>
      </c>
      <c r="R2126" t="s">
        <v>6074</v>
      </c>
      <c r="S2126" t="s">
        <v>7324</v>
      </c>
      <c r="U2126" t="s">
        <v>457</v>
      </c>
      <c r="V2126">
        <v>1020.49</v>
      </c>
      <c r="W2126" t="s">
        <v>7363</v>
      </c>
      <c r="X2126" t="s">
        <v>7375</v>
      </c>
      <c r="Z2126" t="s">
        <v>9034</v>
      </c>
      <c r="AB2126" t="s">
        <v>11730</v>
      </c>
      <c r="AC2126">
        <v>170</v>
      </c>
      <c r="AD2126" t="s">
        <v>12422</v>
      </c>
      <c r="AE2126" t="s">
        <v>6110</v>
      </c>
      <c r="AF2126">
        <v>10</v>
      </c>
      <c r="AG2126">
        <v>1</v>
      </c>
      <c r="AH2126">
        <v>0</v>
      </c>
      <c r="AI2126">
        <v>144.12</v>
      </c>
      <c r="AL2126" t="s">
        <v>12460</v>
      </c>
      <c r="AM2126">
        <v>18000</v>
      </c>
      <c r="AS2126">
        <v>0</v>
      </c>
      <c r="AU2126" t="s">
        <v>13093</v>
      </c>
    </row>
    <row r="2127" spans="1:47">
      <c r="A2127" s="1">
        <f>HYPERLINK("https://cms.ls-nyc.org/matter/dynamic-profile/view/1893923","19-1893923")</f>
        <v>0</v>
      </c>
      <c r="B2127" t="s">
        <v>97</v>
      </c>
      <c r="C2127" t="s">
        <v>335</v>
      </c>
      <c r="E2127" t="s">
        <v>1010</v>
      </c>
      <c r="F2127" t="s">
        <v>3146</v>
      </c>
      <c r="G2127" t="s">
        <v>3792</v>
      </c>
      <c r="H2127" t="s">
        <v>5821</v>
      </c>
      <c r="I2127" t="s">
        <v>6047</v>
      </c>
      <c r="J2127">
        <v>10453</v>
      </c>
      <c r="K2127" t="s">
        <v>6074</v>
      </c>
      <c r="L2127" t="s">
        <v>6074</v>
      </c>
      <c r="N2127" t="s">
        <v>7283</v>
      </c>
      <c r="O2127" t="s">
        <v>7309</v>
      </c>
      <c r="Q2127" t="s">
        <v>7322</v>
      </c>
      <c r="R2127" t="s">
        <v>6076</v>
      </c>
      <c r="S2127" t="s">
        <v>7326</v>
      </c>
      <c r="U2127" t="s">
        <v>335</v>
      </c>
      <c r="V2127">
        <v>1020.49</v>
      </c>
      <c r="W2127" t="s">
        <v>7363</v>
      </c>
      <c r="X2127" t="s">
        <v>7375</v>
      </c>
      <c r="Z2127" t="s">
        <v>9034</v>
      </c>
      <c r="AB2127" t="s">
        <v>11730</v>
      </c>
      <c r="AC2127">
        <v>170</v>
      </c>
      <c r="AD2127" t="s">
        <v>12422</v>
      </c>
      <c r="AE2127" t="s">
        <v>6110</v>
      </c>
      <c r="AF2127">
        <v>10</v>
      </c>
      <c r="AG2127">
        <v>1</v>
      </c>
      <c r="AH2127">
        <v>0</v>
      </c>
      <c r="AI2127">
        <v>144.12</v>
      </c>
      <c r="AL2127" t="s">
        <v>12460</v>
      </c>
      <c r="AM2127">
        <v>18000</v>
      </c>
      <c r="AS2127">
        <v>1.9</v>
      </c>
      <c r="AT2127" t="s">
        <v>361</v>
      </c>
      <c r="AU2127" t="s">
        <v>97</v>
      </c>
    </row>
    <row r="2128" spans="1:47">
      <c r="A2128" s="1">
        <f>HYPERLINK("https://cms.ls-nyc.org/matter/dynamic-profile/view/1879221","18-1879221")</f>
        <v>0</v>
      </c>
      <c r="B2128" t="s">
        <v>133</v>
      </c>
      <c r="C2128" t="s">
        <v>355</v>
      </c>
      <c r="D2128" t="s">
        <v>258</v>
      </c>
      <c r="E2128" t="s">
        <v>800</v>
      </c>
      <c r="F2128" t="s">
        <v>3147</v>
      </c>
      <c r="G2128" t="s">
        <v>4903</v>
      </c>
      <c r="H2128" t="s">
        <v>5511</v>
      </c>
      <c r="I2128" t="s">
        <v>6049</v>
      </c>
      <c r="J2128">
        <v>10034</v>
      </c>
      <c r="K2128" t="s">
        <v>6074</v>
      </c>
      <c r="L2128" t="s">
        <v>6074</v>
      </c>
      <c r="O2128" t="s">
        <v>7306</v>
      </c>
      <c r="P2128" t="s">
        <v>7314</v>
      </c>
      <c r="Q2128" t="s">
        <v>7322</v>
      </c>
      <c r="R2128" t="s">
        <v>6076</v>
      </c>
      <c r="S2128" t="s">
        <v>7324</v>
      </c>
      <c r="U2128" t="s">
        <v>258</v>
      </c>
      <c r="V2128">
        <v>1010.5</v>
      </c>
      <c r="W2128" t="s">
        <v>7365</v>
      </c>
      <c r="X2128" t="s">
        <v>7367</v>
      </c>
      <c r="Y2128" t="s">
        <v>7386</v>
      </c>
      <c r="Z2128" t="s">
        <v>8013</v>
      </c>
      <c r="AB2128" t="s">
        <v>11731</v>
      </c>
      <c r="AC2128">
        <v>70</v>
      </c>
      <c r="AD2128" t="s">
        <v>12422</v>
      </c>
      <c r="AE2128" t="s">
        <v>12441</v>
      </c>
      <c r="AF2128">
        <v>35</v>
      </c>
      <c r="AG2128">
        <v>1</v>
      </c>
      <c r="AH2128">
        <v>0</v>
      </c>
      <c r="AI2128">
        <v>144.15</v>
      </c>
      <c r="AL2128" t="s">
        <v>12460</v>
      </c>
      <c r="AM2128">
        <v>17500</v>
      </c>
      <c r="AS2128">
        <v>2</v>
      </c>
      <c r="AT2128" t="s">
        <v>258</v>
      </c>
      <c r="AU2128" t="s">
        <v>13080</v>
      </c>
    </row>
    <row r="2129" spans="1:48">
      <c r="A2129" s="1">
        <f>HYPERLINK("https://cms.ls-nyc.org/matter/dynamic-profile/view/1881605","18-1881605")</f>
        <v>0</v>
      </c>
      <c r="B2129" t="s">
        <v>82</v>
      </c>
      <c r="C2129" t="s">
        <v>298</v>
      </c>
      <c r="D2129" t="s">
        <v>492</v>
      </c>
      <c r="E2129" t="s">
        <v>1641</v>
      </c>
      <c r="F2129" t="s">
        <v>3148</v>
      </c>
      <c r="G2129" t="s">
        <v>3718</v>
      </c>
      <c r="H2129" t="s">
        <v>5411</v>
      </c>
      <c r="I2129" t="s">
        <v>6043</v>
      </c>
      <c r="J2129">
        <v>11230</v>
      </c>
      <c r="K2129" t="s">
        <v>6074</v>
      </c>
      <c r="L2129" t="s">
        <v>6074</v>
      </c>
      <c r="N2129" t="s">
        <v>7275</v>
      </c>
      <c r="O2129" t="s">
        <v>7309</v>
      </c>
      <c r="P2129" t="s">
        <v>7315</v>
      </c>
      <c r="Q2129" t="s">
        <v>7322</v>
      </c>
      <c r="R2129" t="s">
        <v>6074</v>
      </c>
      <c r="S2129" t="s">
        <v>7324</v>
      </c>
      <c r="U2129" t="s">
        <v>464</v>
      </c>
      <c r="V2129">
        <v>1275.2</v>
      </c>
      <c r="W2129" t="s">
        <v>7362</v>
      </c>
      <c r="Y2129" t="s">
        <v>7394</v>
      </c>
      <c r="Z2129" t="s">
        <v>9035</v>
      </c>
      <c r="AC2129">
        <v>66</v>
      </c>
      <c r="AD2129" t="s">
        <v>12424</v>
      </c>
      <c r="AF2129">
        <v>14</v>
      </c>
      <c r="AG2129">
        <v>3</v>
      </c>
      <c r="AH2129">
        <v>0</v>
      </c>
      <c r="AI2129">
        <v>144.37</v>
      </c>
      <c r="AL2129" t="s">
        <v>12460</v>
      </c>
      <c r="AM2129">
        <v>30000</v>
      </c>
      <c r="AS2129">
        <v>0.55</v>
      </c>
      <c r="AT2129" t="s">
        <v>310</v>
      </c>
      <c r="AU2129" t="s">
        <v>69</v>
      </c>
    </row>
    <row r="2130" spans="1:48">
      <c r="A2130" s="1">
        <f>HYPERLINK("https://cms.ls-nyc.org/matter/dynamic-profile/view/1883364","18-1883364")</f>
        <v>0</v>
      </c>
      <c r="B2130" t="s">
        <v>109</v>
      </c>
      <c r="C2130" t="s">
        <v>403</v>
      </c>
      <c r="D2130" t="s">
        <v>305</v>
      </c>
      <c r="E2130" t="s">
        <v>795</v>
      </c>
      <c r="F2130" t="s">
        <v>3149</v>
      </c>
      <c r="G2130" t="s">
        <v>4904</v>
      </c>
      <c r="H2130">
        <v>2</v>
      </c>
      <c r="I2130" t="s">
        <v>6047</v>
      </c>
      <c r="J2130">
        <v>10473</v>
      </c>
      <c r="K2130" t="s">
        <v>6074</v>
      </c>
      <c r="L2130" t="s">
        <v>6074</v>
      </c>
      <c r="M2130" t="s">
        <v>6104</v>
      </c>
      <c r="N2130" t="s">
        <v>7278</v>
      </c>
      <c r="O2130" t="s">
        <v>7307</v>
      </c>
      <c r="P2130" t="s">
        <v>7315</v>
      </c>
      <c r="Q2130" t="s">
        <v>7322</v>
      </c>
      <c r="R2130" t="s">
        <v>6076</v>
      </c>
      <c r="S2130" t="s">
        <v>7324</v>
      </c>
      <c r="U2130" t="s">
        <v>305</v>
      </c>
      <c r="V2130">
        <v>1400</v>
      </c>
      <c r="W2130" t="s">
        <v>7363</v>
      </c>
      <c r="X2130" t="s">
        <v>7376</v>
      </c>
      <c r="Y2130" t="s">
        <v>7394</v>
      </c>
      <c r="Z2130" t="s">
        <v>9036</v>
      </c>
      <c r="AC2130">
        <v>0</v>
      </c>
      <c r="AD2130" t="s">
        <v>6322</v>
      </c>
      <c r="AE2130" t="s">
        <v>6110</v>
      </c>
      <c r="AF2130">
        <v>2</v>
      </c>
      <c r="AG2130">
        <v>2</v>
      </c>
      <c r="AH2130">
        <v>1</v>
      </c>
      <c r="AI2130">
        <v>144.37</v>
      </c>
      <c r="AM2130">
        <v>30000</v>
      </c>
      <c r="AS2130">
        <v>1</v>
      </c>
      <c r="AT2130" t="s">
        <v>331</v>
      </c>
      <c r="AU2130" t="s">
        <v>13092</v>
      </c>
    </row>
    <row r="2131" spans="1:48">
      <c r="A2131" s="1">
        <f>HYPERLINK("https://cms.ls-nyc.org/matter/dynamic-profile/view/1886111","18-1886111")</f>
        <v>0</v>
      </c>
      <c r="B2131" t="s">
        <v>101</v>
      </c>
      <c r="C2131" t="s">
        <v>326</v>
      </c>
      <c r="E2131" t="s">
        <v>1642</v>
      </c>
      <c r="F2131" t="s">
        <v>3150</v>
      </c>
      <c r="G2131" t="s">
        <v>3939</v>
      </c>
      <c r="H2131" t="s">
        <v>5395</v>
      </c>
      <c r="I2131" t="s">
        <v>6047</v>
      </c>
      <c r="J2131">
        <v>10456</v>
      </c>
      <c r="K2131" t="s">
        <v>6074</v>
      </c>
      <c r="L2131" t="s">
        <v>6074</v>
      </c>
      <c r="M2131" t="s">
        <v>6303</v>
      </c>
      <c r="N2131" t="s">
        <v>7279</v>
      </c>
      <c r="O2131" t="s">
        <v>7311</v>
      </c>
      <c r="Q2131" t="s">
        <v>7322</v>
      </c>
      <c r="R2131" t="s">
        <v>6074</v>
      </c>
      <c r="S2131" t="s">
        <v>7324</v>
      </c>
      <c r="U2131" t="s">
        <v>472</v>
      </c>
      <c r="V2131">
        <v>560</v>
      </c>
      <c r="W2131" t="s">
        <v>7363</v>
      </c>
      <c r="X2131" t="s">
        <v>7376</v>
      </c>
      <c r="Z2131" t="s">
        <v>9037</v>
      </c>
      <c r="AB2131" t="s">
        <v>11732</v>
      </c>
      <c r="AC2131">
        <v>131</v>
      </c>
      <c r="AD2131" t="s">
        <v>12422</v>
      </c>
      <c r="AE2131" t="s">
        <v>6110</v>
      </c>
      <c r="AF2131">
        <v>25</v>
      </c>
      <c r="AG2131">
        <v>3</v>
      </c>
      <c r="AH2131">
        <v>0</v>
      </c>
      <c r="AI2131">
        <v>144.37</v>
      </c>
      <c r="AL2131" t="s">
        <v>12460</v>
      </c>
      <c r="AM2131">
        <v>30000</v>
      </c>
      <c r="AN2131" t="s">
        <v>12665</v>
      </c>
      <c r="AS2131">
        <v>0</v>
      </c>
      <c r="AU2131" t="s">
        <v>13095</v>
      </c>
    </row>
    <row r="2132" spans="1:48">
      <c r="A2132" s="1">
        <f>HYPERLINK("https://cms.ls-nyc.org/matter/dynamic-profile/view/1883429","18-1883429")</f>
        <v>0</v>
      </c>
      <c r="B2132" t="s">
        <v>109</v>
      </c>
      <c r="C2132" t="s">
        <v>411</v>
      </c>
      <c r="E2132" t="s">
        <v>1630</v>
      </c>
      <c r="F2132" t="s">
        <v>3137</v>
      </c>
      <c r="G2132" t="s">
        <v>3927</v>
      </c>
      <c r="H2132" t="s">
        <v>5444</v>
      </c>
      <c r="I2132" t="s">
        <v>6047</v>
      </c>
      <c r="J2132">
        <v>10452</v>
      </c>
      <c r="K2132" t="s">
        <v>6074</v>
      </c>
      <c r="L2132" t="s">
        <v>6074</v>
      </c>
      <c r="M2132" t="s">
        <v>6658</v>
      </c>
      <c r="N2132" t="s">
        <v>7273</v>
      </c>
      <c r="O2132" t="s">
        <v>7308</v>
      </c>
      <c r="Q2132" t="s">
        <v>7322</v>
      </c>
      <c r="R2132" t="s">
        <v>6074</v>
      </c>
      <c r="S2132" t="s">
        <v>7324</v>
      </c>
      <c r="U2132" t="s">
        <v>472</v>
      </c>
      <c r="V2132">
        <v>1087.54</v>
      </c>
      <c r="W2132" t="s">
        <v>7363</v>
      </c>
      <c r="X2132" t="s">
        <v>7375</v>
      </c>
      <c r="Z2132" t="s">
        <v>9014</v>
      </c>
      <c r="AB2132" t="s">
        <v>11713</v>
      </c>
      <c r="AC2132">
        <v>41</v>
      </c>
      <c r="AD2132" t="s">
        <v>12422</v>
      </c>
      <c r="AE2132" t="s">
        <v>6110</v>
      </c>
      <c r="AF2132">
        <v>15</v>
      </c>
      <c r="AG2132">
        <v>1</v>
      </c>
      <c r="AH2132">
        <v>2</v>
      </c>
      <c r="AI2132">
        <v>144.37</v>
      </c>
      <c r="AL2132" t="s">
        <v>12460</v>
      </c>
      <c r="AM2132">
        <v>30000</v>
      </c>
      <c r="AS2132">
        <v>1</v>
      </c>
      <c r="AT2132" t="s">
        <v>395</v>
      </c>
      <c r="AU2132" t="s">
        <v>13092</v>
      </c>
    </row>
    <row r="2133" spans="1:48">
      <c r="A2133" s="1">
        <f>HYPERLINK("https://cms.ls-nyc.org/matter/dynamic-profile/view/1877693","18-1877693")</f>
        <v>0</v>
      </c>
      <c r="B2133" t="s">
        <v>117</v>
      </c>
      <c r="C2133" t="s">
        <v>373</v>
      </c>
      <c r="D2133" t="s">
        <v>285</v>
      </c>
      <c r="E2133" t="s">
        <v>962</v>
      </c>
      <c r="F2133" t="s">
        <v>2154</v>
      </c>
      <c r="G2133" t="s">
        <v>4905</v>
      </c>
      <c r="I2133" t="s">
        <v>6048</v>
      </c>
      <c r="J2133">
        <v>10304</v>
      </c>
      <c r="K2133" t="s">
        <v>6074</v>
      </c>
      <c r="L2133" t="s">
        <v>6074</v>
      </c>
      <c r="M2133" t="s">
        <v>6961</v>
      </c>
      <c r="N2133" t="s">
        <v>7274</v>
      </c>
      <c r="O2133" t="s">
        <v>7308</v>
      </c>
      <c r="P2133" t="s">
        <v>7316</v>
      </c>
      <c r="Q2133" t="s">
        <v>7322</v>
      </c>
      <c r="R2133" t="s">
        <v>6076</v>
      </c>
      <c r="S2133" t="s">
        <v>7324</v>
      </c>
      <c r="T2133" t="s">
        <v>7336</v>
      </c>
      <c r="U2133" t="s">
        <v>373</v>
      </c>
      <c r="V2133">
        <v>2250</v>
      </c>
      <c r="W2133" t="s">
        <v>7364</v>
      </c>
      <c r="X2133" t="s">
        <v>7305</v>
      </c>
      <c r="Y2133" t="s">
        <v>7391</v>
      </c>
      <c r="Z2133" t="s">
        <v>7868</v>
      </c>
      <c r="AB2133" t="s">
        <v>11733</v>
      </c>
      <c r="AC2133">
        <v>2</v>
      </c>
      <c r="AD2133" t="s">
        <v>12419</v>
      </c>
      <c r="AE2133" t="s">
        <v>12434</v>
      </c>
      <c r="AF2133">
        <v>6</v>
      </c>
      <c r="AG2133">
        <v>1</v>
      </c>
      <c r="AH2133">
        <v>2</v>
      </c>
      <c r="AI2133">
        <v>144.37</v>
      </c>
      <c r="AL2133" t="s">
        <v>12460</v>
      </c>
      <c r="AM2133">
        <v>30000</v>
      </c>
      <c r="AO2133" t="s">
        <v>12846</v>
      </c>
      <c r="AP2133" t="s">
        <v>7305</v>
      </c>
      <c r="AQ2133" t="s">
        <v>12910</v>
      </c>
      <c r="AR2133" t="s">
        <v>12929</v>
      </c>
      <c r="AS2133">
        <v>8.9</v>
      </c>
      <c r="AT2133" t="s">
        <v>285</v>
      </c>
      <c r="AU2133" t="s">
        <v>210</v>
      </c>
    </row>
    <row r="2134" spans="1:48">
      <c r="A2134" s="1">
        <f>HYPERLINK("https://cms.ls-nyc.org/matter/dynamic-profile/view/1878909","18-1878909")</f>
        <v>0</v>
      </c>
      <c r="B2134" t="s">
        <v>133</v>
      </c>
      <c r="C2134" t="s">
        <v>438</v>
      </c>
      <c r="E2134" t="s">
        <v>1643</v>
      </c>
      <c r="F2134" t="s">
        <v>2488</v>
      </c>
      <c r="G2134" t="s">
        <v>4128</v>
      </c>
      <c r="H2134" t="s">
        <v>5522</v>
      </c>
      <c r="I2134" t="s">
        <v>6049</v>
      </c>
      <c r="J2134">
        <v>10040</v>
      </c>
      <c r="K2134" t="s">
        <v>6074</v>
      </c>
      <c r="L2134" t="s">
        <v>6074</v>
      </c>
      <c r="N2134" t="s">
        <v>7279</v>
      </c>
      <c r="O2134" t="s">
        <v>7311</v>
      </c>
      <c r="Q2134" t="s">
        <v>7322</v>
      </c>
      <c r="R2134" t="s">
        <v>6074</v>
      </c>
      <c r="S2134" t="s">
        <v>7324</v>
      </c>
      <c r="U2134" t="s">
        <v>438</v>
      </c>
      <c r="V2134">
        <v>1004</v>
      </c>
      <c r="W2134" t="s">
        <v>7365</v>
      </c>
      <c r="X2134" t="s">
        <v>7375</v>
      </c>
      <c r="Z2134" t="s">
        <v>9038</v>
      </c>
      <c r="AC2134">
        <v>88</v>
      </c>
      <c r="AD2134" t="s">
        <v>12422</v>
      </c>
      <c r="AE2134" t="s">
        <v>12435</v>
      </c>
      <c r="AF2134">
        <v>37</v>
      </c>
      <c r="AG2134">
        <v>2</v>
      </c>
      <c r="AH2134">
        <v>1</v>
      </c>
      <c r="AI2134">
        <v>144.37</v>
      </c>
      <c r="AL2134" t="s">
        <v>12461</v>
      </c>
      <c r="AM2134">
        <v>30000</v>
      </c>
      <c r="AS2134">
        <v>0</v>
      </c>
      <c r="AU2134" t="s">
        <v>13106</v>
      </c>
    </row>
    <row r="2135" spans="1:48">
      <c r="A2135" s="1">
        <f>HYPERLINK("https://cms.ls-nyc.org/matter/dynamic-profile/view/1885567","18-1885567")</f>
        <v>0</v>
      </c>
      <c r="B2135" t="s">
        <v>132</v>
      </c>
      <c r="C2135" t="s">
        <v>266</v>
      </c>
      <c r="D2135" t="s">
        <v>365</v>
      </c>
      <c r="E2135" t="s">
        <v>1277</v>
      </c>
      <c r="F2135" t="s">
        <v>3151</v>
      </c>
      <c r="G2135" t="s">
        <v>4906</v>
      </c>
      <c r="H2135" t="s">
        <v>5807</v>
      </c>
      <c r="I2135" t="s">
        <v>6049</v>
      </c>
      <c r="J2135">
        <v>10033</v>
      </c>
      <c r="K2135" t="s">
        <v>6074</v>
      </c>
      <c r="L2135" t="s">
        <v>6074</v>
      </c>
      <c r="O2135" t="s">
        <v>7306</v>
      </c>
      <c r="P2135" t="s">
        <v>7314</v>
      </c>
      <c r="Q2135" t="s">
        <v>7322</v>
      </c>
      <c r="R2135" t="s">
        <v>6076</v>
      </c>
      <c r="S2135" t="s">
        <v>7324</v>
      </c>
      <c r="U2135" t="s">
        <v>266</v>
      </c>
      <c r="V2135">
        <v>1738.44</v>
      </c>
      <c r="W2135" t="s">
        <v>7365</v>
      </c>
      <c r="X2135" t="s">
        <v>7367</v>
      </c>
      <c r="Y2135" t="s">
        <v>7386</v>
      </c>
      <c r="Z2135" t="s">
        <v>9039</v>
      </c>
      <c r="AB2135" t="s">
        <v>11734</v>
      </c>
      <c r="AC2135">
        <v>485</v>
      </c>
      <c r="AD2135" t="s">
        <v>12422</v>
      </c>
      <c r="AE2135" t="s">
        <v>6110</v>
      </c>
      <c r="AF2135">
        <v>11</v>
      </c>
      <c r="AG2135">
        <v>3</v>
      </c>
      <c r="AH2135">
        <v>0</v>
      </c>
      <c r="AI2135">
        <v>144.37</v>
      </c>
      <c r="AL2135" t="s">
        <v>12461</v>
      </c>
      <c r="AM2135">
        <v>30000</v>
      </c>
      <c r="AS2135">
        <v>0.2</v>
      </c>
      <c r="AT2135" t="s">
        <v>365</v>
      </c>
      <c r="AU2135" t="s">
        <v>13106</v>
      </c>
    </row>
    <row r="2136" spans="1:48">
      <c r="A2136" s="1">
        <f>HYPERLINK("https://cms.ls-nyc.org/matter/dynamic-profile/view/1885138","18-1885138")</f>
        <v>0</v>
      </c>
      <c r="B2136" t="s">
        <v>125</v>
      </c>
      <c r="C2136" t="s">
        <v>435</v>
      </c>
      <c r="E2136" t="s">
        <v>582</v>
      </c>
      <c r="F2136" t="s">
        <v>2697</v>
      </c>
      <c r="G2136" t="s">
        <v>4174</v>
      </c>
      <c r="H2136" t="s">
        <v>5390</v>
      </c>
      <c r="I2136" t="s">
        <v>6049</v>
      </c>
      <c r="J2136">
        <v>10032</v>
      </c>
      <c r="K2136" t="s">
        <v>6074</v>
      </c>
      <c r="L2136" t="s">
        <v>6074</v>
      </c>
      <c r="O2136" t="s">
        <v>7308</v>
      </c>
      <c r="Q2136" t="s">
        <v>7322</v>
      </c>
      <c r="R2136" t="s">
        <v>6076</v>
      </c>
      <c r="S2136" t="s">
        <v>7324</v>
      </c>
      <c r="U2136" t="s">
        <v>435</v>
      </c>
      <c r="V2136">
        <v>775</v>
      </c>
      <c r="W2136" t="s">
        <v>7365</v>
      </c>
      <c r="X2136" t="s">
        <v>7367</v>
      </c>
      <c r="Z2136" t="s">
        <v>9015</v>
      </c>
      <c r="AB2136" t="s">
        <v>11714</v>
      </c>
      <c r="AC2136">
        <v>48</v>
      </c>
      <c r="AD2136" t="s">
        <v>12422</v>
      </c>
      <c r="AE2136" t="s">
        <v>6110</v>
      </c>
      <c r="AF2136">
        <v>20</v>
      </c>
      <c r="AG2136">
        <v>3</v>
      </c>
      <c r="AH2136">
        <v>0</v>
      </c>
      <c r="AI2136">
        <v>144.37</v>
      </c>
      <c r="AL2136" t="s">
        <v>12460</v>
      </c>
      <c r="AM2136">
        <v>30000</v>
      </c>
      <c r="AS2136">
        <v>106.5</v>
      </c>
      <c r="AT2136" t="s">
        <v>317</v>
      </c>
      <c r="AU2136" t="s">
        <v>13106</v>
      </c>
      <c r="AV2136" t="s">
        <v>13145</v>
      </c>
    </row>
    <row r="2137" spans="1:48">
      <c r="A2137" s="1">
        <f>HYPERLINK("https://cms.ls-nyc.org/matter/dynamic-profile/view/1893494","19-1893494")</f>
        <v>0</v>
      </c>
      <c r="B2137" t="s">
        <v>211</v>
      </c>
      <c r="C2137" t="s">
        <v>367</v>
      </c>
      <c r="E2137" t="s">
        <v>1467</v>
      </c>
      <c r="F2137" t="s">
        <v>2480</v>
      </c>
      <c r="G2137" t="s">
        <v>4016</v>
      </c>
      <c r="H2137">
        <v>208</v>
      </c>
      <c r="I2137" t="s">
        <v>6049</v>
      </c>
      <c r="J2137">
        <v>10029</v>
      </c>
      <c r="K2137" t="s">
        <v>6074</v>
      </c>
      <c r="L2137" t="s">
        <v>6074</v>
      </c>
      <c r="M2137" t="s">
        <v>6962</v>
      </c>
      <c r="N2137" t="s">
        <v>7276</v>
      </c>
      <c r="O2137" t="s">
        <v>7306</v>
      </c>
      <c r="Q2137" t="s">
        <v>7322</v>
      </c>
      <c r="S2137" t="s">
        <v>7324</v>
      </c>
      <c r="U2137" t="s">
        <v>235</v>
      </c>
      <c r="V2137">
        <v>680</v>
      </c>
      <c r="W2137" t="s">
        <v>7365</v>
      </c>
      <c r="X2137" t="s">
        <v>7305</v>
      </c>
      <c r="Z2137" t="s">
        <v>8532</v>
      </c>
      <c r="AB2137" t="s">
        <v>11735</v>
      </c>
      <c r="AC2137">
        <v>30</v>
      </c>
      <c r="AD2137" t="s">
        <v>12423</v>
      </c>
      <c r="AE2137" t="s">
        <v>6110</v>
      </c>
      <c r="AF2137">
        <v>16</v>
      </c>
      <c r="AG2137">
        <v>1</v>
      </c>
      <c r="AH2137">
        <v>0</v>
      </c>
      <c r="AI2137">
        <v>144.55</v>
      </c>
      <c r="AL2137" t="s">
        <v>12460</v>
      </c>
      <c r="AM2137">
        <v>18054</v>
      </c>
      <c r="AS2137">
        <v>1.7</v>
      </c>
      <c r="AT2137" t="s">
        <v>235</v>
      </c>
      <c r="AU2137" t="s">
        <v>13079</v>
      </c>
    </row>
    <row r="2138" spans="1:48">
      <c r="A2138" s="1">
        <f>HYPERLINK("https://cms.ls-nyc.org/matter/dynamic-profile/view/1875086","18-1875086")</f>
        <v>0</v>
      </c>
      <c r="B2138" t="s">
        <v>98</v>
      </c>
      <c r="C2138" t="s">
        <v>262</v>
      </c>
      <c r="D2138" t="s">
        <v>383</v>
      </c>
      <c r="E2138" t="s">
        <v>689</v>
      </c>
      <c r="F2138" t="s">
        <v>2192</v>
      </c>
      <c r="G2138" t="s">
        <v>4907</v>
      </c>
      <c r="H2138">
        <v>509</v>
      </c>
      <c r="I2138" t="s">
        <v>6047</v>
      </c>
      <c r="J2138">
        <v>10457</v>
      </c>
      <c r="K2138" t="s">
        <v>6074</v>
      </c>
      <c r="L2138" t="s">
        <v>6074</v>
      </c>
      <c r="M2138" t="s">
        <v>6101</v>
      </c>
      <c r="N2138" t="s">
        <v>7275</v>
      </c>
      <c r="O2138" t="s">
        <v>7307</v>
      </c>
      <c r="P2138" t="s">
        <v>7315</v>
      </c>
      <c r="Q2138" t="s">
        <v>7322</v>
      </c>
      <c r="R2138" t="s">
        <v>6076</v>
      </c>
      <c r="S2138" t="s">
        <v>7324</v>
      </c>
      <c r="U2138" t="s">
        <v>262</v>
      </c>
      <c r="V2138">
        <v>1529.46</v>
      </c>
      <c r="W2138" t="s">
        <v>7363</v>
      </c>
      <c r="X2138" t="s">
        <v>7370</v>
      </c>
      <c r="Y2138" t="s">
        <v>7387</v>
      </c>
      <c r="Z2138" t="s">
        <v>378</v>
      </c>
      <c r="AB2138" t="s">
        <v>11736</v>
      </c>
      <c r="AC2138">
        <v>0</v>
      </c>
      <c r="AD2138" t="s">
        <v>12422</v>
      </c>
      <c r="AE2138" t="s">
        <v>6110</v>
      </c>
      <c r="AF2138">
        <v>7</v>
      </c>
      <c r="AG2138">
        <v>2</v>
      </c>
      <c r="AH2138">
        <v>4</v>
      </c>
      <c r="AI2138">
        <v>144.99</v>
      </c>
      <c r="AL2138" t="s">
        <v>12461</v>
      </c>
      <c r="AM2138">
        <v>48920.82</v>
      </c>
      <c r="AR2138" t="s">
        <v>13036</v>
      </c>
      <c r="AS2138">
        <v>1</v>
      </c>
      <c r="AT2138" t="s">
        <v>336</v>
      </c>
      <c r="AU2138" t="s">
        <v>13112</v>
      </c>
    </row>
    <row r="2139" spans="1:48">
      <c r="A2139" s="1">
        <f>HYPERLINK("https://cms.ls-nyc.org/matter/dynamic-profile/view/1896441","19-1896441")</f>
        <v>0</v>
      </c>
      <c r="B2139" t="s">
        <v>82</v>
      </c>
      <c r="C2139" t="s">
        <v>302</v>
      </c>
      <c r="E2139" t="s">
        <v>1644</v>
      </c>
      <c r="F2139" t="s">
        <v>3152</v>
      </c>
      <c r="G2139" t="s">
        <v>4908</v>
      </c>
      <c r="H2139" t="s">
        <v>5822</v>
      </c>
      <c r="I2139" t="s">
        <v>6043</v>
      </c>
      <c r="J2139">
        <v>11209</v>
      </c>
      <c r="K2139" t="s">
        <v>6075</v>
      </c>
      <c r="L2139" t="s">
        <v>6075</v>
      </c>
      <c r="Q2139" t="s">
        <v>7322</v>
      </c>
      <c r="S2139" t="s">
        <v>7324</v>
      </c>
      <c r="U2139" t="s">
        <v>302</v>
      </c>
      <c r="V2139">
        <v>0</v>
      </c>
      <c r="W2139" t="s">
        <v>7362</v>
      </c>
      <c r="Z2139" t="s">
        <v>9040</v>
      </c>
      <c r="AB2139" t="s">
        <v>11737</v>
      </c>
      <c r="AC2139">
        <v>0</v>
      </c>
      <c r="AF2139">
        <v>0</v>
      </c>
      <c r="AG2139">
        <v>1</v>
      </c>
      <c r="AH2139">
        <v>1</v>
      </c>
      <c r="AI2139">
        <v>145.48</v>
      </c>
      <c r="AL2139" t="s">
        <v>12460</v>
      </c>
      <c r="AM2139">
        <v>24600</v>
      </c>
      <c r="AS2139">
        <v>23.45</v>
      </c>
      <c r="AT2139" t="s">
        <v>260</v>
      </c>
      <c r="AU2139" t="s">
        <v>69</v>
      </c>
    </row>
    <row r="2140" spans="1:48">
      <c r="A2140" s="1">
        <f>HYPERLINK("https://cms.ls-nyc.org/matter/dynamic-profile/view/1896450","19-1896450")</f>
        <v>0</v>
      </c>
      <c r="B2140" t="s">
        <v>69</v>
      </c>
      <c r="C2140" t="s">
        <v>302</v>
      </c>
      <c r="E2140" t="s">
        <v>1644</v>
      </c>
      <c r="F2140" t="s">
        <v>3152</v>
      </c>
      <c r="G2140" t="s">
        <v>4908</v>
      </c>
      <c r="H2140" t="s">
        <v>5822</v>
      </c>
      <c r="I2140" t="s">
        <v>6043</v>
      </c>
      <c r="J2140">
        <v>11209</v>
      </c>
      <c r="K2140" t="s">
        <v>6075</v>
      </c>
      <c r="L2140" t="s">
        <v>6075</v>
      </c>
      <c r="Q2140" t="s">
        <v>7322</v>
      </c>
      <c r="S2140" t="s">
        <v>7327</v>
      </c>
      <c r="U2140" t="s">
        <v>302</v>
      </c>
      <c r="V2140">
        <v>0</v>
      </c>
      <c r="W2140" t="s">
        <v>7362</v>
      </c>
      <c r="Z2140" t="s">
        <v>9040</v>
      </c>
      <c r="AB2140" t="s">
        <v>11737</v>
      </c>
      <c r="AC2140">
        <v>0</v>
      </c>
      <c r="AF2140">
        <v>0</v>
      </c>
      <c r="AG2140">
        <v>1</v>
      </c>
      <c r="AH2140">
        <v>1</v>
      </c>
      <c r="AI2140">
        <v>145.48</v>
      </c>
      <c r="AL2140" t="s">
        <v>12460</v>
      </c>
      <c r="AM2140">
        <v>24600</v>
      </c>
      <c r="AS2140">
        <v>17.3</v>
      </c>
      <c r="AT2140" t="s">
        <v>423</v>
      </c>
      <c r="AU2140" t="s">
        <v>69</v>
      </c>
    </row>
    <row r="2141" spans="1:48">
      <c r="A2141" s="1">
        <f>HYPERLINK("https://cms.ls-nyc.org/matter/dynamic-profile/view/1872427","18-1872427")</f>
        <v>0</v>
      </c>
      <c r="B2141" t="s">
        <v>132</v>
      </c>
      <c r="C2141" t="s">
        <v>376</v>
      </c>
      <c r="D2141" t="s">
        <v>312</v>
      </c>
      <c r="E2141" t="s">
        <v>767</v>
      </c>
      <c r="F2141" t="s">
        <v>3153</v>
      </c>
      <c r="G2141" t="s">
        <v>4909</v>
      </c>
      <c r="H2141" t="s">
        <v>5348</v>
      </c>
      <c r="I2141" t="s">
        <v>6049</v>
      </c>
      <c r="J2141">
        <v>10017</v>
      </c>
      <c r="K2141" t="s">
        <v>6074</v>
      </c>
      <c r="L2141" t="s">
        <v>6074</v>
      </c>
      <c r="N2141" t="s">
        <v>6104</v>
      </c>
      <c r="O2141" t="s">
        <v>7306</v>
      </c>
      <c r="P2141" t="s">
        <v>7314</v>
      </c>
      <c r="Q2141" t="s">
        <v>7322</v>
      </c>
      <c r="R2141" t="s">
        <v>6076</v>
      </c>
      <c r="S2141" t="s">
        <v>7324</v>
      </c>
      <c r="U2141" t="s">
        <v>376</v>
      </c>
      <c r="V2141">
        <v>480</v>
      </c>
      <c r="W2141" t="s">
        <v>7365</v>
      </c>
      <c r="X2141" t="s">
        <v>7367</v>
      </c>
      <c r="Y2141" t="s">
        <v>7386</v>
      </c>
      <c r="Z2141" t="s">
        <v>9041</v>
      </c>
      <c r="AA2141" t="s">
        <v>10238</v>
      </c>
      <c r="AB2141" t="s">
        <v>11738</v>
      </c>
      <c r="AC2141">
        <v>100</v>
      </c>
      <c r="AD2141" t="s">
        <v>12422</v>
      </c>
      <c r="AE2141" t="s">
        <v>12434</v>
      </c>
      <c r="AF2141">
        <v>15</v>
      </c>
      <c r="AG2141">
        <v>1</v>
      </c>
      <c r="AH2141">
        <v>0</v>
      </c>
      <c r="AI2141">
        <v>145.7</v>
      </c>
      <c r="AL2141" t="s">
        <v>12461</v>
      </c>
      <c r="AM2141">
        <v>17688</v>
      </c>
      <c r="AS2141">
        <v>0.3</v>
      </c>
      <c r="AT2141" t="s">
        <v>312</v>
      </c>
      <c r="AU2141" t="s">
        <v>13106</v>
      </c>
    </row>
    <row r="2142" spans="1:48">
      <c r="A2142" s="1">
        <f>HYPERLINK("https://cms.ls-nyc.org/matter/dynamic-profile/view/1889400","19-1889400")</f>
        <v>0</v>
      </c>
      <c r="B2142" t="s">
        <v>64</v>
      </c>
      <c r="C2142" t="s">
        <v>261</v>
      </c>
      <c r="E2142" t="s">
        <v>1645</v>
      </c>
      <c r="F2142" t="s">
        <v>1778</v>
      </c>
      <c r="G2142" t="s">
        <v>4910</v>
      </c>
      <c r="H2142" t="s">
        <v>5395</v>
      </c>
      <c r="I2142" t="s">
        <v>6029</v>
      </c>
      <c r="J2142">
        <v>11423</v>
      </c>
      <c r="K2142" t="s">
        <v>6074</v>
      </c>
      <c r="L2142" t="s">
        <v>6074</v>
      </c>
      <c r="M2142" t="s">
        <v>6963</v>
      </c>
      <c r="N2142" t="s">
        <v>7276</v>
      </c>
      <c r="O2142" t="s">
        <v>7308</v>
      </c>
      <c r="Q2142" t="s">
        <v>7322</v>
      </c>
      <c r="R2142" t="s">
        <v>6076</v>
      </c>
      <c r="S2142" t="s">
        <v>7324</v>
      </c>
      <c r="T2142" t="s">
        <v>7339</v>
      </c>
      <c r="U2142" t="s">
        <v>469</v>
      </c>
      <c r="V2142">
        <v>1050</v>
      </c>
      <c r="W2142" t="s">
        <v>7361</v>
      </c>
      <c r="X2142" t="s">
        <v>7366</v>
      </c>
      <c r="Z2142" t="s">
        <v>9042</v>
      </c>
      <c r="AB2142" t="s">
        <v>11739</v>
      </c>
      <c r="AC2142">
        <v>48</v>
      </c>
      <c r="AD2142" t="s">
        <v>12422</v>
      </c>
      <c r="AE2142" t="s">
        <v>6110</v>
      </c>
      <c r="AF2142">
        <v>3</v>
      </c>
      <c r="AG2142">
        <v>1</v>
      </c>
      <c r="AH2142">
        <v>0</v>
      </c>
      <c r="AI2142">
        <v>145.72</v>
      </c>
      <c r="AL2142" t="s">
        <v>12460</v>
      </c>
      <c r="AM2142">
        <v>18200</v>
      </c>
      <c r="AS2142">
        <v>15.8</v>
      </c>
      <c r="AT2142" t="s">
        <v>564</v>
      </c>
      <c r="AU2142" t="s">
        <v>51</v>
      </c>
    </row>
    <row r="2143" spans="1:48">
      <c r="A2143" s="1">
        <f>HYPERLINK("https://cms.ls-nyc.org/matter/dynamic-profile/view/1895342","19-1895342")</f>
        <v>0</v>
      </c>
      <c r="B2143" t="s">
        <v>98</v>
      </c>
      <c r="C2143" t="s">
        <v>322</v>
      </c>
      <c r="D2143" t="s">
        <v>247</v>
      </c>
      <c r="E2143" t="s">
        <v>1646</v>
      </c>
      <c r="F2143" t="s">
        <v>3154</v>
      </c>
      <c r="G2143" t="s">
        <v>4911</v>
      </c>
      <c r="H2143" t="s">
        <v>5470</v>
      </c>
      <c r="I2143" t="s">
        <v>6047</v>
      </c>
      <c r="J2143">
        <v>10452</v>
      </c>
      <c r="K2143" t="s">
        <v>6074</v>
      </c>
      <c r="L2143" t="s">
        <v>6074</v>
      </c>
      <c r="N2143" t="s">
        <v>7274</v>
      </c>
      <c r="O2143" t="s">
        <v>7306</v>
      </c>
      <c r="P2143" t="s">
        <v>7314</v>
      </c>
      <c r="Q2143" t="s">
        <v>7322</v>
      </c>
      <c r="R2143" t="s">
        <v>6076</v>
      </c>
      <c r="S2143" t="s">
        <v>7324</v>
      </c>
      <c r="T2143" t="s">
        <v>7336</v>
      </c>
      <c r="U2143" t="s">
        <v>322</v>
      </c>
      <c r="V2143">
        <v>1375</v>
      </c>
      <c r="W2143" t="s">
        <v>7363</v>
      </c>
      <c r="X2143" t="s">
        <v>7376</v>
      </c>
      <c r="Y2143" t="s">
        <v>7386</v>
      </c>
      <c r="Z2143" t="s">
        <v>9043</v>
      </c>
      <c r="AB2143" t="s">
        <v>11740</v>
      </c>
      <c r="AC2143">
        <v>0</v>
      </c>
      <c r="AD2143" t="s">
        <v>12422</v>
      </c>
      <c r="AF2143">
        <v>4</v>
      </c>
      <c r="AG2143">
        <v>1</v>
      </c>
      <c r="AH2143">
        <v>0</v>
      </c>
      <c r="AI2143">
        <v>145.72</v>
      </c>
      <c r="AL2143" t="s">
        <v>12461</v>
      </c>
      <c r="AM2143">
        <v>18200</v>
      </c>
      <c r="AN2143" t="s">
        <v>12666</v>
      </c>
      <c r="AS2143">
        <v>1.5</v>
      </c>
      <c r="AT2143" t="s">
        <v>247</v>
      </c>
      <c r="AU2143" t="s">
        <v>98</v>
      </c>
    </row>
    <row r="2144" spans="1:48">
      <c r="A2144" s="1">
        <f>HYPERLINK("https://cms.ls-nyc.org/matter/dynamic-profile/view/1876135","18-1876135")</f>
        <v>0</v>
      </c>
      <c r="B2144" t="s">
        <v>58</v>
      </c>
      <c r="C2144" t="s">
        <v>377</v>
      </c>
      <c r="D2144" t="s">
        <v>465</v>
      </c>
      <c r="E2144" t="s">
        <v>1647</v>
      </c>
      <c r="F2144" t="s">
        <v>3155</v>
      </c>
      <c r="G2144" t="s">
        <v>4912</v>
      </c>
      <c r="H2144" t="s">
        <v>5823</v>
      </c>
      <c r="I2144" t="s">
        <v>6025</v>
      </c>
      <c r="J2144">
        <v>11691</v>
      </c>
      <c r="K2144" t="s">
        <v>6074</v>
      </c>
      <c r="L2144" t="s">
        <v>6074</v>
      </c>
      <c r="M2144" t="s">
        <v>6964</v>
      </c>
      <c r="N2144" t="s">
        <v>7274</v>
      </c>
      <c r="O2144" t="s">
        <v>7306</v>
      </c>
      <c r="P2144" t="s">
        <v>7314</v>
      </c>
      <c r="Q2144" t="s">
        <v>7322</v>
      </c>
      <c r="R2144" t="s">
        <v>6076</v>
      </c>
      <c r="S2144" t="s">
        <v>7324</v>
      </c>
      <c r="T2144" t="s">
        <v>7336</v>
      </c>
      <c r="U2144" t="s">
        <v>377</v>
      </c>
      <c r="V2144">
        <v>550</v>
      </c>
      <c r="W2144" t="s">
        <v>7361</v>
      </c>
      <c r="X2144" t="s">
        <v>7366</v>
      </c>
      <c r="Y2144" t="s">
        <v>7386</v>
      </c>
      <c r="Z2144" t="s">
        <v>9044</v>
      </c>
      <c r="AA2144" t="s">
        <v>6110</v>
      </c>
      <c r="AB2144" t="s">
        <v>11741</v>
      </c>
      <c r="AC2144">
        <v>3</v>
      </c>
      <c r="AD2144" t="s">
        <v>12419</v>
      </c>
      <c r="AE2144" t="s">
        <v>6110</v>
      </c>
      <c r="AF2144">
        <v>4</v>
      </c>
      <c r="AG2144">
        <v>2</v>
      </c>
      <c r="AH2144">
        <v>0</v>
      </c>
      <c r="AI2144">
        <v>145.81</v>
      </c>
      <c r="AL2144" t="s">
        <v>12460</v>
      </c>
      <c r="AM2144">
        <v>24000</v>
      </c>
      <c r="AS2144">
        <v>1</v>
      </c>
      <c r="AT2144" t="s">
        <v>336</v>
      </c>
      <c r="AU2144" t="s">
        <v>48</v>
      </c>
    </row>
    <row r="2145" spans="1:47">
      <c r="A2145" s="1">
        <f>HYPERLINK("https://cms.ls-nyc.org/matter/dynamic-profile/view/1872259","18-1872259")</f>
        <v>0</v>
      </c>
      <c r="B2145" t="s">
        <v>83</v>
      </c>
      <c r="C2145" t="s">
        <v>497</v>
      </c>
      <c r="E2145" t="s">
        <v>1648</v>
      </c>
      <c r="F2145" t="s">
        <v>3156</v>
      </c>
      <c r="G2145" t="s">
        <v>4913</v>
      </c>
      <c r="H2145" t="s">
        <v>5435</v>
      </c>
      <c r="I2145" t="s">
        <v>6043</v>
      </c>
      <c r="J2145">
        <v>11225</v>
      </c>
      <c r="K2145" t="s">
        <v>6074</v>
      </c>
      <c r="L2145" t="s">
        <v>6074</v>
      </c>
      <c r="M2145" t="s">
        <v>6965</v>
      </c>
      <c r="N2145" t="s">
        <v>7274</v>
      </c>
      <c r="O2145" t="s">
        <v>7308</v>
      </c>
      <c r="Q2145" t="s">
        <v>7322</v>
      </c>
      <c r="R2145" t="s">
        <v>6076</v>
      </c>
      <c r="S2145" t="s">
        <v>7324</v>
      </c>
      <c r="T2145" t="s">
        <v>7336</v>
      </c>
      <c r="U2145" t="s">
        <v>497</v>
      </c>
      <c r="V2145">
        <v>1014.09</v>
      </c>
      <c r="W2145" t="s">
        <v>7362</v>
      </c>
      <c r="X2145" t="s">
        <v>7372</v>
      </c>
      <c r="Z2145" t="s">
        <v>9045</v>
      </c>
      <c r="AB2145" t="s">
        <v>11742</v>
      </c>
      <c r="AC2145">
        <v>53</v>
      </c>
      <c r="AD2145" t="s">
        <v>12422</v>
      </c>
      <c r="AE2145" t="s">
        <v>6110</v>
      </c>
      <c r="AF2145">
        <v>38</v>
      </c>
      <c r="AG2145">
        <v>2</v>
      </c>
      <c r="AH2145">
        <v>0</v>
      </c>
      <c r="AI2145">
        <v>145.81</v>
      </c>
      <c r="AK2145" t="s">
        <v>12459</v>
      </c>
      <c r="AL2145" t="s">
        <v>12460</v>
      </c>
      <c r="AM2145">
        <v>24000</v>
      </c>
      <c r="AS2145">
        <v>84.2</v>
      </c>
      <c r="AT2145" t="s">
        <v>324</v>
      </c>
      <c r="AU2145" t="s">
        <v>91</v>
      </c>
    </row>
    <row r="2146" spans="1:47">
      <c r="A2146" s="1">
        <f>HYPERLINK("https://cms.ls-nyc.org/matter/dynamic-profile/view/1887980","19-1887980")</f>
        <v>0</v>
      </c>
      <c r="B2146" t="s">
        <v>212</v>
      </c>
      <c r="C2146" t="s">
        <v>390</v>
      </c>
      <c r="E2146" t="s">
        <v>1649</v>
      </c>
      <c r="F2146" t="s">
        <v>3157</v>
      </c>
      <c r="G2146" t="s">
        <v>4914</v>
      </c>
      <c r="I2146" t="s">
        <v>6043</v>
      </c>
      <c r="J2146">
        <v>11208</v>
      </c>
      <c r="K2146" t="s">
        <v>6074</v>
      </c>
      <c r="L2146" t="s">
        <v>6074</v>
      </c>
      <c r="O2146" t="s">
        <v>7306</v>
      </c>
      <c r="Q2146" t="s">
        <v>7322</v>
      </c>
      <c r="R2146" t="s">
        <v>6076</v>
      </c>
      <c r="S2146" t="s">
        <v>7324</v>
      </c>
      <c r="U2146" t="s">
        <v>410</v>
      </c>
      <c r="V2146">
        <v>1000</v>
      </c>
      <c r="W2146" t="s">
        <v>7362</v>
      </c>
      <c r="Z2146" t="s">
        <v>9046</v>
      </c>
      <c r="AC2146">
        <v>0</v>
      </c>
      <c r="AF2146">
        <v>18</v>
      </c>
      <c r="AG2146">
        <v>2</v>
      </c>
      <c r="AH2146">
        <v>0</v>
      </c>
      <c r="AI2146">
        <v>145.81</v>
      </c>
      <c r="AL2146" t="s">
        <v>12460</v>
      </c>
      <c r="AM2146">
        <v>24000</v>
      </c>
      <c r="AS2146">
        <v>0</v>
      </c>
      <c r="AU2146" t="s">
        <v>88</v>
      </c>
    </row>
    <row r="2147" spans="1:47">
      <c r="A2147" s="1">
        <f>HYPERLINK("https://cms.ls-nyc.org/matter/dynamic-profile/view/1875882","18-1875882")</f>
        <v>0</v>
      </c>
      <c r="B2147" t="s">
        <v>97</v>
      </c>
      <c r="C2147" t="s">
        <v>281</v>
      </c>
      <c r="D2147" t="s">
        <v>389</v>
      </c>
      <c r="E2147" t="s">
        <v>1650</v>
      </c>
      <c r="F2147" t="s">
        <v>3158</v>
      </c>
      <c r="G2147" t="s">
        <v>4915</v>
      </c>
      <c r="H2147" t="s">
        <v>5483</v>
      </c>
      <c r="I2147" t="s">
        <v>6047</v>
      </c>
      <c r="J2147">
        <v>10453</v>
      </c>
      <c r="K2147" t="s">
        <v>6074</v>
      </c>
      <c r="L2147" t="s">
        <v>6074</v>
      </c>
      <c r="N2147" t="s">
        <v>6104</v>
      </c>
      <c r="O2147" t="s">
        <v>7306</v>
      </c>
      <c r="P2147" t="s">
        <v>7314</v>
      </c>
      <c r="Q2147" t="s">
        <v>7322</v>
      </c>
      <c r="R2147" t="s">
        <v>6076</v>
      </c>
      <c r="S2147" t="s">
        <v>7324</v>
      </c>
      <c r="U2147" t="s">
        <v>281</v>
      </c>
      <c r="V2147">
        <v>1275</v>
      </c>
      <c r="W2147" t="s">
        <v>7363</v>
      </c>
      <c r="X2147" t="s">
        <v>7367</v>
      </c>
      <c r="Y2147" t="s">
        <v>7386</v>
      </c>
      <c r="Z2147" t="s">
        <v>9047</v>
      </c>
      <c r="AB2147" t="s">
        <v>11743</v>
      </c>
      <c r="AC2147">
        <v>111</v>
      </c>
      <c r="AD2147" t="s">
        <v>12422</v>
      </c>
      <c r="AE2147" t="s">
        <v>6110</v>
      </c>
      <c r="AF2147">
        <v>17</v>
      </c>
      <c r="AG2147">
        <v>2</v>
      </c>
      <c r="AH2147">
        <v>0</v>
      </c>
      <c r="AI2147">
        <v>145.81</v>
      </c>
      <c r="AL2147" t="s">
        <v>12460</v>
      </c>
      <c r="AM2147">
        <v>24000</v>
      </c>
      <c r="AS2147">
        <v>1.5</v>
      </c>
      <c r="AT2147" t="s">
        <v>389</v>
      </c>
      <c r="AU2147" t="s">
        <v>97</v>
      </c>
    </row>
    <row r="2148" spans="1:47">
      <c r="A2148" s="1">
        <f>HYPERLINK("https://cms.ls-nyc.org/matter/dynamic-profile/view/1884536","18-1884536")</f>
        <v>0</v>
      </c>
      <c r="B2148" t="s">
        <v>103</v>
      </c>
      <c r="C2148" t="s">
        <v>283</v>
      </c>
      <c r="E2148" t="s">
        <v>1209</v>
      </c>
      <c r="F2148" t="s">
        <v>2356</v>
      </c>
      <c r="G2148" t="s">
        <v>3810</v>
      </c>
      <c r="H2148" t="s">
        <v>5824</v>
      </c>
      <c r="I2148" t="s">
        <v>6047</v>
      </c>
      <c r="J2148">
        <v>10451</v>
      </c>
      <c r="K2148" t="s">
        <v>6074</v>
      </c>
      <c r="L2148" t="s">
        <v>6074</v>
      </c>
      <c r="M2148" t="s">
        <v>6201</v>
      </c>
      <c r="N2148" t="s">
        <v>7273</v>
      </c>
      <c r="O2148" t="s">
        <v>7308</v>
      </c>
      <c r="Q2148" t="s">
        <v>7322</v>
      </c>
      <c r="R2148" t="s">
        <v>6074</v>
      </c>
      <c r="S2148" t="s">
        <v>7324</v>
      </c>
      <c r="U2148" t="s">
        <v>472</v>
      </c>
      <c r="V2148">
        <v>1325</v>
      </c>
      <c r="W2148" t="s">
        <v>7363</v>
      </c>
      <c r="X2148" t="s">
        <v>7376</v>
      </c>
      <c r="Z2148" t="s">
        <v>9048</v>
      </c>
      <c r="AC2148">
        <v>100</v>
      </c>
      <c r="AD2148" t="s">
        <v>12425</v>
      </c>
      <c r="AE2148" t="s">
        <v>6110</v>
      </c>
      <c r="AF2148">
        <v>35</v>
      </c>
      <c r="AG2148">
        <v>2</v>
      </c>
      <c r="AH2148">
        <v>0</v>
      </c>
      <c r="AI2148">
        <v>145.81</v>
      </c>
      <c r="AL2148" t="s">
        <v>12461</v>
      </c>
      <c r="AM2148">
        <v>24000</v>
      </c>
      <c r="AN2148" t="s">
        <v>12587</v>
      </c>
      <c r="AS2148">
        <v>0</v>
      </c>
      <c r="AU2148" t="s">
        <v>13095</v>
      </c>
    </row>
    <row r="2149" spans="1:47">
      <c r="A2149" s="1">
        <f>HYPERLINK("https://cms.ls-nyc.org/matter/dynamic-profile/view/1886233","18-1886233")</f>
        <v>0</v>
      </c>
      <c r="B2149" t="s">
        <v>118</v>
      </c>
      <c r="C2149" t="s">
        <v>267</v>
      </c>
      <c r="D2149" t="s">
        <v>370</v>
      </c>
      <c r="E2149" t="s">
        <v>1651</v>
      </c>
      <c r="F2149" t="s">
        <v>2647</v>
      </c>
      <c r="G2149" t="s">
        <v>3817</v>
      </c>
      <c r="H2149" t="s">
        <v>5825</v>
      </c>
      <c r="I2149" t="s">
        <v>6048</v>
      </c>
      <c r="J2149">
        <v>10304</v>
      </c>
      <c r="K2149" t="s">
        <v>6074</v>
      </c>
      <c r="L2149" t="s">
        <v>6074</v>
      </c>
      <c r="N2149" t="s">
        <v>6104</v>
      </c>
      <c r="O2149" t="s">
        <v>7306</v>
      </c>
      <c r="P2149" t="s">
        <v>7314</v>
      </c>
      <c r="Q2149" t="s">
        <v>7322</v>
      </c>
      <c r="S2149" t="s">
        <v>7324</v>
      </c>
      <c r="U2149" t="s">
        <v>267</v>
      </c>
      <c r="V2149">
        <v>860</v>
      </c>
      <c r="W2149" t="s">
        <v>7364</v>
      </c>
      <c r="Y2149" t="s">
        <v>7386</v>
      </c>
      <c r="Z2149" t="s">
        <v>9049</v>
      </c>
      <c r="AB2149" t="s">
        <v>11744</v>
      </c>
      <c r="AC2149">
        <v>50</v>
      </c>
      <c r="AF2149">
        <v>10</v>
      </c>
      <c r="AG2149">
        <v>2</v>
      </c>
      <c r="AH2149">
        <v>0</v>
      </c>
      <c r="AI2149">
        <v>145.81</v>
      </c>
      <c r="AL2149" t="s">
        <v>12460</v>
      </c>
      <c r="AM2149">
        <v>24000</v>
      </c>
      <c r="AS2149">
        <v>1.7</v>
      </c>
      <c r="AT2149" t="s">
        <v>370</v>
      </c>
      <c r="AU2149" t="s">
        <v>13104</v>
      </c>
    </row>
    <row r="2150" spans="1:47">
      <c r="A2150" s="1">
        <f>HYPERLINK("https://cms.ls-nyc.org/matter/dynamic-profile/view/1891897","19-1891897")</f>
        <v>0</v>
      </c>
      <c r="B2150" t="s">
        <v>104</v>
      </c>
      <c r="C2150" t="s">
        <v>329</v>
      </c>
      <c r="E2150" t="s">
        <v>569</v>
      </c>
      <c r="F2150" t="s">
        <v>3159</v>
      </c>
      <c r="G2150" t="s">
        <v>4916</v>
      </c>
      <c r="H2150" t="s">
        <v>5465</v>
      </c>
      <c r="I2150" t="s">
        <v>6047</v>
      </c>
      <c r="J2150">
        <v>10457</v>
      </c>
      <c r="K2150" t="s">
        <v>6074</v>
      </c>
      <c r="L2150" t="s">
        <v>6074</v>
      </c>
      <c r="M2150" t="s">
        <v>6966</v>
      </c>
      <c r="N2150" t="s">
        <v>7276</v>
      </c>
      <c r="O2150" t="s">
        <v>7306</v>
      </c>
      <c r="Q2150" t="s">
        <v>7322</v>
      </c>
      <c r="S2150" t="s">
        <v>7324</v>
      </c>
      <c r="U2150" t="s">
        <v>329</v>
      </c>
      <c r="V2150">
        <v>1213</v>
      </c>
      <c r="W2150" t="s">
        <v>7363</v>
      </c>
      <c r="Z2150" t="s">
        <v>9050</v>
      </c>
      <c r="AB2150" t="s">
        <v>11745</v>
      </c>
      <c r="AC2150">
        <v>0</v>
      </c>
      <c r="AD2150" t="s">
        <v>12422</v>
      </c>
      <c r="AE2150" t="s">
        <v>12437</v>
      </c>
      <c r="AF2150">
        <v>3</v>
      </c>
      <c r="AG2150">
        <v>1</v>
      </c>
      <c r="AH2150">
        <v>0</v>
      </c>
      <c r="AI2150">
        <v>145.84</v>
      </c>
      <c r="AL2150" t="s">
        <v>12460</v>
      </c>
      <c r="AM2150">
        <v>18216</v>
      </c>
      <c r="AS2150">
        <v>1.1</v>
      </c>
      <c r="AT2150" t="s">
        <v>332</v>
      </c>
      <c r="AU2150" t="s">
        <v>13100</v>
      </c>
    </row>
    <row r="2151" spans="1:47">
      <c r="A2151" s="1">
        <f>HYPERLINK("https://cms.ls-nyc.org/matter/dynamic-profile/view/1897690","19-1897690")</f>
        <v>0</v>
      </c>
      <c r="B2151" t="s">
        <v>126</v>
      </c>
      <c r="C2151" t="s">
        <v>263</v>
      </c>
      <c r="E2151" t="s">
        <v>1652</v>
      </c>
      <c r="F2151" t="s">
        <v>3004</v>
      </c>
      <c r="G2151" t="s">
        <v>4479</v>
      </c>
      <c r="H2151" t="s">
        <v>5564</v>
      </c>
      <c r="I2151" t="s">
        <v>6049</v>
      </c>
      <c r="J2151">
        <v>10035</v>
      </c>
      <c r="K2151" t="s">
        <v>6074</v>
      </c>
      <c r="L2151" t="s">
        <v>6074</v>
      </c>
      <c r="N2151" t="s">
        <v>6104</v>
      </c>
      <c r="O2151" t="s">
        <v>7310</v>
      </c>
      <c r="Q2151" t="s">
        <v>7322</v>
      </c>
      <c r="R2151" t="s">
        <v>6074</v>
      </c>
      <c r="S2151" t="s">
        <v>7324</v>
      </c>
      <c r="T2151" t="s">
        <v>7336</v>
      </c>
      <c r="U2151" t="s">
        <v>279</v>
      </c>
      <c r="V2151">
        <v>892</v>
      </c>
      <c r="W2151" t="s">
        <v>7365</v>
      </c>
      <c r="X2151" t="s">
        <v>7378</v>
      </c>
      <c r="Z2151" t="s">
        <v>9051</v>
      </c>
      <c r="AB2151" t="s">
        <v>11746</v>
      </c>
      <c r="AC2151">
        <v>60</v>
      </c>
      <c r="AD2151" t="s">
        <v>12422</v>
      </c>
      <c r="AE2151" t="s">
        <v>12434</v>
      </c>
      <c r="AF2151">
        <v>5</v>
      </c>
      <c r="AG2151">
        <v>2</v>
      </c>
      <c r="AH2151">
        <v>3</v>
      </c>
      <c r="AI2151">
        <v>145.84</v>
      </c>
      <c r="AL2151" t="s">
        <v>12460</v>
      </c>
      <c r="AM2151">
        <v>44000</v>
      </c>
      <c r="AS2151">
        <v>0</v>
      </c>
      <c r="AU2151" t="s">
        <v>13107</v>
      </c>
    </row>
    <row r="2152" spans="1:47">
      <c r="A2152" s="1">
        <f>HYPERLINK("https://cms.ls-nyc.org/matter/dynamic-profile/view/1889777","19-1889777")</f>
        <v>0</v>
      </c>
      <c r="B2152" t="s">
        <v>115</v>
      </c>
      <c r="C2152" t="s">
        <v>286</v>
      </c>
      <c r="E2152" t="s">
        <v>935</v>
      </c>
      <c r="F2152" t="s">
        <v>3160</v>
      </c>
      <c r="G2152" t="s">
        <v>4917</v>
      </c>
      <c r="H2152" t="s">
        <v>5372</v>
      </c>
      <c r="I2152" t="s">
        <v>6047</v>
      </c>
      <c r="J2152">
        <v>10457</v>
      </c>
      <c r="K2152" t="s">
        <v>6074</v>
      </c>
      <c r="L2152" t="s">
        <v>6074</v>
      </c>
      <c r="N2152" t="s">
        <v>7278</v>
      </c>
      <c r="O2152" t="s">
        <v>7307</v>
      </c>
      <c r="Q2152" t="s">
        <v>7322</v>
      </c>
      <c r="R2152" t="s">
        <v>6076</v>
      </c>
      <c r="S2152" t="s">
        <v>7324</v>
      </c>
      <c r="U2152" t="s">
        <v>339</v>
      </c>
      <c r="V2152">
        <v>300</v>
      </c>
      <c r="W2152" t="s">
        <v>7363</v>
      </c>
      <c r="X2152" t="s">
        <v>7376</v>
      </c>
      <c r="Z2152" t="s">
        <v>9052</v>
      </c>
      <c r="AB2152" t="s">
        <v>11747</v>
      </c>
      <c r="AC2152">
        <v>8</v>
      </c>
      <c r="AD2152" t="s">
        <v>12422</v>
      </c>
      <c r="AE2152" t="s">
        <v>12434</v>
      </c>
      <c r="AF2152">
        <v>2</v>
      </c>
      <c r="AG2152">
        <v>3</v>
      </c>
      <c r="AH2152">
        <v>0</v>
      </c>
      <c r="AI2152">
        <v>146.27</v>
      </c>
      <c r="AL2152" t="s">
        <v>12461</v>
      </c>
      <c r="AM2152">
        <v>31200</v>
      </c>
      <c r="AS2152">
        <v>0.5</v>
      </c>
      <c r="AT2152" t="s">
        <v>285</v>
      </c>
      <c r="AU2152" t="s">
        <v>13092</v>
      </c>
    </row>
    <row r="2153" spans="1:47">
      <c r="A2153" s="1">
        <f>HYPERLINK("https://cms.ls-nyc.org/matter/dynamic-profile/view/1880006","18-1880006")</f>
        <v>0</v>
      </c>
      <c r="B2153" t="s">
        <v>76</v>
      </c>
      <c r="C2153" t="s">
        <v>245</v>
      </c>
      <c r="E2153" t="s">
        <v>1653</v>
      </c>
      <c r="F2153" t="s">
        <v>3161</v>
      </c>
      <c r="G2153" t="s">
        <v>4918</v>
      </c>
      <c r="H2153" t="s">
        <v>5489</v>
      </c>
      <c r="I2153" t="s">
        <v>6043</v>
      </c>
      <c r="J2153">
        <v>11212</v>
      </c>
      <c r="K2153" t="s">
        <v>6074</v>
      </c>
      <c r="L2153" t="s">
        <v>6074</v>
      </c>
      <c r="M2153" t="s">
        <v>6967</v>
      </c>
      <c r="N2153" t="s">
        <v>7276</v>
      </c>
      <c r="O2153" t="s">
        <v>7308</v>
      </c>
      <c r="Q2153" t="s">
        <v>7322</v>
      </c>
      <c r="R2153" t="s">
        <v>6076</v>
      </c>
      <c r="S2153" t="s">
        <v>7324</v>
      </c>
      <c r="T2153" t="s">
        <v>7336</v>
      </c>
      <c r="U2153" t="s">
        <v>345</v>
      </c>
      <c r="V2153">
        <v>1550</v>
      </c>
      <c r="W2153" t="s">
        <v>7362</v>
      </c>
      <c r="X2153" t="s">
        <v>7368</v>
      </c>
      <c r="Z2153" t="s">
        <v>9053</v>
      </c>
      <c r="AA2153" t="s">
        <v>9871</v>
      </c>
      <c r="AB2153" t="s">
        <v>11748</v>
      </c>
      <c r="AC2153">
        <v>6</v>
      </c>
      <c r="AD2153" t="s">
        <v>12422</v>
      </c>
      <c r="AE2153" t="s">
        <v>6110</v>
      </c>
      <c r="AF2153">
        <v>2</v>
      </c>
      <c r="AG2153">
        <v>1</v>
      </c>
      <c r="AH2153">
        <v>2</v>
      </c>
      <c r="AI2153">
        <v>146.3</v>
      </c>
      <c r="AL2153" t="s">
        <v>12460</v>
      </c>
      <c r="AM2153">
        <v>30402</v>
      </c>
      <c r="AS2153">
        <v>44.7</v>
      </c>
      <c r="AT2153" t="s">
        <v>260</v>
      </c>
      <c r="AU2153" t="s">
        <v>218</v>
      </c>
    </row>
    <row r="2154" spans="1:47">
      <c r="A2154" s="1">
        <f>HYPERLINK("https://cms.ls-nyc.org/matter/dynamic-profile/view/1891890","19-1891890")</f>
        <v>0</v>
      </c>
      <c r="B2154" t="s">
        <v>134</v>
      </c>
      <c r="C2154" t="s">
        <v>329</v>
      </c>
      <c r="D2154" t="s">
        <v>314</v>
      </c>
      <c r="E2154" t="s">
        <v>1061</v>
      </c>
      <c r="F2154" t="s">
        <v>2189</v>
      </c>
      <c r="G2154" t="s">
        <v>4919</v>
      </c>
      <c r="H2154" t="s">
        <v>5826</v>
      </c>
      <c r="I2154" t="s">
        <v>6049</v>
      </c>
      <c r="J2154">
        <v>10029</v>
      </c>
      <c r="K2154" t="s">
        <v>6074</v>
      </c>
      <c r="L2154" t="s">
        <v>6074</v>
      </c>
      <c r="N2154" t="s">
        <v>6104</v>
      </c>
      <c r="O2154" t="s">
        <v>7307</v>
      </c>
      <c r="P2154" t="s">
        <v>7315</v>
      </c>
      <c r="Q2154" t="s">
        <v>7322</v>
      </c>
      <c r="R2154" t="s">
        <v>6076</v>
      </c>
      <c r="S2154" t="s">
        <v>7324</v>
      </c>
      <c r="T2154" t="s">
        <v>7336</v>
      </c>
      <c r="U2154" t="s">
        <v>359</v>
      </c>
      <c r="V2154">
        <v>351.16</v>
      </c>
      <c r="W2154" t="s">
        <v>7365</v>
      </c>
      <c r="X2154" t="s">
        <v>7374</v>
      </c>
      <c r="Y2154" t="s">
        <v>7386</v>
      </c>
      <c r="Z2154" t="s">
        <v>9054</v>
      </c>
      <c r="AB2154" t="s">
        <v>11749</v>
      </c>
      <c r="AC2154">
        <v>12</v>
      </c>
      <c r="AD2154" t="s">
        <v>12425</v>
      </c>
      <c r="AE2154" t="s">
        <v>6110</v>
      </c>
      <c r="AF2154">
        <v>22</v>
      </c>
      <c r="AG2154">
        <v>1</v>
      </c>
      <c r="AH2154">
        <v>0</v>
      </c>
      <c r="AI2154">
        <v>146.42</v>
      </c>
      <c r="AL2154" t="s">
        <v>12460</v>
      </c>
      <c r="AM2154">
        <v>18288</v>
      </c>
      <c r="AS2154">
        <v>3</v>
      </c>
      <c r="AT2154" t="s">
        <v>314</v>
      </c>
      <c r="AU2154" t="s">
        <v>13096</v>
      </c>
    </row>
    <row r="2155" spans="1:47">
      <c r="A2155" s="1">
        <f>HYPERLINK("https://cms.ls-nyc.org/matter/dynamic-profile/view/1888987","19-1888987")</f>
        <v>0</v>
      </c>
      <c r="B2155" t="s">
        <v>84</v>
      </c>
      <c r="C2155" t="s">
        <v>456</v>
      </c>
      <c r="E2155" t="s">
        <v>1654</v>
      </c>
      <c r="F2155" t="s">
        <v>2329</v>
      </c>
      <c r="G2155" t="s">
        <v>4920</v>
      </c>
      <c r="H2155" t="s">
        <v>5387</v>
      </c>
      <c r="I2155" t="s">
        <v>6043</v>
      </c>
      <c r="J2155">
        <v>11206</v>
      </c>
      <c r="K2155" t="s">
        <v>6074</v>
      </c>
      <c r="L2155" t="s">
        <v>6074</v>
      </c>
      <c r="M2155" t="s">
        <v>6968</v>
      </c>
      <c r="N2155" t="s">
        <v>7276</v>
      </c>
      <c r="O2155" t="s">
        <v>7308</v>
      </c>
      <c r="Q2155" t="s">
        <v>7322</v>
      </c>
      <c r="R2155" t="s">
        <v>6076</v>
      </c>
      <c r="S2155" t="s">
        <v>7324</v>
      </c>
      <c r="U2155" t="s">
        <v>339</v>
      </c>
      <c r="V2155">
        <v>1575</v>
      </c>
      <c r="W2155" t="s">
        <v>7362</v>
      </c>
      <c r="Z2155" t="s">
        <v>9055</v>
      </c>
      <c r="AB2155" t="s">
        <v>11750</v>
      </c>
      <c r="AC2155">
        <v>0</v>
      </c>
      <c r="AF2155">
        <v>5</v>
      </c>
      <c r="AG2155">
        <v>1</v>
      </c>
      <c r="AH2155">
        <v>0</v>
      </c>
      <c r="AI2155">
        <v>146.52</v>
      </c>
      <c r="AL2155" t="s">
        <v>12460</v>
      </c>
      <c r="AM2155">
        <v>18300</v>
      </c>
      <c r="AS2155">
        <v>49.2</v>
      </c>
      <c r="AT2155" t="s">
        <v>381</v>
      </c>
      <c r="AU2155" t="s">
        <v>88</v>
      </c>
    </row>
    <row r="2156" spans="1:47">
      <c r="A2156" s="1">
        <f>HYPERLINK("https://cms.ls-nyc.org/matter/dynamic-profile/view/1878277","18-1878277")</f>
        <v>0</v>
      </c>
      <c r="B2156" t="s">
        <v>96</v>
      </c>
      <c r="C2156" t="s">
        <v>248</v>
      </c>
      <c r="D2156" t="s">
        <v>407</v>
      </c>
      <c r="E2156" t="s">
        <v>1206</v>
      </c>
      <c r="F2156" t="s">
        <v>2318</v>
      </c>
      <c r="G2156" t="s">
        <v>4537</v>
      </c>
      <c r="H2156" t="s">
        <v>5462</v>
      </c>
      <c r="I2156" t="s">
        <v>6047</v>
      </c>
      <c r="J2156">
        <v>10452</v>
      </c>
      <c r="K2156" t="s">
        <v>6074</v>
      </c>
      <c r="L2156" t="s">
        <v>6074</v>
      </c>
      <c r="N2156" t="s">
        <v>7273</v>
      </c>
      <c r="O2156" t="s">
        <v>7306</v>
      </c>
      <c r="P2156" t="s">
        <v>7314</v>
      </c>
      <c r="Q2156" t="s">
        <v>7322</v>
      </c>
      <c r="R2156" t="s">
        <v>6076</v>
      </c>
      <c r="S2156" t="s">
        <v>7324</v>
      </c>
      <c r="U2156" t="s">
        <v>248</v>
      </c>
      <c r="V2156">
        <v>1357</v>
      </c>
      <c r="W2156" t="s">
        <v>7363</v>
      </c>
      <c r="X2156" t="s">
        <v>7368</v>
      </c>
      <c r="Y2156" t="s">
        <v>7386</v>
      </c>
      <c r="Z2156" t="s">
        <v>7851</v>
      </c>
      <c r="AB2156" t="s">
        <v>11751</v>
      </c>
      <c r="AC2156">
        <v>58</v>
      </c>
      <c r="AD2156" t="s">
        <v>12422</v>
      </c>
      <c r="AE2156" t="s">
        <v>12434</v>
      </c>
      <c r="AF2156">
        <v>25</v>
      </c>
      <c r="AG2156">
        <v>1</v>
      </c>
      <c r="AH2156">
        <v>1</v>
      </c>
      <c r="AI2156">
        <v>146.54</v>
      </c>
      <c r="AL2156" t="s">
        <v>12460</v>
      </c>
      <c r="AM2156">
        <v>24120</v>
      </c>
      <c r="AS2156">
        <v>1.1</v>
      </c>
      <c r="AT2156" t="s">
        <v>438</v>
      </c>
      <c r="AU2156" t="s">
        <v>13081</v>
      </c>
    </row>
    <row r="2157" spans="1:47">
      <c r="A2157" s="1">
        <f>HYPERLINK("https://cms.ls-nyc.org/matter/dynamic-profile/view/1876234","18-1876234")</f>
        <v>0</v>
      </c>
      <c r="B2157" t="s">
        <v>130</v>
      </c>
      <c r="C2157" t="s">
        <v>377</v>
      </c>
      <c r="E2157" t="s">
        <v>1655</v>
      </c>
      <c r="F2157" t="s">
        <v>2528</v>
      </c>
      <c r="G2157" t="s">
        <v>3842</v>
      </c>
      <c r="H2157" t="s">
        <v>5455</v>
      </c>
      <c r="I2157" t="s">
        <v>6049</v>
      </c>
      <c r="J2157">
        <v>10033</v>
      </c>
      <c r="K2157" t="s">
        <v>6074</v>
      </c>
      <c r="L2157" t="s">
        <v>6074</v>
      </c>
      <c r="N2157" t="s">
        <v>7273</v>
      </c>
      <c r="O2157" t="s">
        <v>7307</v>
      </c>
      <c r="Q2157" t="s">
        <v>7322</v>
      </c>
      <c r="R2157" t="s">
        <v>6074</v>
      </c>
      <c r="S2157" t="s">
        <v>7324</v>
      </c>
      <c r="U2157" t="s">
        <v>377</v>
      </c>
      <c r="V2157">
        <v>1295.41</v>
      </c>
      <c r="W2157" t="s">
        <v>7365</v>
      </c>
      <c r="X2157" t="s">
        <v>7367</v>
      </c>
      <c r="Z2157" t="s">
        <v>9056</v>
      </c>
      <c r="AB2157" t="s">
        <v>11752</v>
      </c>
      <c r="AC2157">
        <v>232</v>
      </c>
      <c r="AD2157" t="s">
        <v>12422</v>
      </c>
      <c r="AE2157" t="s">
        <v>12441</v>
      </c>
      <c r="AF2157">
        <v>50</v>
      </c>
      <c r="AG2157">
        <v>1</v>
      </c>
      <c r="AH2157">
        <v>0</v>
      </c>
      <c r="AI2157">
        <v>146.59</v>
      </c>
      <c r="AL2157" t="s">
        <v>12460</v>
      </c>
      <c r="AM2157">
        <v>17796</v>
      </c>
      <c r="AS2157">
        <v>1.7</v>
      </c>
      <c r="AT2157" t="s">
        <v>496</v>
      </c>
      <c r="AU2157" t="s">
        <v>13106</v>
      </c>
    </row>
    <row r="2158" spans="1:47">
      <c r="A2158" s="1">
        <f>HYPERLINK("https://cms.ls-nyc.org/matter/dynamic-profile/view/1884060","18-1884060")</f>
        <v>0</v>
      </c>
      <c r="B2158" t="s">
        <v>83</v>
      </c>
      <c r="C2158" t="s">
        <v>412</v>
      </c>
      <c r="E2158" t="s">
        <v>643</v>
      </c>
      <c r="F2158" t="s">
        <v>3162</v>
      </c>
      <c r="G2158" t="s">
        <v>4434</v>
      </c>
      <c r="H2158" t="s">
        <v>5827</v>
      </c>
      <c r="I2158" t="s">
        <v>6043</v>
      </c>
      <c r="J2158">
        <v>11226</v>
      </c>
      <c r="K2158" t="s">
        <v>6074</v>
      </c>
      <c r="L2158" t="s">
        <v>6074</v>
      </c>
      <c r="N2158" t="s">
        <v>6104</v>
      </c>
      <c r="O2158" t="s">
        <v>7307</v>
      </c>
      <c r="Q2158" t="s">
        <v>7322</v>
      </c>
      <c r="R2158" t="s">
        <v>6076</v>
      </c>
      <c r="S2158" t="s">
        <v>7324</v>
      </c>
      <c r="U2158" t="s">
        <v>412</v>
      </c>
      <c r="V2158">
        <v>1822.5</v>
      </c>
      <c r="W2158" t="s">
        <v>7362</v>
      </c>
      <c r="X2158" t="s">
        <v>7376</v>
      </c>
      <c r="Z2158" t="s">
        <v>9057</v>
      </c>
      <c r="AB2158" t="s">
        <v>11753</v>
      </c>
      <c r="AC2158">
        <v>120</v>
      </c>
      <c r="AD2158" t="s">
        <v>12422</v>
      </c>
      <c r="AF2158">
        <v>4</v>
      </c>
      <c r="AG2158">
        <v>2</v>
      </c>
      <c r="AH2158">
        <v>0</v>
      </c>
      <c r="AI2158">
        <v>146.74</v>
      </c>
      <c r="AL2158" t="s">
        <v>12460</v>
      </c>
      <c r="AM2158">
        <v>24154</v>
      </c>
      <c r="AS2158">
        <v>5.2</v>
      </c>
      <c r="AT2158" t="s">
        <v>265</v>
      </c>
      <c r="AU2158" t="s">
        <v>13084</v>
      </c>
    </row>
    <row r="2159" spans="1:47">
      <c r="A2159" s="1">
        <f>HYPERLINK("https://cms.ls-nyc.org/matter/dynamic-profile/view/1895764","19-1895764")</f>
        <v>0</v>
      </c>
      <c r="B2159" t="s">
        <v>117</v>
      </c>
      <c r="C2159" t="s">
        <v>302</v>
      </c>
      <c r="E2159" t="s">
        <v>916</v>
      </c>
      <c r="F2159" t="s">
        <v>3163</v>
      </c>
      <c r="G2159" t="s">
        <v>4921</v>
      </c>
      <c r="H2159" t="s">
        <v>5694</v>
      </c>
      <c r="I2159" t="s">
        <v>6048</v>
      </c>
      <c r="J2159">
        <v>10304</v>
      </c>
      <c r="K2159" t="s">
        <v>6074</v>
      </c>
      <c r="L2159" t="s">
        <v>6074</v>
      </c>
      <c r="M2159" t="s">
        <v>6969</v>
      </c>
      <c r="N2159" t="s">
        <v>7274</v>
      </c>
      <c r="O2159" t="s">
        <v>7308</v>
      </c>
      <c r="Q2159" t="s">
        <v>7322</v>
      </c>
      <c r="R2159" t="s">
        <v>6076</v>
      </c>
      <c r="S2159" t="s">
        <v>7324</v>
      </c>
      <c r="T2159" t="s">
        <v>7336</v>
      </c>
      <c r="U2159" t="s">
        <v>302</v>
      </c>
      <c r="V2159">
        <v>850</v>
      </c>
      <c r="W2159" t="s">
        <v>7364</v>
      </c>
      <c r="X2159" t="s">
        <v>7373</v>
      </c>
      <c r="Z2159" t="s">
        <v>9058</v>
      </c>
      <c r="AB2159" t="s">
        <v>11754</v>
      </c>
      <c r="AC2159">
        <v>4</v>
      </c>
      <c r="AD2159" t="s">
        <v>12419</v>
      </c>
      <c r="AF2159">
        <v>6</v>
      </c>
      <c r="AG2159">
        <v>1</v>
      </c>
      <c r="AH2159">
        <v>0</v>
      </c>
      <c r="AI2159">
        <v>147</v>
      </c>
      <c r="AL2159" t="s">
        <v>12460</v>
      </c>
      <c r="AM2159">
        <v>18360</v>
      </c>
      <c r="AS2159">
        <v>10.25</v>
      </c>
      <c r="AT2159" t="s">
        <v>381</v>
      </c>
      <c r="AU2159" t="s">
        <v>13102</v>
      </c>
    </row>
    <row r="2160" spans="1:47">
      <c r="A2160" s="1">
        <f>HYPERLINK("https://cms.ls-nyc.org/matter/dynamic-profile/view/1890992","19-1890992")</f>
        <v>0</v>
      </c>
      <c r="B2160" t="s">
        <v>97</v>
      </c>
      <c r="C2160" t="s">
        <v>393</v>
      </c>
      <c r="D2160" t="s">
        <v>335</v>
      </c>
      <c r="E2160" t="s">
        <v>1517</v>
      </c>
      <c r="F2160" t="s">
        <v>3164</v>
      </c>
      <c r="G2160" t="s">
        <v>4208</v>
      </c>
      <c r="H2160" t="s">
        <v>5440</v>
      </c>
      <c r="I2160" t="s">
        <v>6047</v>
      </c>
      <c r="J2160">
        <v>10453</v>
      </c>
      <c r="K2160" t="s">
        <v>6074</v>
      </c>
      <c r="L2160" t="s">
        <v>6074</v>
      </c>
      <c r="N2160" t="s">
        <v>6104</v>
      </c>
      <c r="O2160" t="s">
        <v>7306</v>
      </c>
      <c r="P2160" t="s">
        <v>7314</v>
      </c>
      <c r="Q2160" t="s">
        <v>7322</v>
      </c>
      <c r="R2160" t="s">
        <v>6076</v>
      </c>
      <c r="S2160" t="s">
        <v>7324</v>
      </c>
      <c r="U2160" t="s">
        <v>393</v>
      </c>
      <c r="V2160">
        <v>1266.7</v>
      </c>
      <c r="W2160" t="s">
        <v>7363</v>
      </c>
      <c r="X2160" t="s">
        <v>7376</v>
      </c>
      <c r="Y2160" t="s">
        <v>7386</v>
      </c>
      <c r="Z2160" t="s">
        <v>9059</v>
      </c>
      <c r="AB2160" t="s">
        <v>11755</v>
      </c>
      <c r="AC2160">
        <v>111</v>
      </c>
      <c r="AD2160" t="s">
        <v>12422</v>
      </c>
      <c r="AE2160" t="s">
        <v>12433</v>
      </c>
      <c r="AF2160">
        <v>2</v>
      </c>
      <c r="AG2160">
        <v>1</v>
      </c>
      <c r="AH2160">
        <v>0</v>
      </c>
      <c r="AI2160">
        <v>147.48</v>
      </c>
      <c r="AL2160" t="s">
        <v>12460</v>
      </c>
      <c r="AM2160">
        <v>18420</v>
      </c>
      <c r="AS2160">
        <v>2.7</v>
      </c>
      <c r="AT2160" t="s">
        <v>335</v>
      </c>
      <c r="AU2160" t="s">
        <v>97</v>
      </c>
    </row>
    <row r="2161" spans="1:48">
      <c r="A2161" s="1">
        <f>HYPERLINK("https://cms.ls-nyc.org/matter/dynamic-profile/view/1877924","18-1877924")</f>
        <v>0</v>
      </c>
      <c r="B2161" t="s">
        <v>128</v>
      </c>
      <c r="C2161" t="s">
        <v>432</v>
      </c>
      <c r="D2161" t="s">
        <v>344</v>
      </c>
      <c r="E2161" t="s">
        <v>1163</v>
      </c>
      <c r="F2161" t="s">
        <v>3165</v>
      </c>
      <c r="G2161" t="s">
        <v>3838</v>
      </c>
      <c r="H2161" t="s">
        <v>5529</v>
      </c>
      <c r="I2161" t="s">
        <v>6049</v>
      </c>
      <c r="J2161">
        <v>10034</v>
      </c>
      <c r="K2161" t="s">
        <v>6074</v>
      </c>
      <c r="L2161" t="s">
        <v>6074</v>
      </c>
      <c r="N2161" t="s">
        <v>7283</v>
      </c>
      <c r="O2161" t="s">
        <v>7307</v>
      </c>
      <c r="P2161" t="s">
        <v>7315</v>
      </c>
      <c r="Q2161" t="s">
        <v>7322</v>
      </c>
      <c r="R2161" t="s">
        <v>6076</v>
      </c>
      <c r="S2161" t="s">
        <v>7324</v>
      </c>
      <c r="U2161" t="s">
        <v>432</v>
      </c>
      <c r="V2161">
        <v>774.26</v>
      </c>
      <c r="W2161" t="s">
        <v>7365</v>
      </c>
      <c r="X2161" t="s">
        <v>7368</v>
      </c>
      <c r="Y2161" t="s">
        <v>7387</v>
      </c>
      <c r="Z2161" t="s">
        <v>9060</v>
      </c>
      <c r="AB2161" t="s">
        <v>11756</v>
      </c>
      <c r="AC2161">
        <v>67</v>
      </c>
      <c r="AD2161" t="s">
        <v>12422</v>
      </c>
      <c r="AE2161" t="s">
        <v>12441</v>
      </c>
      <c r="AF2161">
        <v>39</v>
      </c>
      <c r="AG2161">
        <v>3</v>
      </c>
      <c r="AH2161">
        <v>1</v>
      </c>
      <c r="AI2161">
        <v>147.58</v>
      </c>
      <c r="AL2161" t="s">
        <v>12461</v>
      </c>
      <c r="AM2161">
        <v>37042</v>
      </c>
      <c r="AS2161">
        <v>1.9</v>
      </c>
      <c r="AT2161" t="s">
        <v>291</v>
      </c>
      <c r="AU2161" t="s">
        <v>13106</v>
      </c>
    </row>
    <row r="2162" spans="1:48">
      <c r="A2162" s="1">
        <f>HYPERLINK("https://cms.ls-nyc.org/matter/dynamic-profile/view/1891966","19-1891966")</f>
        <v>0</v>
      </c>
      <c r="B2162" t="s">
        <v>54</v>
      </c>
      <c r="C2162" t="s">
        <v>329</v>
      </c>
      <c r="E2162" t="s">
        <v>1656</v>
      </c>
      <c r="F2162" t="s">
        <v>2199</v>
      </c>
      <c r="G2162" t="s">
        <v>4922</v>
      </c>
      <c r="H2162" t="s">
        <v>5828</v>
      </c>
      <c r="I2162" t="s">
        <v>6025</v>
      </c>
      <c r="J2162">
        <v>11691</v>
      </c>
      <c r="K2162" t="s">
        <v>6074</v>
      </c>
      <c r="L2162" t="s">
        <v>6074</v>
      </c>
      <c r="M2162" t="s">
        <v>6970</v>
      </c>
      <c r="N2162" t="s">
        <v>7274</v>
      </c>
      <c r="O2162" t="s">
        <v>7308</v>
      </c>
      <c r="Q2162" t="s">
        <v>7322</v>
      </c>
      <c r="R2162" t="s">
        <v>6076</v>
      </c>
      <c r="S2162" t="s">
        <v>7324</v>
      </c>
      <c r="T2162" t="s">
        <v>7336</v>
      </c>
      <c r="U2162" t="s">
        <v>361</v>
      </c>
      <c r="V2162">
        <v>1900</v>
      </c>
      <c r="W2162" t="s">
        <v>7361</v>
      </c>
      <c r="X2162" t="s">
        <v>7366</v>
      </c>
      <c r="Z2162" t="s">
        <v>8842</v>
      </c>
      <c r="AB2162" t="s">
        <v>11757</v>
      </c>
      <c r="AC2162">
        <v>200</v>
      </c>
      <c r="AD2162" t="s">
        <v>6322</v>
      </c>
      <c r="AE2162" t="s">
        <v>6110</v>
      </c>
      <c r="AF2162">
        <v>2</v>
      </c>
      <c r="AG2162">
        <v>1</v>
      </c>
      <c r="AH2162">
        <v>1</v>
      </c>
      <c r="AI2162">
        <v>147.84</v>
      </c>
      <c r="AL2162" t="s">
        <v>12460</v>
      </c>
      <c r="AM2162">
        <v>25000</v>
      </c>
      <c r="AO2162" t="s">
        <v>12845</v>
      </c>
      <c r="AS2162">
        <v>29.75</v>
      </c>
      <c r="AT2162" t="s">
        <v>564</v>
      </c>
      <c r="AU2162" t="s">
        <v>189</v>
      </c>
    </row>
    <row r="2163" spans="1:48">
      <c r="A2163" s="1">
        <f>HYPERLINK("https://cms.ls-nyc.org/matter/dynamic-profile/view/1899599","19-1899599")</f>
        <v>0</v>
      </c>
      <c r="B2163" t="s">
        <v>68</v>
      </c>
      <c r="C2163" t="s">
        <v>446</v>
      </c>
      <c r="E2163" t="s">
        <v>1657</v>
      </c>
      <c r="F2163" t="s">
        <v>3166</v>
      </c>
      <c r="G2163" t="s">
        <v>4923</v>
      </c>
      <c r="H2163" t="s">
        <v>5347</v>
      </c>
      <c r="I2163" t="s">
        <v>6043</v>
      </c>
      <c r="J2163">
        <v>11207</v>
      </c>
      <c r="K2163" t="s">
        <v>6074</v>
      </c>
      <c r="L2163" t="s">
        <v>6075</v>
      </c>
      <c r="M2163" t="s">
        <v>6971</v>
      </c>
      <c r="N2163" t="s">
        <v>7274</v>
      </c>
      <c r="Q2163" t="s">
        <v>7322</v>
      </c>
      <c r="R2163" t="s">
        <v>6076</v>
      </c>
      <c r="S2163" t="s">
        <v>7324</v>
      </c>
      <c r="U2163" t="s">
        <v>496</v>
      </c>
      <c r="V2163">
        <v>600</v>
      </c>
      <c r="W2163" t="s">
        <v>7362</v>
      </c>
      <c r="Z2163" t="s">
        <v>9061</v>
      </c>
      <c r="AB2163" t="s">
        <v>11758</v>
      </c>
      <c r="AC2163">
        <v>2</v>
      </c>
      <c r="AD2163" t="s">
        <v>12419</v>
      </c>
      <c r="AE2163" t="s">
        <v>7305</v>
      </c>
      <c r="AF2163">
        <v>10</v>
      </c>
      <c r="AG2163">
        <v>1</v>
      </c>
      <c r="AH2163">
        <v>1</v>
      </c>
      <c r="AI2163">
        <v>147.84</v>
      </c>
      <c r="AL2163" t="s">
        <v>12460</v>
      </c>
      <c r="AM2163">
        <v>25000</v>
      </c>
      <c r="AS2163">
        <v>1.3</v>
      </c>
      <c r="AT2163" t="s">
        <v>496</v>
      </c>
      <c r="AU2163" t="s">
        <v>180</v>
      </c>
      <c r="AV2163" t="s">
        <v>13145</v>
      </c>
    </row>
    <row r="2164" spans="1:48">
      <c r="A2164" s="1">
        <f>HYPERLINK("https://cms.ls-nyc.org/matter/dynamic-profile/view/1899912","19-1899912")</f>
        <v>0</v>
      </c>
      <c r="B2164" t="s">
        <v>90</v>
      </c>
      <c r="C2164" t="s">
        <v>317</v>
      </c>
      <c r="E2164" t="s">
        <v>1517</v>
      </c>
      <c r="F2164" t="s">
        <v>2515</v>
      </c>
      <c r="G2164" t="s">
        <v>4354</v>
      </c>
      <c r="H2164" t="s">
        <v>5418</v>
      </c>
      <c r="I2164" t="s">
        <v>6043</v>
      </c>
      <c r="J2164">
        <v>11221</v>
      </c>
      <c r="K2164" t="s">
        <v>6074</v>
      </c>
      <c r="L2164" t="s">
        <v>6075</v>
      </c>
      <c r="M2164" t="s">
        <v>6972</v>
      </c>
      <c r="N2164" t="s">
        <v>7276</v>
      </c>
      <c r="O2164" t="s">
        <v>7308</v>
      </c>
      <c r="Q2164" t="s">
        <v>7322</v>
      </c>
      <c r="R2164" t="s">
        <v>6074</v>
      </c>
      <c r="S2164" t="s">
        <v>7324</v>
      </c>
      <c r="U2164" t="s">
        <v>316</v>
      </c>
      <c r="V2164">
        <v>1091.82</v>
      </c>
      <c r="W2164" t="s">
        <v>7362</v>
      </c>
      <c r="X2164" t="s">
        <v>7376</v>
      </c>
      <c r="Z2164" t="s">
        <v>9062</v>
      </c>
      <c r="AB2164" t="s">
        <v>11759</v>
      </c>
      <c r="AC2164">
        <v>12</v>
      </c>
      <c r="AD2164" t="s">
        <v>12422</v>
      </c>
      <c r="AE2164" t="s">
        <v>12434</v>
      </c>
      <c r="AF2164">
        <v>12</v>
      </c>
      <c r="AG2164">
        <v>1</v>
      </c>
      <c r="AH2164">
        <v>0</v>
      </c>
      <c r="AI2164">
        <v>147.93</v>
      </c>
      <c r="AL2164" t="s">
        <v>12460</v>
      </c>
      <c r="AM2164">
        <v>18476.9</v>
      </c>
      <c r="AS2164">
        <v>2</v>
      </c>
      <c r="AT2164" t="s">
        <v>257</v>
      </c>
      <c r="AU2164" t="s">
        <v>180</v>
      </c>
      <c r="AV2164" t="s">
        <v>13145</v>
      </c>
    </row>
    <row r="2165" spans="1:48">
      <c r="A2165" s="1">
        <f>HYPERLINK("https://cms.ls-nyc.org/matter/dynamic-profile/view/1895338","19-1895338")</f>
        <v>0</v>
      </c>
      <c r="B2165" t="s">
        <v>90</v>
      </c>
      <c r="C2165" t="s">
        <v>247</v>
      </c>
      <c r="E2165" t="s">
        <v>1517</v>
      </c>
      <c r="F2165" t="s">
        <v>2515</v>
      </c>
      <c r="G2165" t="s">
        <v>4354</v>
      </c>
      <c r="H2165" t="s">
        <v>5418</v>
      </c>
      <c r="I2165" t="s">
        <v>6043</v>
      </c>
      <c r="J2165">
        <v>11221</v>
      </c>
      <c r="K2165" t="s">
        <v>6076</v>
      </c>
      <c r="L2165" t="s">
        <v>6076</v>
      </c>
      <c r="N2165" t="s">
        <v>7287</v>
      </c>
      <c r="O2165" t="s">
        <v>7308</v>
      </c>
      <c r="Q2165" t="s">
        <v>7322</v>
      </c>
      <c r="R2165" t="s">
        <v>6074</v>
      </c>
      <c r="S2165" t="s">
        <v>7324</v>
      </c>
      <c r="U2165" t="s">
        <v>247</v>
      </c>
      <c r="V2165">
        <v>1091.82</v>
      </c>
      <c r="W2165" t="s">
        <v>7362</v>
      </c>
      <c r="X2165" t="s">
        <v>7376</v>
      </c>
      <c r="Z2165" t="s">
        <v>9062</v>
      </c>
      <c r="AA2165" t="s">
        <v>9871</v>
      </c>
      <c r="AB2165" t="s">
        <v>11759</v>
      </c>
      <c r="AC2165">
        <v>12</v>
      </c>
      <c r="AD2165" t="s">
        <v>12422</v>
      </c>
      <c r="AE2165" t="s">
        <v>12434</v>
      </c>
      <c r="AF2165">
        <v>12</v>
      </c>
      <c r="AG2165">
        <v>1</v>
      </c>
      <c r="AH2165">
        <v>0</v>
      </c>
      <c r="AI2165">
        <v>147.93</v>
      </c>
      <c r="AL2165" t="s">
        <v>12460</v>
      </c>
      <c r="AM2165">
        <v>18476.9</v>
      </c>
      <c r="AS2165">
        <v>8.6</v>
      </c>
      <c r="AT2165" t="s">
        <v>381</v>
      </c>
      <c r="AU2165" t="s">
        <v>218</v>
      </c>
    </row>
    <row r="2166" spans="1:48">
      <c r="A2166" s="1">
        <f>HYPERLINK("https://cms.ls-nyc.org/matter/dynamic-profile/view/1881291","18-1881291")</f>
        <v>0</v>
      </c>
      <c r="B2166" t="s">
        <v>52</v>
      </c>
      <c r="C2166" t="s">
        <v>240</v>
      </c>
      <c r="D2166" t="s">
        <v>361</v>
      </c>
      <c r="E2166" t="s">
        <v>828</v>
      </c>
      <c r="F2166" t="s">
        <v>3167</v>
      </c>
      <c r="G2166" t="s">
        <v>4924</v>
      </c>
      <c r="I2166" t="s">
        <v>6069</v>
      </c>
      <c r="J2166">
        <v>11356</v>
      </c>
      <c r="K2166" t="s">
        <v>6074</v>
      </c>
      <c r="L2166" t="s">
        <v>6074</v>
      </c>
      <c r="M2166" t="s">
        <v>6973</v>
      </c>
      <c r="N2166" t="s">
        <v>7274</v>
      </c>
      <c r="O2166" t="s">
        <v>7308</v>
      </c>
      <c r="P2166" t="s">
        <v>7316</v>
      </c>
      <c r="Q2166" t="s">
        <v>7322</v>
      </c>
      <c r="R2166" t="s">
        <v>6076</v>
      </c>
      <c r="S2166" t="s">
        <v>7324</v>
      </c>
      <c r="T2166" t="s">
        <v>7336</v>
      </c>
      <c r="U2166" t="s">
        <v>240</v>
      </c>
      <c r="V2166">
        <v>1100</v>
      </c>
      <c r="W2166" t="s">
        <v>7361</v>
      </c>
      <c r="X2166" t="s">
        <v>7366</v>
      </c>
      <c r="Y2166" t="s">
        <v>7388</v>
      </c>
      <c r="Z2166" t="s">
        <v>9063</v>
      </c>
      <c r="AA2166" t="s">
        <v>9856</v>
      </c>
      <c r="AB2166" t="s">
        <v>11760</v>
      </c>
      <c r="AC2166">
        <v>2</v>
      </c>
      <c r="AD2166" t="s">
        <v>12419</v>
      </c>
      <c r="AE2166" t="s">
        <v>6110</v>
      </c>
      <c r="AF2166">
        <v>6</v>
      </c>
      <c r="AG2166">
        <v>1</v>
      </c>
      <c r="AH2166">
        <v>0</v>
      </c>
      <c r="AI2166">
        <v>148.27</v>
      </c>
      <c r="AL2166" t="s">
        <v>12460</v>
      </c>
      <c r="AM2166">
        <v>18000</v>
      </c>
      <c r="AO2166" t="s">
        <v>12846</v>
      </c>
      <c r="AP2166" t="s">
        <v>7305</v>
      </c>
      <c r="AQ2166" t="s">
        <v>12910</v>
      </c>
      <c r="AR2166" t="s">
        <v>13004</v>
      </c>
      <c r="AS2166">
        <v>16.45</v>
      </c>
      <c r="AT2166" t="s">
        <v>337</v>
      </c>
      <c r="AU2166" t="s">
        <v>51</v>
      </c>
    </row>
    <row r="2167" spans="1:48">
      <c r="A2167" s="1">
        <f>HYPERLINK("https://cms.ls-nyc.org/matter/dynamic-profile/view/1875437","18-1875437")</f>
        <v>0</v>
      </c>
      <c r="B2167" t="s">
        <v>75</v>
      </c>
      <c r="C2167" t="s">
        <v>521</v>
      </c>
      <c r="D2167" t="s">
        <v>329</v>
      </c>
      <c r="E2167" t="s">
        <v>1658</v>
      </c>
      <c r="F2167" t="s">
        <v>2116</v>
      </c>
      <c r="G2167" t="s">
        <v>4925</v>
      </c>
      <c r="H2167">
        <v>5</v>
      </c>
      <c r="I2167" t="s">
        <v>6043</v>
      </c>
      <c r="J2167">
        <v>11218</v>
      </c>
      <c r="K2167" t="s">
        <v>6074</v>
      </c>
      <c r="L2167" t="s">
        <v>6074</v>
      </c>
      <c r="M2167" t="s">
        <v>6974</v>
      </c>
      <c r="N2167" t="s">
        <v>7276</v>
      </c>
      <c r="O2167" t="s">
        <v>7308</v>
      </c>
      <c r="P2167" t="s">
        <v>7316</v>
      </c>
      <c r="Q2167" t="s">
        <v>7322</v>
      </c>
      <c r="R2167" t="s">
        <v>6076</v>
      </c>
      <c r="S2167" t="s">
        <v>7324</v>
      </c>
      <c r="U2167" t="s">
        <v>7343</v>
      </c>
      <c r="V2167">
        <v>1230</v>
      </c>
      <c r="W2167" t="s">
        <v>7362</v>
      </c>
      <c r="X2167" t="s">
        <v>7371</v>
      </c>
      <c r="Y2167" t="s">
        <v>7390</v>
      </c>
      <c r="Z2167" t="s">
        <v>9064</v>
      </c>
      <c r="AC2167">
        <v>6</v>
      </c>
      <c r="AD2167" t="s">
        <v>12422</v>
      </c>
      <c r="AF2167">
        <v>8</v>
      </c>
      <c r="AG2167">
        <v>1</v>
      </c>
      <c r="AH2167">
        <v>0</v>
      </c>
      <c r="AI2167">
        <v>148.27</v>
      </c>
      <c r="AL2167" t="s">
        <v>12462</v>
      </c>
      <c r="AM2167">
        <v>18000</v>
      </c>
      <c r="AO2167" t="s">
        <v>12856</v>
      </c>
      <c r="AP2167" t="s">
        <v>7305</v>
      </c>
      <c r="AQ2167" t="s">
        <v>12910</v>
      </c>
      <c r="AR2167" t="s">
        <v>12937</v>
      </c>
      <c r="AS2167">
        <v>10.3</v>
      </c>
      <c r="AT2167" t="s">
        <v>492</v>
      </c>
      <c r="AU2167" t="s">
        <v>160</v>
      </c>
    </row>
    <row r="2168" spans="1:48">
      <c r="A2168" s="1">
        <f>HYPERLINK("https://cms.ls-nyc.org/matter/dynamic-profile/view/1880387","18-1880387")</f>
        <v>0</v>
      </c>
      <c r="B2168" t="s">
        <v>213</v>
      </c>
      <c r="C2168" t="s">
        <v>354</v>
      </c>
      <c r="D2168" t="s">
        <v>344</v>
      </c>
      <c r="E2168" t="s">
        <v>1659</v>
      </c>
      <c r="F2168" t="s">
        <v>3168</v>
      </c>
      <c r="G2168" t="s">
        <v>4926</v>
      </c>
      <c r="H2168" t="s">
        <v>5382</v>
      </c>
      <c r="I2168" t="s">
        <v>6043</v>
      </c>
      <c r="J2168">
        <v>11217</v>
      </c>
      <c r="K2168" t="s">
        <v>6074</v>
      </c>
      <c r="L2168" t="s">
        <v>6074</v>
      </c>
      <c r="M2168" t="s">
        <v>6975</v>
      </c>
      <c r="N2168" t="s">
        <v>7274</v>
      </c>
      <c r="O2168" t="s">
        <v>7306</v>
      </c>
      <c r="P2168" t="s">
        <v>7314</v>
      </c>
      <c r="Q2168" t="s">
        <v>7322</v>
      </c>
      <c r="S2168" t="s">
        <v>7324</v>
      </c>
      <c r="U2168" t="s">
        <v>344</v>
      </c>
      <c r="V2168">
        <v>1400</v>
      </c>
      <c r="W2168" t="s">
        <v>7362</v>
      </c>
      <c r="X2168" t="s">
        <v>7366</v>
      </c>
      <c r="Y2168" t="s">
        <v>7386</v>
      </c>
      <c r="Z2168" t="s">
        <v>9065</v>
      </c>
      <c r="AB2168" t="s">
        <v>11761</v>
      </c>
      <c r="AC2168">
        <v>20</v>
      </c>
      <c r="AE2168" t="s">
        <v>6110</v>
      </c>
      <c r="AF2168">
        <v>2</v>
      </c>
      <c r="AG2168">
        <v>1</v>
      </c>
      <c r="AH2168">
        <v>0</v>
      </c>
      <c r="AI2168">
        <v>148.27</v>
      </c>
      <c r="AL2168" t="s">
        <v>12460</v>
      </c>
      <c r="AM2168">
        <v>18000</v>
      </c>
      <c r="AS2168">
        <v>3.2</v>
      </c>
      <c r="AT2168" t="s">
        <v>307</v>
      </c>
      <c r="AU2168" t="s">
        <v>13082</v>
      </c>
    </row>
    <row r="2169" spans="1:48">
      <c r="A2169" s="1">
        <f>HYPERLINK("https://cms.ls-nyc.org/matter/dynamic-profile/view/1885281","18-1885281")</f>
        <v>0</v>
      </c>
      <c r="B2169" t="s">
        <v>69</v>
      </c>
      <c r="C2169" t="s">
        <v>341</v>
      </c>
      <c r="D2169" t="s">
        <v>375</v>
      </c>
      <c r="E2169" t="s">
        <v>1660</v>
      </c>
      <c r="F2169" t="s">
        <v>3169</v>
      </c>
      <c r="G2169" t="s">
        <v>3757</v>
      </c>
      <c r="H2169" t="s">
        <v>5829</v>
      </c>
      <c r="I2169" t="s">
        <v>6043</v>
      </c>
      <c r="J2169">
        <v>11206</v>
      </c>
      <c r="K2169" t="s">
        <v>6075</v>
      </c>
      <c r="L2169" t="s">
        <v>6075</v>
      </c>
      <c r="M2169" t="s">
        <v>6976</v>
      </c>
      <c r="P2169" t="s">
        <v>7314</v>
      </c>
      <c r="Q2169" t="s">
        <v>7322</v>
      </c>
      <c r="S2169" t="s">
        <v>7324</v>
      </c>
      <c r="U2169" t="s">
        <v>341</v>
      </c>
      <c r="V2169">
        <v>0</v>
      </c>
      <c r="W2169" t="s">
        <v>7362</v>
      </c>
      <c r="Y2169" t="s">
        <v>7386</v>
      </c>
      <c r="Z2169" t="s">
        <v>9066</v>
      </c>
      <c r="AB2169" t="s">
        <v>11762</v>
      </c>
      <c r="AC2169">
        <v>0</v>
      </c>
      <c r="AF2169">
        <v>0</v>
      </c>
      <c r="AG2169">
        <v>1</v>
      </c>
      <c r="AH2169">
        <v>0</v>
      </c>
      <c r="AI2169">
        <v>148.27</v>
      </c>
      <c r="AL2169" t="s">
        <v>12460</v>
      </c>
      <c r="AM2169">
        <v>18000</v>
      </c>
      <c r="AS2169">
        <v>3.2</v>
      </c>
      <c r="AT2169" t="s">
        <v>375</v>
      </c>
      <c r="AU2169" t="s">
        <v>69</v>
      </c>
    </row>
    <row r="2170" spans="1:48">
      <c r="A2170" s="1">
        <f>HYPERLINK("https://cms.ls-nyc.org/matter/dynamic-profile/view/1885569","18-1885569")</f>
        <v>0</v>
      </c>
      <c r="B2170" t="s">
        <v>102</v>
      </c>
      <c r="C2170" t="s">
        <v>522</v>
      </c>
      <c r="E2170" t="s">
        <v>1578</v>
      </c>
      <c r="F2170" t="s">
        <v>3170</v>
      </c>
      <c r="G2170" t="s">
        <v>3779</v>
      </c>
      <c r="H2170" t="s">
        <v>5830</v>
      </c>
      <c r="I2170" t="s">
        <v>6047</v>
      </c>
      <c r="J2170">
        <v>10460</v>
      </c>
      <c r="K2170" t="s">
        <v>6074</v>
      </c>
      <c r="L2170" t="s">
        <v>6074</v>
      </c>
      <c r="M2170" t="s">
        <v>6182</v>
      </c>
      <c r="N2170" t="s">
        <v>7273</v>
      </c>
      <c r="O2170" t="s">
        <v>7308</v>
      </c>
      <c r="Q2170" t="s">
        <v>7322</v>
      </c>
      <c r="R2170" t="s">
        <v>6074</v>
      </c>
      <c r="S2170" t="s">
        <v>7324</v>
      </c>
      <c r="U2170" t="s">
        <v>457</v>
      </c>
      <c r="V2170">
        <v>500</v>
      </c>
      <c r="W2170" t="s">
        <v>7363</v>
      </c>
      <c r="X2170" t="s">
        <v>7376</v>
      </c>
      <c r="Z2170" t="s">
        <v>8341</v>
      </c>
      <c r="AB2170" t="s">
        <v>11763</v>
      </c>
      <c r="AC2170">
        <v>168</v>
      </c>
      <c r="AD2170" t="s">
        <v>6322</v>
      </c>
      <c r="AE2170" t="s">
        <v>12434</v>
      </c>
      <c r="AF2170">
        <v>5</v>
      </c>
      <c r="AG2170">
        <v>1</v>
      </c>
      <c r="AH2170">
        <v>0</v>
      </c>
      <c r="AI2170">
        <v>148.27</v>
      </c>
      <c r="AL2170" t="s">
        <v>12460</v>
      </c>
      <c r="AM2170">
        <v>18000</v>
      </c>
      <c r="AS2170">
        <v>0</v>
      </c>
      <c r="AU2170" t="s">
        <v>13095</v>
      </c>
      <c r="AV2170" t="s">
        <v>13145</v>
      </c>
    </row>
    <row r="2171" spans="1:48">
      <c r="A2171" s="1">
        <f>HYPERLINK("https://cms.ls-nyc.org/matter/dynamic-profile/view/1882686","18-1882686")</f>
        <v>0</v>
      </c>
      <c r="B2171" t="s">
        <v>98</v>
      </c>
      <c r="C2171" t="s">
        <v>296</v>
      </c>
      <c r="E2171" t="s">
        <v>1661</v>
      </c>
      <c r="F2171" t="s">
        <v>3171</v>
      </c>
      <c r="G2171" t="s">
        <v>3786</v>
      </c>
      <c r="H2171" t="s">
        <v>5598</v>
      </c>
      <c r="I2171" t="s">
        <v>6047</v>
      </c>
      <c r="J2171">
        <v>10457</v>
      </c>
      <c r="K2171" t="s">
        <v>6074</v>
      </c>
      <c r="L2171" t="s">
        <v>6074</v>
      </c>
      <c r="M2171" t="s">
        <v>6187</v>
      </c>
      <c r="N2171" t="s">
        <v>7279</v>
      </c>
      <c r="O2171" t="s">
        <v>7311</v>
      </c>
      <c r="Q2171" t="s">
        <v>7322</v>
      </c>
      <c r="R2171" t="s">
        <v>6074</v>
      </c>
      <c r="S2171" t="s">
        <v>7324</v>
      </c>
      <c r="U2171" t="s">
        <v>472</v>
      </c>
      <c r="V2171">
        <v>847</v>
      </c>
      <c r="W2171" t="s">
        <v>7363</v>
      </c>
      <c r="X2171" t="s">
        <v>7376</v>
      </c>
      <c r="Z2171" t="s">
        <v>9067</v>
      </c>
      <c r="AB2171" t="s">
        <v>11764</v>
      </c>
      <c r="AC2171">
        <v>47</v>
      </c>
      <c r="AD2171" t="s">
        <v>12422</v>
      </c>
      <c r="AE2171" t="s">
        <v>6110</v>
      </c>
      <c r="AF2171">
        <v>30</v>
      </c>
      <c r="AG2171">
        <v>1</v>
      </c>
      <c r="AH2171">
        <v>0</v>
      </c>
      <c r="AI2171">
        <v>148.27</v>
      </c>
      <c r="AL2171" t="s">
        <v>12460</v>
      </c>
      <c r="AM2171">
        <v>18000</v>
      </c>
      <c r="AS2171">
        <v>0.8</v>
      </c>
      <c r="AT2171" t="s">
        <v>452</v>
      </c>
      <c r="AU2171" t="s">
        <v>13092</v>
      </c>
    </row>
    <row r="2172" spans="1:48">
      <c r="A2172" s="1">
        <f>HYPERLINK("https://cms.ls-nyc.org/matter/dynamic-profile/view/1882685","18-1882685")</f>
        <v>0</v>
      </c>
      <c r="B2172" t="s">
        <v>98</v>
      </c>
      <c r="C2172" t="s">
        <v>296</v>
      </c>
      <c r="E2172" t="s">
        <v>1661</v>
      </c>
      <c r="F2172" t="s">
        <v>3171</v>
      </c>
      <c r="G2172" t="s">
        <v>3786</v>
      </c>
      <c r="H2172" t="s">
        <v>5598</v>
      </c>
      <c r="I2172" t="s">
        <v>6047</v>
      </c>
      <c r="J2172">
        <v>10457</v>
      </c>
      <c r="K2172" t="s">
        <v>6074</v>
      </c>
      <c r="L2172" t="s">
        <v>6074</v>
      </c>
      <c r="M2172" t="s">
        <v>6191</v>
      </c>
      <c r="N2172" t="s">
        <v>7273</v>
      </c>
      <c r="O2172" t="s">
        <v>7308</v>
      </c>
      <c r="Q2172" t="s">
        <v>7322</v>
      </c>
      <c r="R2172" t="s">
        <v>6074</v>
      </c>
      <c r="S2172" t="s">
        <v>7324</v>
      </c>
      <c r="U2172" t="s">
        <v>472</v>
      </c>
      <c r="V2172">
        <v>847</v>
      </c>
      <c r="W2172" t="s">
        <v>7363</v>
      </c>
      <c r="X2172" t="s">
        <v>7376</v>
      </c>
      <c r="Z2172" t="s">
        <v>9067</v>
      </c>
      <c r="AB2172" t="s">
        <v>11764</v>
      </c>
      <c r="AC2172">
        <v>47</v>
      </c>
      <c r="AD2172" t="s">
        <v>12422</v>
      </c>
      <c r="AE2172" t="s">
        <v>6110</v>
      </c>
      <c r="AF2172">
        <v>30</v>
      </c>
      <c r="AG2172">
        <v>1</v>
      </c>
      <c r="AH2172">
        <v>0</v>
      </c>
      <c r="AI2172">
        <v>148.27</v>
      </c>
      <c r="AL2172" t="s">
        <v>12460</v>
      </c>
      <c r="AM2172">
        <v>18000</v>
      </c>
      <c r="AS2172">
        <v>1</v>
      </c>
      <c r="AT2172" t="s">
        <v>267</v>
      </c>
      <c r="AU2172" t="s">
        <v>13092</v>
      </c>
    </row>
    <row r="2173" spans="1:48">
      <c r="A2173" s="1">
        <f>HYPERLINK("https://cms.ls-nyc.org/matter/dynamic-profile/view/1891971","19-1891971")</f>
        <v>0</v>
      </c>
      <c r="B2173" t="s">
        <v>96</v>
      </c>
      <c r="C2173" t="s">
        <v>329</v>
      </c>
      <c r="E2173" t="s">
        <v>1010</v>
      </c>
      <c r="F2173" t="s">
        <v>3146</v>
      </c>
      <c r="G2173" t="s">
        <v>3792</v>
      </c>
      <c r="H2173" t="s">
        <v>5821</v>
      </c>
      <c r="I2173" t="s">
        <v>6047</v>
      </c>
      <c r="J2173">
        <v>10453</v>
      </c>
      <c r="K2173" t="s">
        <v>6074</v>
      </c>
      <c r="L2173" t="s">
        <v>6074</v>
      </c>
      <c r="M2173" t="s">
        <v>6259</v>
      </c>
      <c r="N2173" t="s">
        <v>7273</v>
      </c>
      <c r="O2173" t="s">
        <v>7308</v>
      </c>
      <c r="Q2173" t="s">
        <v>7322</v>
      </c>
      <c r="R2173" t="s">
        <v>6074</v>
      </c>
      <c r="S2173" t="s">
        <v>7324</v>
      </c>
      <c r="U2173" t="s">
        <v>457</v>
      </c>
      <c r="V2173">
        <v>1020.49</v>
      </c>
      <c r="W2173" t="s">
        <v>7363</v>
      </c>
      <c r="X2173" t="s">
        <v>7376</v>
      </c>
      <c r="Z2173" t="s">
        <v>9034</v>
      </c>
      <c r="AB2173" t="s">
        <v>11730</v>
      </c>
      <c r="AC2173">
        <v>170</v>
      </c>
      <c r="AD2173" t="s">
        <v>12422</v>
      </c>
      <c r="AE2173" t="s">
        <v>6110</v>
      </c>
      <c r="AF2173">
        <v>10</v>
      </c>
      <c r="AG2173">
        <v>1</v>
      </c>
      <c r="AH2173">
        <v>0</v>
      </c>
      <c r="AI2173">
        <v>148.27</v>
      </c>
      <c r="AL2173" t="s">
        <v>12460</v>
      </c>
      <c r="AM2173">
        <v>18000</v>
      </c>
      <c r="AS2173">
        <v>0</v>
      </c>
      <c r="AU2173" t="s">
        <v>13093</v>
      </c>
    </row>
    <row r="2174" spans="1:48">
      <c r="A2174" s="1">
        <f>HYPERLINK("https://cms.ls-nyc.org/matter/dynamic-profile/view/1875321","18-1875321")</f>
        <v>0</v>
      </c>
      <c r="B2174" t="s">
        <v>106</v>
      </c>
      <c r="C2174" t="s">
        <v>399</v>
      </c>
      <c r="D2174" t="s">
        <v>333</v>
      </c>
      <c r="E2174" t="s">
        <v>1662</v>
      </c>
      <c r="F2174" t="s">
        <v>2441</v>
      </c>
      <c r="G2174" t="s">
        <v>4927</v>
      </c>
      <c r="H2174" t="s">
        <v>5831</v>
      </c>
      <c r="I2174" t="s">
        <v>6047</v>
      </c>
      <c r="J2174">
        <v>10452</v>
      </c>
      <c r="K2174" t="s">
        <v>6074</v>
      </c>
      <c r="L2174" t="s">
        <v>6074</v>
      </c>
      <c r="N2174" t="s">
        <v>6104</v>
      </c>
      <c r="O2174" t="s">
        <v>7307</v>
      </c>
      <c r="P2174" t="s">
        <v>7315</v>
      </c>
      <c r="Q2174" t="s">
        <v>7322</v>
      </c>
      <c r="R2174" t="s">
        <v>6076</v>
      </c>
      <c r="S2174" t="s">
        <v>7324</v>
      </c>
      <c r="U2174" t="s">
        <v>336</v>
      </c>
      <c r="V2174">
        <v>525.26</v>
      </c>
      <c r="W2174" t="s">
        <v>7363</v>
      </c>
      <c r="X2174" t="s">
        <v>7376</v>
      </c>
      <c r="Y2174" t="s">
        <v>7386</v>
      </c>
      <c r="Z2174" t="s">
        <v>9068</v>
      </c>
      <c r="AC2174">
        <v>60</v>
      </c>
      <c r="AD2174" t="s">
        <v>12422</v>
      </c>
      <c r="AE2174" t="s">
        <v>6110</v>
      </c>
      <c r="AF2174">
        <v>47</v>
      </c>
      <c r="AG2174">
        <v>1</v>
      </c>
      <c r="AH2174">
        <v>0</v>
      </c>
      <c r="AI2174">
        <v>148.27</v>
      </c>
      <c r="AL2174" t="s">
        <v>12460</v>
      </c>
      <c r="AM2174">
        <v>18000</v>
      </c>
      <c r="AS2174">
        <v>2.6</v>
      </c>
      <c r="AT2174" t="s">
        <v>333</v>
      </c>
      <c r="AU2174" t="s">
        <v>106</v>
      </c>
    </row>
    <row r="2175" spans="1:48">
      <c r="A2175" s="1">
        <f>HYPERLINK("https://cms.ls-nyc.org/matter/dynamic-profile/view/1881794","18-1881794")</f>
        <v>0</v>
      </c>
      <c r="B2175" t="s">
        <v>103</v>
      </c>
      <c r="C2175" t="s">
        <v>360</v>
      </c>
      <c r="E2175" t="s">
        <v>1663</v>
      </c>
      <c r="F2175" t="s">
        <v>2453</v>
      </c>
      <c r="G2175" t="s">
        <v>3810</v>
      </c>
      <c r="H2175" t="s">
        <v>5832</v>
      </c>
      <c r="I2175" t="s">
        <v>6047</v>
      </c>
      <c r="J2175">
        <v>10451</v>
      </c>
      <c r="K2175" t="s">
        <v>6074</v>
      </c>
      <c r="L2175" t="s">
        <v>6074</v>
      </c>
      <c r="M2175" t="s">
        <v>6201</v>
      </c>
      <c r="N2175" t="s">
        <v>7273</v>
      </c>
      <c r="O2175" t="s">
        <v>7308</v>
      </c>
      <c r="Q2175" t="s">
        <v>7322</v>
      </c>
      <c r="R2175" t="s">
        <v>6074</v>
      </c>
      <c r="S2175" t="s">
        <v>7324</v>
      </c>
      <c r="U2175" t="s">
        <v>472</v>
      </c>
      <c r="V2175">
        <v>820</v>
      </c>
      <c r="W2175" t="s">
        <v>7363</v>
      </c>
      <c r="X2175" t="s">
        <v>7376</v>
      </c>
      <c r="Z2175" t="s">
        <v>9069</v>
      </c>
      <c r="AB2175" t="s">
        <v>11765</v>
      </c>
      <c r="AC2175">
        <v>100</v>
      </c>
      <c r="AD2175" t="s">
        <v>12422</v>
      </c>
      <c r="AE2175" t="s">
        <v>12434</v>
      </c>
      <c r="AF2175">
        <v>15</v>
      </c>
      <c r="AG2175">
        <v>1</v>
      </c>
      <c r="AH2175">
        <v>0</v>
      </c>
      <c r="AI2175">
        <v>148.27</v>
      </c>
      <c r="AL2175" t="s">
        <v>12461</v>
      </c>
      <c r="AM2175">
        <v>18000</v>
      </c>
      <c r="AS2175">
        <v>0</v>
      </c>
      <c r="AU2175" t="s">
        <v>13095</v>
      </c>
    </row>
    <row r="2176" spans="1:48">
      <c r="A2176" s="1">
        <f>HYPERLINK("https://cms.ls-nyc.org/matter/dynamic-profile/view/1873831","18-1873831")</f>
        <v>0</v>
      </c>
      <c r="B2176" t="s">
        <v>133</v>
      </c>
      <c r="C2176" t="s">
        <v>402</v>
      </c>
      <c r="D2176" t="s">
        <v>429</v>
      </c>
      <c r="E2176" t="s">
        <v>1664</v>
      </c>
      <c r="F2176" t="s">
        <v>2356</v>
      </c>
      <c r="G2176" t="s">
        <v>4344</v>
      </c>
      <c r="H2176" t="s">
        <v>5564</v>
      </c>
      <c r="I2176" t="s">
        <v>6049</v>
      </c>
      <c r="J2176">
        <v>10032</v>
      </c>
      <c r="K2176" t="s">
        <v>6074</v>
      </c>
      <c r="L2176" t="s">
        <v>6074</v>
      </c>
      <c r="N2176" t="s">
        <v>7276</v>
      </c>
      <c r="O2176" t="s">
        <v>7306</v>
      </c>
      <c r="P2176" t="s">
        <v>7314</v>
      </c>
      <c r="Q2176" t="s">
        <v>7322</v>
      </c>
      <c r="R2176" t="s">
        <v>6076</v>
      </c>
      <c r="S2176" t="s">
        <v>7324</v>
      </c>
      <c r="U2176" t="s">
        <v>402</v>
      </c>
      <c r="V2176">
        <v>787.17</v>
      </c>
      <c r="W2176" t="s">
        <v>7365</v>
      </c>
      <c r="X2176" t="s">
        <v>7367</v>
      </c>
      <c r="Y2176" t="s">
        <v>7386</v>
      </c>
      <c r="Z2176" t="s">
        <v>9070</v>
      </c>
      <c r="AB2176" t="s">
        <v>11766</v>
      </c>
      <c r="AC2176">
        <v>54</v>
      </c>
      <c r="AD2176" t="s">
        <v>12422</v>
      </c>
      <c r="AE2176" t="s">
        <v>6110</v>
      </c>
      <c r="AF2176">
        <v>35</v>
      </c>
      <c r="AG2176">
        <v>1</v>
      </c>
      <c r="AH2176">
        <v>0</v>
      </c>
      <c r="AI2176">
        <v>148.27</v>
      </c>
      <c r="AL2176" t="s">
        <v>12460</v>
      </c>
      <c r="AM2176">
        <v>18000</v>
      </c>
      <c r="AS2176">
        <v>5.3</v>
      </c>
      <c r="AT2176" t="s">
        <v>429</v>
      </c>
      <c r="AU2176" t="s">
        <v>13106</v>
      </c>
    </row>
    <row r="2177" spans="1:47">
      <c r="A2177" s="1">
        <f>HYPERLINK("https://cms.ls-nyc.org/matter/dynamic-profile/view/1900664","19-1900664")</f>
        <v>0</v>
      </c>
      <c r="B2177" t="s">
        <v>63</v>
      </c>
      <c r="C2177" t="s">
        <v>260</v>
      </c>
      <c r="E2177" t="s">
        <v>1311</v>
      </c>
      <c r="F2177" t="s">
        <v>3172</v>
      </c>
      <c r="G2177" t="s">
        <v>4928</v>
      </c>
      <c r="H2177">
        <v>1</v>
      </c>
      <c r="I2177" t="s">
        <v>6066</v>
      </c>
      <c r="J2177">
        <v>11413</v>
      </c>
      <c r="K2177" t="s">
        <v>6074</v>
      </c>
      <c r="L2177" t="s">
        <v>6075</v>
      </c>
      <c r="M2177" t="s">
        <v>6977</v>
      </c>
      <c r="N2177" t="s">
        <v>7274</v>
      </c>
      <c r="O2177" t="s">
        <v>7310</v>
      </c>
      <c r="Q2177" t="s">
        <v>7322</v>
      </c>
      <c r="R2177" t="s">
        <v>6076</v>
      </c>
      <c r="S2177" t="s">
        <v>7324</v>
      </c>
      <c r="U2177" t="s">
        <v>260</v>
      </c>
      <c r="V2177">
        <v>1487</v>
      </c>
      <c r="W2177" t="s">
        <v>7361</v>
      </c>
      <c r="X2177" t="s">
        <v>7366</v>
      </c>
      <c r="Z2177" t="s">
        <v>9071</v>
      </c>
      <c r="AB2177" t="s">
        <v>11767</v>
      </c>
      <c r="AC2177">
        <v>0</v>
      </c>
      <c r="AF2177">
        <v>10</v>
      </c>
      <c r="AG2177">
        <v>1</v>
      </c>
      <c r="AH2177">
        <v>0</v>
      </c>
      <c r="AI2177">
        <v>148.92</v>
      </c>
      <c r="AL2177" t="s">
        <v>12460</v>
      </c>
      <c r="AM2177">
        <v>18600</v>
      </c>
      <c r="AS2177">
        <v>1</v>
      </c>
      <c r="AT2177" t="s">
        <v>260</v>
      </c>
      <c r="AU2177" t="s">
        <v>13078</v>
      </c>
    </row>
    <row r="2178" spans="1:47">
      <c r="A2178" s="1">
        <f>HYPERLINK("https://cms.ls-nyc.org/matter/dynamic-profile/view/1891880","19-1891880")</f>
        <v>0</v>
      </c>
      <c r="B2178" t="s">
        <v>115</v>
      </c>
      <c r="C2178" t="s">
        <v>329</v>
      </c>
      <c r="E2178" t="s">
        <v>620</v>
      </c>
      <c r="F2178" t="s">
        <v>3173</v>
      </c>
      <c r="G2178" t="s">
        <v>3792</v>
      </c>
      <c r="H2178" t="s">
        <v>5808</v>
      </c>
      <c r="I2178" t="s">
        <v>6047</v>
      </c>
      <c r="J2178">
        <v>10453</v>
      </c>
      <c r="K2178" t="s">
        <v>6074</v>
      </c>
      <c r="L2178" t="s">
        <v>6074</v>
      </c>
      <c r="M2178" t="s">
        <v>6978</v>
      </c>
      <c r="N2178" t="s">
        <v>7274</v>
      </c>
      <c r="O2178" t="s">
        <v>7308</v>
      </c>
      <c r="Q2178" t="s">
        <v>7322</v>
      </c>
      <c r="R2178" t="s">
        <v>6076</v>
      </c>
      <c r="S2178" t="s">
        <v>7324</v>
      </c>
      <c r="U2178" t="s">
        <v>329</v>
      </c>
      <c r="V2178">
        <v>985</v>
      </c>
      <c r="W2178" t="s">
        <v>7363</v>
      </c>
      <c r="X2178" t="s">
        <v>7376</v>
      </c>
      <c r="Z2178" t="s">
        <v>9072</v>
      </c>
      <c r="AC2178">
        <v>167</v>
      </c>
      <c r="AD2178" t="s">
        <v>12422</v>
      </c>
      <c r="AE2178" t="s">
        <v>6110</v>
      </c>
      <c r="AF2178">
        <v>17</v>
      </c>
      <c r="AG2178">
        <v>3</v>
      </c>
      <c r="AH2178">
        <v>2</v>
      </c>
      <c r="AI2178">
        <v>149.15</v>
      </c>
      <c r="AL2178" t="s">
        <v>12460</v>
      </c>
      <c r="AM2178">
        <v>45000</v>
      </c>
      <c r="AS2178">
        <v>13.2</v>
      </c>
      <c r="AT2178" t="s">
        <v>554</v>
      </c>
      <c r="AU2178" t="s">
        <v>13092</v>
      </c>
    </row>
    <row r="2179" spans="1:47">
      <c r="A2179" s="1">
        <f>HYPERLINK("https://cms.ls-nyc.org/matter/dynamic-profile/view/1892727","19-1892727")</f>
        <v>0</v>
      </c>
      <c r="B2179" t="s">
        <v>115</v>
      </c>
      <c r="C2179" t="s">
        <v>395</v>
      </c>
      <c r="E2179" t="s">
        <v>620</v>
      </c>
      <c r="F2179" t="s">
        <v>3173</v>
      </c>
      <c r="G2179" t="s">
        <v>3792</v>
      </c>
      <c r="H2179" t="s">
        <v>5808</v>
      </c>
      <c r="I2179" t="s">
        <v>6047</v>
      </c>
      <c r="J2179">
        <v>10453</v>
      </c>
      <c r="K2179" t="s">
        <v>6074</v>
      </c>
      <c r="L2179" t="s">
        <v>6074</v>
      </c>
      <c r="M2179" t="s">
        <v>6978</v>
      </c>
      <c r="N2179" t="s">
        <v>7274</v>
      </c>
      <c r="O2179" t="s">
        <v>7308</v>
      </c>
      <c r="Q2179" t="s">
        <v>7322</v>
      </c>
      <c r="R2179" t="s">
        <v>6076</v>
      </c>
      <c r="S2179" t="s">
        <v>7324</v>
      </c>
      <c r="U2179" t="s">
        <v>395</v>
      </c>
      <c r="V2179">
        <v>985</v>
      </c>
      <c r="W2179" t="s">
        <v>7363</v>
      </c>
      <c r="X2179" t="s">
        <v>7376</v>
      </c>
      <c r="Z2179" t="s">
        <v>9072</v>
      </c>
      <c r="AC2179">
        <v>167</v>
      </c>
      <c r="AD2179" t="s">
        <v>12422</v>
      </c>
      <c r="AE2179" t="s">
        <v>6110</v>
      </c>
      <c r="AF2179">
        <v>17</v>
      </c>
      <c r="AG2179">
        <v>3</v>
      </c>
      <c r="AH2179">
        <v>2</v>
      </c>
      <c r="AI2179">
        <v>149.15</v>
      </c>
      <c r="AL2179" t="s">
        <v>12460</v>
      </c>
      <c r="AM2179">
        <v>45000</v>
      </c>
      <c r="AS2179">
        <v>0</v>
      </c>
      <c r="AU2179" t="s">
        <v>13093</v>
      </c>
    </row>
    <row r="2180" spans="1:47">
      <c r="A2180" s="1">
        <f>HYPERLINK("https://cms.ls-nyc.org/matter/dynamic-profile/view/1888094","19-1888094")</f>
        <v>0</v>
      </c>
      <c r="B2180" t="s">
        <v>66</v>
      </c>
      <c r="C2180" t="s">
        <v>466</v>
      </c>
      <c r="D2180" t="s">
        <v>259</v>
      </c>
      <c r="E2180" t="s">
        <v>1665</v>
      </c>
      <c r="F2180" t="s">
        <v>3174</v>
      </c>
      <c r="G2180" t="s">
        <v>4431</v>
      </c>
      <c r="H2180" t="s">
        <v>5833</v>
      </c>
      <c r="I2180" t="s">
        <v>6045</v>
      </c>
      <c r="J2180">
        <v>11101</v>
      </c>
      <c r="K2180" t="s">
        <v>6074</v>
      </c>
      <c r="L2180" t="s">
        <v>6074</v>
      </c>
      <c r="M2180" t="s">
        <v>6979</v>
      </c>
      <c r="N2180" t="s">
        <v>7276</v>
      </c>
      <c r="O2180" t="s">
        <v>7306</v>
      </c>
      <c r="P2180" t="s">
        <v>7314</v>
      </c>
      <c r="Q2180" t="s">
        <v>7322</v>
      </c>
      <c r="R2180" t="s">
        <v>6076</v>
      </c>
      <c r="S2180" t="s">
        <v>7324</v>
      </c>
      <c r="T2180" t="s">
        <v>7336</v>
      </c>
      <c r="U2180" t="s">
        <v>466</v>
      </c>
      <c r="V2180">
        <v>1230</v>
      </c>
      <c r="W2180" t="s">
        <v>7361</v>
      </c>
      <c r="X2180" t="s">
        <v>7366</v>
      </c>
      <c r="Y2180" t="s">
        <v>7386</v>
      </c>
      <c r="Z2180" t="s">
        <v>7433</v>
      </c>
      <c r="AA2180" t="s">
        <v>10239</v>
      </c>
      <c r="AB2180" t="s">
        <v>11768</v>
      </c>
      <c r="AC2180">
        <v>974</v>
      </c>
      <c r="AD2180" t="s">
        <v>12422</v>
      </c>
      <c r="AE2180" t="s">
        <v>6110</v>
      </c>
      <c r="AF2180">
        <v>1</v>
      </c>
      <c r="AG2180">
        <v>2</v>
      </c>
      <c r="AH2180">
        <v>2</v>
      </c>
      <c r="AI2180">
        <v>149.16</v>
      </c>
      <c r="AL2180" t="s">
        <v>12460</v>
      </c>
      <c r="AM2180">
        <v>37440</v>
      </c>
      <c r="AS2180">
        <v>0.25</v>
      </c>
      <c r="AT2180" t="s">
        <v>466</v>
      </c>
      <c r="AU2180" t="s">
        <v>48</v>
      </c>
    </row>
    <row r="2181" spans="1:47">
      <c r="A2181" s="1">
        <f>HYPERLINK("https://cms.ls-nyc.org/matter/dynamic-profile/view/1892349","19-1892349")</f>
        <v>0</v>
      </c>
      <c r="B2181" t="s">
        <v>177</v>
      </c>
      <c r="C2181" t="s">
        <v>337</v>
      </c>
      <c r="E2181" t="s">
        <v>1666</v>
      </c>
      <c r="F2181" t="s">
        <v>2316</v>
      </c>
      <c r="G2181" t="s">
        <v>4929</v>
      </c>
      <c r="H2181" t="s">
        <v>5390</v>
      </c>
      <c r="I2181" t="s">
        <v>6043</v>
      </c>
      <c r="J2181">
        <v>11233</v>
      </c>
      <c r="K2181" t="s">
        <v>6074</v>
      </c>
      <c r="L2181" t="s">
        <v>6074</v>
      </c>
      <c r="M2181" t="s">
        <v>6980</v>
      </c>
      <c r="N2181" t="s">
        <v>7274</v>
      </c>
      <c r="O2181" t="s">
        <v>7308</v>
      </c>
      <c r="Q2181" t="s">
        <v>7322</v>
      </c>
      <c r="R2181" t="s">
        <v>6074</v>
      </c>
      <c r="S2181" t="s">
        <v>7324</v>
      </c>
      <c r="T2181" t="s">
        <v>7336</v>
      </c>
      <c r="U2181" t="s">
        <v>7357</v>
      </c>
      <c r="V2181">
        <v>733.64</v>
      </c>
      <c r="W2181" t="s">
        <v>7362</v>
      </c>
      <c r="X2181" t="s">
        <v>7367</v>
      </c>
      <c r="Z2181" t="s">
        <v>9073</v>
      </c>
      <c r="AA2181" t="s">
        <v>6110</v>
      </c>
      <c r="AB2181" t="s">
        <v>11769</v>
      </c>
      <c r="AC2181">
        <v>32</v>
      </c>
      <c r="AD2181" t="s">
        <v>12422</v>
      </c>
      <c r="AE2181" t="s">
        <v>6110</v>
      </c>
      <c r="AF2181">
        <v>5</v>
      </c>
      <c r="AG2181">
        <v>1</v>
      </c>
      <c r="AH2181">
        <v>1</v>
      </c>
      <c r="AI2181">
        <v>149.76</v>
      </c>
      <c r="AL2181" t="s">
        <v>12460</v>
      </c>
      <c r="AM2181">
        <v>25324</v>
      </c>
      <c r="AN2181" t="s">
        <v>12667</v>
      </c>
      <c r="AS2181">
        <v>0</v>
      </c>
      <c r="AU2181" t="s">
        <v>218</v>
      </c>
    </row>
    <row r="2182" spans="1:47">
      <c r="A2182" s="1">
        <f>HYPERLINK("https://cms.ls-nyc.org/matter/dynamic-profile/view/1892345","19-1892345")</f>
        <v>0</v>
      </c>
      <c r="B2182" t="s">
        <v>177</v>
      </c>
      <c r="C2182" t="s">
        <v>337</v>
      </c>
      <c r="E2182" t="s">
        <v>1666</v>
      </c>
      <c r="F2182" t="s">
        <v>2316</v>
      </c>
      <c r="G2182" t="s">
        <v>4929</v>
      </c>
      <c r="H2182" t="s">
        <v>5390</v>
      </c>
      <c r="I2182" t="s">
        <v>6043</v>
      </c>
      <c r="J2182">
        <v>11233</v>
      </c>
      <c r="K2182" t="s">
        <v>6074</v>
      </c>
      <c r="L2182" t="s">
        <v>6074</v>
      </c>
      <c r="M2182" t="s">
        <v>6110</v>
      </c>
      <c r="N2182" t="s">
        <v>7275</v>
      </c>
      <c r="O2182" t="s">
        <v>7307</v>
      </c>
      <c r="Q2182" t="s">
        <v>7322</v>
      </c>
      <c r="R2182" t="s">
        <v>6074</v>
      </c>
      <c r="S2182" t="s">
        <v>7324</v>
      </c>
      <c r="T2182" t="s">
        <v>7336</v>
      </c>
      <c r="U2182" t="s">
        <v>466</v>
      </c>
      <c r="V2182">
        <v>733.64</v>
      </c>
      <c r="W2182" t="s">
        <v>7362</v>
      </c>
      <c r="X2182" t="s">
        <v>7367</v>
      </c>
      <c r="Z2182" t="s">
        <v>9073</v>
      </c>
      <c r="AA2182" t="s">
        <v>6110</v>
      </c>
      <c r="AB2182" t="s">
        <v>11769</v>
      </c>
      <c r="AC2182">
        <v>32</v>
      </c>
      <c r="AD2182" t="s">
        <v>12422</v>
      </c>
      <c r="AE2182" t="s">
        <v>6110</v>
      </c>
      <c r="AF2182">
        <v>5</v>
      </c>
      <c r="AG2182">
        <v>1</v>
      </c>
      <c r="AH2182">
        <v>1</v>
      </c>
      <c r="AI2182">
        <v>149.76</v>
      </c>
      <c r="AL2182" t="s">
        <v>12460</v>
      </c>
      <c r="AM2182">
        <v>25324</v>
      </c>
      <c r="AN2182" t="s">
        <v>12667</v>
      </c>
      <c r="AS2182">
        <v>0</v>
      </c>
      <c r="AU2182" t="s">
        <v>218</v>
      </c>
    </row>
    <row r="2183" spans="1:47">
      <c r="A2183" s="1">
        <f>HYPERLINK("https://cms.ls-nyc.org/matter/dynamic-profile/view/1892341","19-1892341")</f>
        <v>0</v>
      </c>
      <c r="B2183" t="s">
        <v>177</v>
      </c>
      <c r="C2183" t="s">
        <v>337</v>
      </c>
      <c r="E2183" t="s">
        <v>1666</v>
      </c>
      <c r="F2183" t="s">
        <v>2316</v>
      </c>
      <c r="G2183" t="s">
        <v>4929</v>
      </c>
      <c r="H2183" t="s">
        <v>5390</v>
      </c>
      <c r="I2183" t="s">
        <v>6043</v>
      </c>
      <c r="J2183">
        <v>11233</v>
      </c>
      <c r="K2183" t="s">
        <v>6074</v>
      </c>
      <c r="L2183" t="s">
        <v>6074</v>
      </c>
      <c r="M2183" t="s">
        <v>6981</v>
      </c>
      <c r="N2183" t="s">
        <v>7276</v>
      </c>
      <c r="O2183" t="s">
        <v>7308</v>
      </c>
      <c r="Q2183" t="s">
        <v>7322</v>
      </c>
      <c r="R2183" t="s">
        <v>6076</v>
      </c>
      <c r="S2183" t="s">
        <v>7324</v>
      </c>
      <c r="T2183" t="s">
        <v>7336</v>
      </c>
      <c r="U2183" t="s">
        <v>442</v>
      </c>
      <c r="V2183">
        <v>733.64</v>
      </c>
      <c r="W2183" t="s">
        <v>7362</v>
      </c>
      <c r="X2183" t="s">
        <v>7367</v>
      </c>
      <c r="Z2183" t="s">
        <v>9073</v>
      </c>
      <c r="AA2183" t="s">
        <v>6110</v>
      </c>
      <c r="AB2183" t="s">
        <v>11769</v>
      </c>
      <c r="AC2183">
        <v>32</v>
      </c>
      <c r="AD2183" t="s">
        <v>12422</v>
      </c>
      <c r="AE2183" t="s">
        <v>6110</v>
      </c>
      <c r="AF2183">
        <v>5</v>
      </c>
      <c r="AG2183">
        <v>1</v>
      </c>
      <c r="AH2183">
        <v>1</v>
      </c>
      <c r="AI2183">
        <v>149.76</v>
      </c>
      <c r="AL2183" t="s">
        <v>12460</v>
      </c>
      <c r="AM2183">
        <v>25324</v>
      </c>
      <c r="AS2183">
        <v>0</v>
      </c>
      <c r="AU2183" t="s">
        <v>218</v>
      </c>
    </row>
    <row r="2184" spans="1:47">
      <c r="A2184" s="1">
        <f>HYPERLINK("https://cms.ls-nyc.org/matter/dynamic-profile/view/1893909","19-1893909")</f>
        <v>0</v>
      </c>
      <c r="B2184" t="s">
        <v>71</v>
      </c>
      <c r="C2184" t="s">
        <v>335</v>
      </c>
      <c r="D2184" t="s">
        <v>280</v>
      </c>
      <c r="E2184" t="s">
        <v>1387</v>
      </c>
      <c r="F2184" t="s">
        <v>1954</v>
      </c>
      <c r="G2184" t="s">
        <v>4930</v>
      </c>
      <c r="H2184" t="s">
        <v>5834</v>
      </c>
      <c r="I2184" t="s">
        <v>6043</v>
      </c>
      <c r="J2184">
        <v>11212</v>
      </c>
      <c r="K2184" t="s">
        <v>6074</v>
      </c>
      <c r="L2184" t="s">
        <v>6074</v>
      </c>
      <c r="M2184" t="s">
        <v>6982</v>
      </c>
      <c r="N2184" t="s">
        <v>7274</v>
      </c>
      <c r="O2184" t="s">
        <v>7310</v>
      </c>
      <c r="P2184" t="s">
        <v>7315</v>
      </c>
      <c r="Q2184" t="s">
        <v>7322</v>
      </c>
      <c r="R2184" t="s">
        <v>6076</v>
      </c>
      <c r="S2184" t="s">
        <v>7324</v>
      </c>
      <c r="U2184" t="s">
        <v>275</v>
      </c>
      <c r="V2184">
        <v>725</v>
      </c>
      <c r="W2184" t="s">
        <v>7362</v>
      </c>
      <c r="X2184" t="s">
        <v>7366</v>
      </c>
      <c r="Y2184" t="s">
        <v>7386</v>
      </c>
      <c r="Z2184" t="s">
        <v>7443</v>
      </c>
      <c r="AB2184" t="s">
        <v>11770</v>
      </c>
      <c r="AC2184">
        <v>2</v>
      </c>
      <c r="AD2184" t="s">
        <v>12419</v>
      </c>
      <c r="AE2184" t="s">
        <v>6110</v>
      </c>
      <c r="AF2184">
        <v>1</v>
      </c>
      <c r="AG2184">
        <v>1</v>
      </c>
      <c r="AH2184">
        <v>0</v>
      </c>
      <c r="AI2184">
        <v>149.88</v>
      </c>
      <c r="AL2184" t="s">
        <v>12460</v>
      </c>
      <c r="AM2184">
        <v>18720</v>
      </c>
      <c r="AS2184">
        <v>2.4</v>
      </c>
      <c r="AT2184" t="s">
        <v>268</v>
      </c>
      <c r="AU2184" t="s">
        <v>180</v>
      </c>
    </row>
    <row r="2185" spans="1:47">
      <c r="A2185" s="1">
        <f>HYPERLINK("https://cms.ls-nyc.org/matter/dynamic-profile/view/1886385","18-1886385")</f>
        <v>0</v>
      </c>
      <c r="B2185" t="s">
        <v>71</v>
      </c>
      <c r="C2185" t="s">
        <v>443</v>
      </c>
      <c r="D2185" t="s">
        <v>379</v>
      </c>
      <c r="E2185" t="s">
        <v>581</v>
      </c>
      <c r="F2185" t="s">
        <v>3175</v>
      </c>
      <c r="G2185" t="s">
        <v>4931</v>
      </c>
      <c r="H2185" t="s">
        <v>5364</v>
      </c>
      <c r="I2185" t="s">
        <v>6043</v>
      </c>
      <c r="J2185">
        <v>11207</v>
      </c>
      <c r="K2185" t="s">
        <v>6074</v>
      </c>
      <c r="L2185" t="s">
        <v>6074</v>
      </c>
      <c r="M2185" t="s">
        <v>6983</v>
      </c>
      <c r="N2185" t="s">
        <v>7276</v>
      </c>
      <c r="O2185" t="s">
        <v>7307</v>
      </c>
      <c r="P2185" t="s">
        <v>7315</v>
      </c>
      <c r="Q2185" t="s">
        <v>7322</v>
      </c>
      <c r="R2185" t="s">
        <v>6076</v>
      </c>
      <c r="S2185" t="s">
        <v>7324</v>
      </c>
      <c r="U2185" t="s">
        <v>410</v>
      </c>
      <c r="V2185">
        <v>2685</v>
      </c>
      <c r="W2185" t="s">
        <v>7362</v>
      </c>
      <c r="X2185" t="s">
        <v>7305</v>
      </c>
      <c r="Y2185" t="s">
        <v>7386</v>
      </c>
      <c r="Z2185" t="s">
        <v>9074</v>
      </c>
      <c r="AC2185">
        <v>8</v>
      </c>
      <c r="AD2185" t="s">
        <v>12422</v>
      </c>
      <c r="AE2185" t="s">
        <v>6110</v>
      </c>
      <c r="AF2185">
        <v>3</v>
      </c>
      <c r="AG2185">
        <v>1</v>
      </c>
      <c r="AH2185">
        <v>0</v>
      </c>
      <c r="AI2185">
        <v>149.92</v>
      </c>
      <c r="AL2185" t="s">
        <v>12460</v>
      </c>
      <c r="AM2185">
        <v>18200</v>
      </c>
      <c r="AS2185">
        <v>2.4</v>
      </c>
      <c r="AT2185" t="s">
        <v>452</v>
      </c>
      <c r="AU2185" t="s">
        <v>13079</v>
      </c>
    </row>
    <row r="2186" spans="1:47">
      <c r="A2186" s="1">
        <f>HYPERLINK("https://cms.ls-nyc.org/matter/dynamic-profile/view/1879989","18-1879989")</f>
        <v>0</v>
      </c>
      <c r="B2186" t="s">
        <v>119</v>
      </c>
      <c r="C2186" t="s">
        <v>451</v>
      </c>
      <c r="E2186" t="s">
        <v>1387</v>
      </c>
      <c r="F2186" t="s">
        <v>3176</v>
      </c>
      <c r="G2186" t="s">
        <v>4932</v>
      </c>
      <c r="H2186" t="s">
        <v>5352</v>
      </c>
      <c r="I2186" t="s">
        <v>6048</v>
      </c>
      <c r="J2186">
        <v>10304</v>
      </c>
      <c r="K2186" t="s">
        <v>6074</v>
      </c>
      <c r="L2186" t="s">
        <v>6074</v>
      </c>
      <c r="M2186" t="s">
        <v>6101</v>
      </c>
      <c r="N2186" t="s">
        <v>7288</v>
      </c>
      <c r="O2186" t="s">
        <v>7309</v>
      </c>
      <c r="Q2186" t="s">
        <v>7322</v>
      </c>
      <c r="R2186" t="s">
        <v>6076</v>
      </c>
      <c r="S2186" t="s">
        <v>7324</v>
      </c>
      <c r="T2186" t="s">
        <v>7336</v>
      </c>
      <c r="U2186" t="s">
        <v>451</v>
      </c>
      <c r="V2186">
        <v>1300</v>
      </c>
      <c r="W2186" t="s">
        <v>7364</v>
      </c>
      <c r="X2186" t="s">
        <v>7369</v>
      </c>
      <c r="Z2186" t="s">
        <v>8908</v>
      </c>
      <c r="AB2186" t="s">
        <v>11771</v>
      </c>
      <c r="AC2186">
        <v>4</v>
      </c>
      <c r="AD2186" t="s">
        <v>12422</v>
      </c>
      <c r="AF2186">
        <v>26</v>
      </c>
      <c r="AG2186">
        <v>1</v>
      </c>
      <c r="AH2186">
        <v>0</v>
      </c>
      <c r="AI2186">
        <v>149.92</v>
      </c>
      <c r="AJ2186" t="s">
        <v>12443</v>
      </c>
      <c r="AK2186" t="s">
        <v>12455</v>
      </c>
      <c r="AL2186" t="s">
        <v>12460</v>
      </c>
      <c r="AM2186">
        <v>18200</v>
      </c>
      <c r="AS2186">
        <v>1.4</v>
      </c>
      <c r="AT2186" t="s">
        <v>386</v>
      </c>
      <c r="AU2186" t="s">
        <v>154</v>
      </c>
    </row>
    <row r="2187" spans="1:47">
      <c r="A2187" s="1">
        <f>HYPERLINK("https://cms.ls-nyc.org/matter/dynamic-profile/view/1877030","18-1877030")</f>
        <v>0</v>
      </c>
      <c r="B2187" t="s">
        <v>197</v>
      </c>
      <c r="C2187" t="s">
        <v>404</v>
      </c>
      <c r="D2187" t="s">
        <v>428</v>
      </c>
      <c r="E2187" t="s">
        <v>1667</v>
      </c>
      <c r="F2187" t="s">
        <v>2133</v>
      </c>
      <c r="G2187" t="s">
        <v>4933</v>
      </c>
      <c r="H2187" t="s">
        <v>5835</v>
      </c>
      <c r="I2187" t="s">
        <v>6049</v>
      </c>
      <c r="J2187">
        <v>10025</v>
      </c>
      <c r="K2187" t="s">
        <v>6074</v>
      </c>
      <c r="L2187" t="s">
        <v>6074</v>
      </c>
      <c r="N2187" t="s">
        <v>6104</v>
      </c>
      <c r="O2187" t="s">
        <v>7306</v>
      </c>
      <c r="P2187" t="s">
        <v>7314</v>
      </c>
      <c r="Q2187" t="s">
        <v>7322</v>
      </c>
      <c r="R2187" t="s">
        <v>6076</v>
      </c>
      <c r="S2187" t="s">
        <v>7324</v>
      </c>
      <c r="U2187" t="s">
        <v>404</v>
      </c>
      <c r="V2187">
        <v>1155.17</v>
      </c>
      <c r="W2187" t="s">
        <v>7365</v>
      </c>
      <c r="X2187" t="s">
        <v>7367</v>
      </c>
      <c r="Y2187" t="s">
        <v>7386</v>
      </c>
      <c r="Z2187" t="s">
        <v>9075</v>
      </c>
      <c r="AB2187" t="s">
        <v>11772</v>
      </c>
      <c r="AC2187">
        <v>120</v>
      </c>
      <c r="AE2187" t="s">
        <v>6110</v>
      </c>
      <c r="AF2187">
        <v>8</v>
      </c>
      <c r="AG2187">
        <v>1</v>
      </c>
      <c r="AH2187">
        <v>0</v>
      </c>
      <c r="AI2187">
        <v>149.92</v>
      </c>
      <c r="AL2187" t="s">
        <v>12460</v>
      </c>
      <c r="AM2187">
        <v>18200</v>
      </c>
      <c r="AS2187">
        <v>0.4</v>
      </c>
      <c r="AT2187" t="s">
        <v>383</v>
      </c>
      <c r="AU2187" t="s">
        <v>13107</v>
      </c>
    </row>
    <row r="2188" spans="1:47">
      <c r="A2188" s="1">
        <f>HYPERLINK("https://cms.ls-nyc.org/matter/dynamic-profile/view/1880847","18-1880847")</f>
        <v>0</v>
      </c>
      <c r="B2188" t="s">
        <v>97</v>
      </c>
      <c r="C2188" t="s">
        <v>333</v>
      </c>
      <c r="D2188" t="s">
        <v>472</v>
      </c>
      <c r="E2188" t="s">
        <v>1668</v>
      </c>
      <c r="F2188" t="s">
        <v>3177</v>
      </c>
      <c r="G2188" t="s">
        <v>3805</v>
      </c>
      <c r="H2188">
        <v>50</v>
      </c>
      <c r="I2188" t="s">
        <v>6047</v>
      </c>
      <c r="J2188">
        <v>10452</v>
      </c>
      <c r="K2188" t="s">
        <v>6074</v>
      </c>
      <c r="L2188" t="s">
        <v>6074</v>
      </c>
      <c r="N2188" t="s">
        <v>7273</v>
      </c>
      <c r="O2188" t="s">
        <v>7306</v>
      </c>
      <c r="P2188" t="s">
        <v>7314</v>
      </c>
      <c r="Q2188" t="s">
        <v>7322</v>
      </c>
      <c r="R2188" t="s">
        <v>6074</v>
      </c>
      <c r="S2188" t="s">
        <v>7324</v>
      </c>
      <c r="U2188" t="s">
        <v>472</v>
      </c>
      <c r="V2188">
        <v>857</v>
      </c>
      <c r="W2188" t="s">
        <v>7363</v>
      </c>
      <c r="X2188" t="s">
        <v>7376</v>
      </c>
      <c r="Y2188" t="s">
        <v>7386</v>
      </c>
      <c r="Z2188" t="s">
        <v>9076</v>
      </c>
      <c r="AC2188">
        <v>149</v>
      </c>
      <c r="AD2188" t="s">
        <v>12422</v>
      </c>
      <c r="AE2188" t="s">
        <v>6110</v>
      </c>
      <c r="AF2188">
        <v>35</v>
      </c>
      <c r="AG2188">
        <v>2</v>
      </c>
      <c r="AH2188">
        <v>0</v>
      </c>
      <c r="AI2188">
        <v>149.96</v>
      </c>
      <c r="AL2188" t="s">
        <v>12460</v>
      </c>
      <c r="AM2188">
        <v>24684</v>
      </c>
      <c r="AS2188">
        <v>0.2</v>
      </c>
      <c r="AT2188" t="s">
        <v>492</v>
      </c>
      <c r="AU2188" t="s">
        <v>13099</v>
      </c>
    </row>
    <row r="2189" spans="1:47">
      <c r="A2189" s="1">
        <f>HYPERLINK("https://cms.ls-nyc.org/matter/dynamic-profile/view/1880127","18-1880127")</f>
        <v>0</v>
      </c>
      <c r="B2189" t="s">
        <v>68</v>
      </c>
      <c r="C2189" t="s">
        <v>354</v>
      </c>
      <c r="D2189" t="s">
        <v>350</v>
      </c>
      <c r="E2189" t="s">
        <v>1095</v>
      </c>
      <c r="F2189" t="s">
        <v>3178</v>
      </c>
      <c r="G2189" t="s">
        <v>4934</v>
      </c>
      <c r="H2189" t="s">
        <v>5347</v>
      </c>
      <c r="I2189" t="s">
        <v>6043</v>
      </c>
      <c r="J2189">
        <v>11208</v>
      </c>
      <c r="K2189" t="s">
        <v>6074</v>
      </c>
      <c r="L2189" t="s">
        <v>6074</v>
      </c>
      <c r="M2189" t="s">
        <v>6984</v>
      </c>
      <c r="N2189" t="s">
        <v>7276</v>
      </c>
      <c r="O2189" t="s">
        <v>7306</v>
      </c>
      <c r="P2189" t="s">
        <v>7314</v>
      </c>
      <c r="Q2189" t="s">
        <v>7322</v>
      </c>
      <c r="R2189" t="s">
        <v>6076</v>
      </c>
      <c r="S2189" t="s">
        <v>7324</v>
      </c>
      <c r="T2189" t="s">
        <v>7338</v>
      </c>
      <c r="U2189" t="s">
        <v>354</v>
      </c>
      <c r="V2189">
        <v>1700</v>
      </c>
      <c r="W2189" t="s">
        <v>7362</v>
      </c>
      <c r="X2189" t="s">
        <v>7366</v>
      </c>
      <c r="Y2189" t="s">
        <v>7386</v>
      </c>
      <c r="Z2189" t="s">
        <v>9077</v>
      </c>
      <c r="AB2189" t="s">
        <v>11773</v>
      </c>
      <c r="AC2189">
        <v>0</v>
      </c>
      <c r="AE2189" t="s">
        <v>6110</v>
      </c>
      <c r="AF2189">
        <v>4</v>
      </c>
      <c r="AG2189">
        <v>2</v>
      </c>
      <c r="AH2189">
        <v>3</v>
      </c>
      <c r="AI2189">
        <v>150</v>
      </c>
      <c r="AL2189" t="s">
        <v>12461</v>
      </c>
      <c r="AM2189">
        <v>44129.28</v>
      </c>
      <c r="AS2189">
        <v>3.1</v>
      </c>
      <c r="AT2189" t="s">
        <v>350</v>
      </c>
      <c r="AU2189" t="s">
        <v>13082</v>
      </c>
    </row>
    <row r="2190" spans="1:47">
      <c r="A2190" s="1">
        <f>HYPERLINK("https://cms.ls-nyc.org/matter/dynamic-profile/view/1892301","19-1892301")</f>
        <v>0</v>
      </c>
      <c r="B2190" t="s">
        <v>81</v>
      </c>
      <c r="C2190" t="s">
        <v>359</v>
      </c>
      <c r="E2190" t="s">
        <v>966</v>
      </c>
      <c r="F2190" t="s">
        <v>2215</v>
      </c>
      <c r="G2190" t="s">
        <v>4346</v>
      </c>
      <c r="H2190" t="s">
        <v>5438</v>
      </c>
      <c r="I2190" t="s">
        <v>6043</v>
      </c>
      <c r="J2190">
        <v>11225</v>
      </c>
      <c r="K2190" t="s">
        <v>6074</v>
      </c>
      <c r="L2190" t="s">
        <v>6074</v>
      </c>
      <c r="N2190" t="s">
        <v>7282</v>
      </c>
      <c r="O2190" t="s">
        <v>7308</v>
      </c>
      <c r="Q2190" t="s">
        <v>7322</v>
      </c>
      <c r="S2190" t="s">
        <v>7324</v>
      </c>
      <c r="U2190" t="s">
        <v>477</v>
      </c>
      <c r="V2190">
        <v>0</v>
      </c>
      <c r="W2190" t="s">
        <v>7362</v>
      </c>
      <c r="Z2190" t="s">
        <v>9078</v>
      </c>
      <c r="AB2190" t="s">
        <v>11774</v>
      </c>
      <c r="AC2190">
        <v>0</v>
      </c>
      <c r="AF2190">
        <v>0</v>
      </c>
      <c r="AG2190">
        <v>3</v>
      </c>
      <c r="AH2190">
        <v>0</v>
      </c>
      <c r="AI2190">
        <v>150.02</v>
      </c>
      <c r="AL2190" t="s">
        <v>12460</v>
      </c>
      <c r="AM2190">
        <v>32000</v>
      </c>
      <c r="AS2190">
        <v>5.7</v>
      </c>
      <c r="AT2190" t="s">
        <v>356</v>
      </c>
      <c r="AU2190" t="s">
        <v>88</v>
      </c>
    </row>
    <row r="2191" spans="1:47">
      <c r="A2191" s="1">
        <f>HYPERLINK("https://cms.ls-nyc.org/matter/dynamic-profile/view/1892734","19-1892734")</f>
        <v>0</v>
      </c>
      <c r="B2191" t="s">
        <v>81</v>
      </c>
      <c r="C2191" t="s">
        <v>395</v>
      </c>
      <c r="E2191" t="s">
        <v>966</v>
      </c>
      <c r="F2191" t="s">
        <v>2215</v>
      </c>
      <c r="G2191" t="s">
        <v>4346</v>
      </c>
      <c r="H2191" t="s">
        <v>5438</v>
      </c>
      <c r="I2191" t="s">
        <v>6043</v>
      </c>
      <c r="J2191">
        <v>11225</v>
      </c>
      <c r="K2191" t="s">
        <v>6074</v>
      </c>
      <c r="L2191" t="s">
        <v>6074</v>
      </c>
      <c r="N2191" t="s">
        <v>7282</v>
      </c>
      <c r="O2191" t="s">
        <v>7308</v>
      </c>
      <c r="Q2191" t="s">
        <v>7322</v>
      </c>
      <c r="R2191" t="s">
        <v>6074</v>
      </c>
      <c r="S2191" t="s">
        <v>7324</v>
      </c>
      <c r="U2191" t="s">
        <v>477</v>
      </c>
      <c r="V2191">
        <v>0</v>
      </c>
      <c r="W2191" t="s">
        <v>7362</v>
      </c>
      <c r="Z2191" t="s">
        <v>9078</v>
      </c>
      <c r="AB2191" t="s">
        <v>11774</v>
      </c>
      <c r="AC2191">
        <v>0</v>
      </c>
      <c r="AF2191">
        <v>0</v>
      </c>
      <c r="AG2191">
        <v>3</v>
      </c>
      <c r="AH2191">
        <v>0</v>
      </c>
      <c r="AI2191">
        <v>150.02</v>
      </c>
      <c r="AL2191" t="s">
        <v>12460</v>
      </c>
      <c r="AM2191">
        <v>32000</v>
      </c>
      <c r="AS2191">
        <v>3</v>
      </c>
      <c r="AT2191" t="s">
        <v>417</v>
      </c>
      <c r="AU2191" t="s">
        <v>88</v>
      </c>
    </row>
    <row r="2192" spans="1:47">
      <c r="A2192" s="1">
        <f>HYPERLINK("https://cms.ls-nyc.org/matter/dynamic-profile/view/1885744","18-1885744")</f>
        <v>0</v>
      </c>
      <c r="B2192" t="s">
        <v>102</v>
      </c>
      <c r="C2192" t="s">
        <v>344</v>
      </c>
      <c r="E2192" t="s">
        <v>1096</v>
      </c>
      <c r="F2192" t="s">
        <v>2874</v>
      </c>
      <c r="G2192" t="s">
        <v>3779</v>
      </c>
      <c r="H2192" t="s">
        <v>5348</v>
      </c>
      <c r="I2192" t="s">
        <v>6047</v>
      </c>
      <c r="J2192">
        <v>10460</v>
      </c>
      <c r="K2192" t="s">
        <v>6074</v>
      </c>
      <c r="L2192" t="s">
        <v>6074</v>
      </c>
      <c r="M2192" t="s">
        <v>6182</v>
      </c>
      <c r="N2192" t="s">
        <v>7273</v>
      </c>
      <c r="O2192" t="s">
        <v>7308</v>
      </c>
      <c r="Q2192" t="s">
        <v>7322</v>
      </c>
      <c r="R2192" t="s">
        <v>6074</v>
      </c>
      <c r="S2192" t="s">
        <v>7324</v>
      </c>
      <c r="U2192" t="s">
        <v>457</v>
      </c>
      <c r="V2192">
        <v>792</v>
      </c>
      <c r="W2192" t="s">
        <v>7363</v>
      </c>
      <c r="X2192" t="s">
        <v>7376</v>
      </c>
      <c r="Z2192" t="s">
        <v>9079</v>
      </c>
      <c r="AC2192">
        <v>168</v>
      </c>
      <c r="AD2192" t="s">
        <v>12421</v>
      </c>
      <c r="AE2192" t="s">
        <v>7305</v>
      </c>
      <c r="AF2192">
        <v>3</v>
      </c>
      <c r="AG2192">
        <v>1</v>
      </c>
      <c r="AH2192">
        <v>1</v>
      </c>
      <c r="AI2192">
        <v>150.04</v>
      </c>
      <c r="AL2192" t="s">
        <v>12460</v>
      </c>
      <c r="AM2192">
        <v>24696</v>
      </c>
      <c r="AS2192">
        <v>0</v>
      </c>
      <c r="AU2192" t="s">
        <v>13092</v>
      </c>
    </row>
    <row r="2193" spans="1:47">
      <c r="A2193" s="1">
        <f>HYPERLINK("https://cms.ls-nyc.org/matter/dynamic-profile/view/1872457","18-1872457")</f>
        <v>0</v>
      </c>
      <c r="B2193" t="s">
        <v>139</v>
      </c>
      <c r="C2193" t="s">
        <v>376</v>
      </c>
      <c r="D2193" t="s">
        <v>419</v>
      </c>
      <c r="E2193" t="s">
        <v>699</v>
      </c>
      <c r="F2193" t="s">
        <v>3179</v>
      </c>
      <c r="G2193" t="s">
        <v>4935</v>
      </c>
      <c r="H2193" t="s">
        <v>5513</v>
      </c>
      <c r="I2193" t="s">
        <v>6049</v>
      </c>
      <c r="J2193">
        <v>10033</v>
      </c>
      <c r="K2193" t="s">
        <v>6074</v>
      </c>
      <c r="L2193" t="s">
        <v>6074</v>
      </c>
      <c r="N2193" t="s">
        <v>7285</v>
      </c>
      <c r="O2193" t="s">
        <v>7306</v>
      </c>
      <c r="P2193" t="s">
        <v>7314</v>
      </c>
      <c r="Q2193" t="s">
        <v>7322</v>
      </c>
      <c r="R2193" t="s">
        <v>6076</v>
      </c>
      <c r="S2193" t="s">
        <v>7324</v>
      </c>
      <c r="U2193" t="s">
        <v>376</v>
      </c>
      <c r="V2193">
        <v>786.61</v>
      </c>
      <c r="W2193" t="s">
        <v>7365</v>
      </c>
      <c r="X2193" t="s">
        <v>7367</v>
      </c>
      <c r="Y2193" t="s">
        <v>7386</v>
      </c>
      <c r="Z2193" t="s">
        <v>9080</v>
      </c>
      <c r="AB2193" t="s">
        <v>11775</v>
      </c>
      <c r="AC2193">
        <v>49</v>
      </c>
      <c r="AD2193" t="s">
        <v>12422</v>
      </c>
      <c r="AE2193" t="s">
        <v>6110</v>
      </c>
      <c r="AF2193">
        <v>30</v>
      </c>
      <c r="AG2193">
        <v>2</v>
      </c>
      <c r="AH2193">
        <v>0</v>
      </c>
      <c r="AI2193">
        <v>150.06</v>
      </c>
      <c r="AL2193" t="s">
        <v>12461</v>
      </c>
      <c r="AM2193">
        <v>24700</v>
      </c>
      <c r="AS2193">
        <v>0.7</v>
      </c>
      <c r="AT2193" t="s">
        <v>419</v>
      </c>
      <c r="AU2193" t="s">
        <v>13106</v>
      </c>
    </row>
    <row r="2194" spans="1:47">
      <c r="A2194" s="1">
        <f>HYPERLINK("https://cms.ls-nyc.org/matter/dynamic-profile/view/1883833","18-1883833")</f>
        <v>0</v>
      </c>
      <c r="B2194" t="s">
        <v>68</v>
      </c>
      <c r="C2194" t="s">
        <v>305</v>
      </c>
      <c r="E2194" t="s">
        <v>1669</v>
      </c>
      <c r="F2194" t="s">
        <v>3180</v>
      </c>
      <c r="G2194" t="s">
        <v>4936</v>
      </c>
      <c r="H2194" t="s">
        <v>5360</v>
      </c>
      <c r="I2194" t="s">
        <v>6043</v>
      </c>
      <c r="J2194">
        <v>11208</v>
      </c>
      <c r="K2194" t="s">
        <v>6074</v>
      </c>
      <c r="L2194" t="s">
        <v>6074</v>
      </c>
      <c r="M2194" t="s">
        <v>6985</v>
      </c>
      <c r="N2194" t="s">
        <v>7274</v>
      </c>
      <c r="O2194" t="s">
        <v>7306</v>
      </c>
      <c r="Q2194" t="s">
        <v>7322</v>
      </c>
      <c r="S2194" t="s">
        <v>7324</v>
      </c>
      <c r="U2194" t="s">
        <v>365</v>
      </c>
      <c r="V2194">
        <v>0</v>
      </c>
      <c r="W2194" t="s">
        <v>7362</v>
      </c>
      <c r="X2194" t="s">
        <v>7366</v>
      </c>
      <c r="Y2194" t="s">
        <v>7386</v>
      </c>
      <c r="Z2194" t="s">
        <v>9081</v>
      </c>
      <c r="AB2194" t="s">
        <v>11776</v>
      </c>
      <c r="AC2194">
        <v>2</v>
      </c>
      <c r="AE2194" t="s">
        <v>6110</v>
      </c>
      <c r="AF2194">
        <v>40</v>
      </c>
      <c r="AG2194">
        <v>3</v>
      </c>
      <c r="AH2194">
        <v>0</v>
      </c>
      <c r="AI2194">
        <v>150.14</v>
      </c>
      <c r="AL2194" t="s">
        <v>12460</v>
      </c>
      <c r="AM2194">
        <v>31200</v>
      </c>
      <c r="AS2194">
        <v>4.6</v>
      </c>
      <c r="AT2194" t="s">
        <v>306</v>
      </c>
      <c r="AU2194" t="s">
        <v>13082</v>
      </c>
    </row>
    <row r="2195" spans="1:47">
      <c r="A2195" s="1">
        <f>HYPERLINK("https://cms.ls-nyc.org/matter/dynamic-profile/view/1871434","18-1871434")</f>
        <v>0</v>
      </c>
      <c r="B2195" t="s">
        <v>96</v>
      </c>
      <c r="C2195" t="s">
        <v>342</v>
      </c>
      <c r="D2195" t="s">
        <v>389</v>
      </c>
      <c r="E2195" t="s">
        <v>1670</v>
      </c>
      <c r="F2195" t="s">
        <v>1315</v>
      </c>
      <c r="G2195" t="s">
        <v>3772</v>
      </c>
      <c r="H2195" t="s">
        <v>5481</v>
      </c>
      <c r="I2195" t="s">
        <v>6047</v>
      </c>
      <c r="J2195">
        <v>10468</v>
      </c>
      <c r="K2195" t="s">
        <v>6074</v>
      </c>
      <c r="L2195" t="s">
        <v>6074</v>
      </c>
      <c r="N2195" t="s">
        <v>7285</v>
      </c>
      <c r="O2195" t="s">
        <v>7309</v>
      </c>
      <c r="P2195" t="s">
        <v>7314</v>
      </c>
      <c r="Q2195" t="s">
        <v>7322</v>
      </c>
      <c r="R2195" t="s">
        <v>6074</v>
      </c>
      <c r="S2195" t="s">
        <v>7324</v>
      </c>
      <c r="U2195" t="s">
        <v>342</v>
      </c>
      <c r="V2195">
        <v>833.27</v>
      </c>
      <c r="W2195" t="s">
        <v>7363</v>
      </c>
      <c r="X2195" t="s">
        <v>7376</v>
      </c>
      <c r="Y2195" t="s">
        <v>7386</v>
      </c>
      <c r="Z2195" t="s">
        <v>9082</v>
      </c>
      <c r="AB2195" t="s">
        <v>11777</v>
      </c>
      <c r="AC2195">
        <v>58</v>
      </c>
      <c r="AD2195" t="s">
        <v>12422</v>
      </c>
      <c r="AF2195">
        <v>22</v>
      </c>
      <c r="AG2195">
        <v>1</v>
      </c>
      <c r="AH2195">
        <v>2</v>
      </c>
      <c r="AI2195">
        <v>150.14</v>
      </c>
      <c r="AL2195" t="s">
        <v>12461</v>
      </c>
      <c r="AM2195">
        <v>31200</v>
      </c>
      <c r="AS2195">
        <v>0.7</v>
      </c>
      <c r="AT2195" t="s">
        <v>388</v>
      </c>
      <c r="AU2195" t="s">
        <v>13092</v>
      </c>
    </row>
    <row r="2196" spans="1:47">
      <c r="A2196" s="1">
        <f>HYPERLINK("https://cms.ls-nyc.org/matter/dynamic-profile/view/1871420","18-1871420")</f>
        <v>0</v>
      </c>
      <c r="B2196" t="s">
        <v>97</v>
      </c>
      <c r="C2196" t="s">
        <v>342</v>
      </c>
      <c r="D2196" t="s">
        <v>472</v>
      </c>
      <c r="E2196" t="s">
        <v>1670</v>
      </c>
      <c r="F2196" t="s">
        <v>1315</v>
      </c>
      <c r="G2196" t="s">
        <v>3772</v>
      </c>
      <c r="H2196" t="s">
        <v>5481</v>
      </c>
      <c r="I2196" t="s">
        <v>6047</v>
      </c>
      <c r="J2196">
        <v>10468</v>
      </c>
      <c r="K2196" t="s">
        <v>6074</v>
      </c>
      <c r="L2196" t="s">
        <v>6074</v>
      </c>
      <c r="N2196" t="s">
        <v>7273</v>
      </c>
      <c r="O2196" t="s">
        <v>7306</v>
      </c>
      <c r="P2196" t="s">
        <v>7314</v>
      </c>
      <c r="Q2196" t="s">
        <v>7322</v>
      </c>
      <c r="R2196" t="s">
        <v>6074</v>
      </c>
      <c r="S2196" t="s">
        <v>7324</v>
      </c>
      <c r="U2196" t="s">
        <v>342</v>
      </c>
      <c r="V2196">
        <v>833.27</v>
      </c>
      <c r="W2196" t="s">
        <v>7363</v>
      </c>
      <c r="X2196" t="s">
        <v>7376</v>
      </c>
      <c r="Y2196" t="s">
        <v>7386</v>
      </c>
      <c r="Z2196" t="s">
        <v>9082</v>
      </c>
      <c r="AB2196" t="s">
        <v>11777</v>
      </c>
      <c r="AC2196">
        <v>58</v>
      </c>
      <c r="AD2196" t="s">
        <v>12422</v>
      </c>
      <c r="AE2196" t="s">
        <v>6110</v>
      </c>
      <c r="AF2196">
        <v>22</v>
      </c>
      <c r="AG2196">
        <v>1</v>
      </c>
      <c r="AH2196">
        <v>2</v>
      </c>
      <c r="AI2196">
        <v>150.14</v>
      </c>
      <c r="AL2196" t="s">
        <v>12461</v>
      </c>
      <c r="AM2196">
        <v>31200</v>
      </c>
      <c r="AS2196">
        <v>0.7</v>
      </c>
      <c r="AT2196" t="s">
        <v>310</v>
      </c>
      <c r="AU2196" t="s">
        <v>13092</v>
      </c>
    </row>
    <row r="2197" spans="1:47">
      <c r="A2197" s="1">
        <f>HYPERLINK("https://cms.ls-nyc.org/matter/dynamic-profile/view/1872229","18-1872229")</f>
        <v>0</v>
      </c>
      <c r="B2197" t="s">
        <v>132</v>
      </c>
      <c r="C2197" t="s">
        <v>497</v>
      </c>
      <c r="E2197" t="s">
        <v>586</v>
      </c>
      <c r="F2197" t="s">
        <v>2318</v>
      </c>
      <c r="G2197" t="s">
        <v>4937</v>
      </c>
      <c r="H2197" t="s">
        <v>5836</v>
      </c>
      <c r="I2197" t="s">
        <v>6049</v>
      </c>
      <c r="J2197">
        <v>10033</v>
      </c>
      <c r="K2197" t="s">
        <v>6074</v>
      </c>
      <c r="L2197" t="s">
        <v>6074</v>
      </c>
      <c r="M2197" t="s">
        <v>6986</v>
      </c>
      <c r="N2197" t="s">
        <v>7274</v>
      </c>
      <c r="O2197" t="s">
        <v>7308</v>
      </c>
      <c r="Q2197" t="s">
        <v>7322</v>
      </c>
      <c r="R2197" t="s">
        <v>6076</v>
      </c>
      <c r="S2197" t="s">
        <v>7324</v>
      </c>
      <c r="U2197" t="s">
        <v>497</v>
      </c>
      <c r="V2197">
        <v>1849.62</v>
      </c>
      <c r="W2197" t="s">
        <v>7365</v>
      </c>
      <c r="X2197" t="s">
        <v>7367</v>
      </c>
      <c r="Z2197" t="s">
        <v>9083</v>
      </c>
      <c r="AB2197" t="s">
        <v>11778</v>
      </c>
      <c r="AC2197">
        <v>19</v>
      </c>
      <c r="AD2197" t="s">
        <v>12422</v>
      </c>
      <c r="AE2197" t="s">
        <v>6110</v>
      </c>
      <c r="AF2197">
        <v>15</v>
      </c>
      <c r="AG2197">
        <v>3</v>
      </c>
      <c r="AH2197">
        <v>0</v>
      </c>
      <c r="AI2197">
        <v>150.14</v>
      </c>
      <c r="AL2197" t="s">
        <v>12461</v>
      </c>
      <c r="AM2197">
        <v>31200</v>
      </c>
      <c r="AS2197">
        <v>75.5</v>
      </c>
      <c r="AT2197" t="s">
        <v>496</v>
      </c>
      <c r="AU2197" t="s">
        <v>13106</v>
      </c>
    </row>
    <row r="2198" spans="1:47">
      <c r="A2198" s="1">
        <f>HYPERLINK("https://cms.ls-nyc.org/matter/dynamic-profile/view/1872745","18-1872745")</f>
        <v>0</v>
      </c>
      <c r="B2198" t="s">
        <v>82</v>
      </c>
      <c r="C2198" t="s">
        <v>368</v>
      </c>
      <c r="E2198" t="s">
        <v>659</v>
      </c>
      <c r="F2198" t="s">
        <v>2154</v>
      </c>
      <c r="G2198" t="s">
        <v>3731</v>
      </c>
      <c r="H2198" t="s">
        <v>5565</v>
      </c>
      <c r="I2198" t="s">
        <v>6043</v>
      </c>
      <c r="J2198">
        <v>11225</v>
      </c>
      <c r="K2198" t="s">
        <v>6074</v>
      </c>
      <c r="L2198" t="s">
        <v>6074</v>
      </c>
      <c r="N2198" t="s">
        <v>7273</v>
      </c>
      <c r="O2198" t="s">
        <v>7310</v>
      </c>
      <c r="Q2198" t="s">
        <v>7322</v>
      </c>
      <c r="R2198" t="s">
        <v>6074</v>
      </c>
      <c r="S2198" t="s">
        <v>7324</v>
      </c>
      <c r="T2198" t="s">
        <v>7336</v>
      </c>
      <c r="U2198" t="s">
        <v>357</v>
      </c>
      <c r="V2198">
        <v>813</v>
      </c>
      <c r="W2198" t="s">
        <v>7362</v>
      </c>
      <c r="X2198" t="s">
        <v>7376</v>
      </c>
      <c r="Z2198" t="s">
        <v>9084</v>
      </c>
      <c r="AC2198">
        <v>47</v>
      </c>
      <c r="AD2198" t="s">
        <v>12422</v>
      </c>
      <c r="AE2198" t="s">
        <v>12441</v>
      </c>
      <c r="AF2198">
        <v>43</v>
      </c>
      <c r="AG2198">
        <v>2</v>
      </c>
      <c r="AH2198">
        <v>0</v>
      </c>
      <c r="AI2198">
        <v>150.18</v>
      </c>
      <c r="AM2198">
        <v>24720</v>
      </c>
      <c r="AS2198">
        <v>1</v>
      </c>
      <c r="AT2198" t="s">
        <v>368</v>
      </c>
      <c r="AU2198" t="s">
        <v>13087</v>
      </c>
    </row>
    <row r="2199" spans="1:47">
      <c r="A2199" s="1">
        <f>HYPERLINK("https://cms.ls-nyc.org/matter/dynamic-profile/view/1895320","19-1895320")</f>
        <v>0</v>
      </c>
      <c r="B2199" t="s">
        <v>174</v>
      </c>
      <c r="C2199" t="s">
        <v>247</v>
      </c>
      <c r="E2199" t="s">
        <v>651</v>
      </c>
      <c r="F2199" t="s">
        <v>3181</v>
      </c>
      <c r="G2199" t="s">
        <v>4938</v>
      </c>
      <c r="H2199" t="s">
        <v>5438</v>
      </c>
      <c r="I2199" t="s">
        <v>6043</v>
      </c>
      <c r="J2199">
        <v>11221</v>
      </c>
      <c r="K2199" t="s">
        <v>6076</v>
      </c>
      <c r="L2199" t="s">
        <v>6076</v>
      </c>
      <c r="N2199" t="s">
        <v>7287</v>
      </c>
      <c r="O2199" t="s">
        <v>7308</v>
      </c>
      <c r="Q2199" t="s">
        <v>7322</v>
      </c>
      <c r="R2199" t="s">
        <v>6074</v>
      </c>
      <c r="S2199" t="s">
        <v>7324</v>
      </c>
      <c r="U2199" t="s">
        <v>247</v>
      </c>
      <c r="V2199">
        <v>790</v>
      </c>
      <c r="W2199" t="s">
        <v>7362</v>
      </c>
      <c r="X2199" t="s">
        <v>7376</v>
      </c>
      <c r="Z2199" t="s">
        <v>9085</v>
      </c>
      <c r="AB2199" t="s">
        <v>11779</v>
      </c>
      <c r="AC2199">
        <v>13</v>
      </c>
      <c r="AD2199" t="s">
        <v>12422</v>
      </c>
      <c r="AE2199" t="s">
        <v>6110</v>
      </c>
      <c r="AF2199">
        <v>20</v>
      </c>
      <c r="AG2199">
        <v>1</v>
      </c>
      <c r="AH2199">
        <v>0</v>
      </c>
      <c r="AI2199">
        <v>150.68</v>
      </c>
      <c r="AL2199" t="s">
        <v>12460</v>
      </c>
      <c r="AM2199">
        <v>18820</v>
      </c>
      <c r="AS2199">
        <v>0</v>
      </c>
      <c r="AU2199" t="s">
        <v>218</v>
      </c>
    </row>
    <row r="2200" spans="1:47">
      <c r="A2200" s="1">
        <f>HYPERLINK("https://cms.ls-nyc.org/matter/dynamic-profile/view/1895735","19-1895735")</f>
        <v>0</v>
      </c>
      <c r="B2200" t="s">
        <v>86</v>
      </c>
      <c r="C2200" t="s">
        <v>315</v>
      </c>
      <c r="E2200" t="s">
        <v>1574</v>
      </c>
      <c r="F2200" t="s">
        <v>3075</v>
      </c>
      <c r="G2200" t="s">
        <v>4811</v>
      </c>
      <c r="H2200" t="s">
        <v>5400</v>
      </c>
      <c r="I2200" t="s">
        <v>6043</v>
      </c>
      <c r="J2200">
        <v>11212</v>
      </c>
      <c r="K2200" t="s">
        <v>6074</v>
      </c>
      <c r="L2200" t="s">
        <v>6074</v>
      </c>
      <c r="N2200" t="s">
        <v>7291</v>
      </c>
      <c r="O2200" t="s">
        <v>7309</v>
      </c>
      <c r="Q2200" t="s">
        <v>7322</v>
      </c>
      <c r="R2200" t="s">
        <v>6076</v>
      </c>
      <c r="S2200" t="s">
        <v>7327</v>
      </c>
      <c r="T2200" t="s">
        <v>7340</v>
      </c>
      <c r="U2200" t="s">
        <v>264</v>
      </c>
      <c r="V2200">
        <v>1650</v>
      </c>
      <c r="W2200" t="s">
        <v>7362</v>
      </c>
      <c r="X2200" t="s">
        <v>7368</v>
      </c>
      <c r="Z2200" t="s">
        <v>8912</v>
      </c>
      <c r="AA2200" t="s">
        <v>10217</v>
      </c>
      <c r="AB2200" t="s">
        <v>11613</v>
      </c>
      <c r="AC2200">
        <v>49</v>
      </c>
      <c r="AD2200" t="s">
        <v>12422</v>
      </c>
      <c r="AE2200" t="s">
        <v>12438</v>
      </c>
      <c r="AF2200">
        <v>8</v>
      </c>
      <c r="AG2200">
        <v>1</v>
      </c>
      <c r="AH2200">
        <v>1</v>
      </c>
      <c r="AI2200">
        <v>150.68</v>
      </c>
      <c r="AL2200" t="s">
        <v>12460</v>
      </c>
      <c r="AM2200">
        <v>25480</v>
      </c>
      <c r="AS2200">
        <v>7.8</v>
      </c>
      <c r="AT2200" t="s">
        <v>265</v>
      </c>
      <c r="AU2200" t="s">
        <v>180</v>
      </c>
    </row>
    <row r="2201" spans="1:47">
      <c r="A2201" s="1">
        <f>HYPERLINK("https://cms.ls-nyc.org/matter/dynamic-profile/view/1857547","18-1857547")</f>
        <v>0</v>
      </c>
      <c r="B2201" t="s">
        <v>104</v>
      </c>
      <c r="C2201" t="s">
        <v>476</v>
      </c>
      <c r="E2201" t="s">
        <v>861</v>
      </c>
      <c r="F2201" t="s">
        <v>1659</v>
      </c>
      <c r="G2201" t="s">
        <v>4161</v>
      </c>
      <c r="H2201" t="s">
        <v>5837</v>
      </c>
      <c r="I2201" t="s">
        <v>6047</v>
      </c>
      <c r="J2201">
        <v>10452</v>
      </c>
      <c r="K2201" t="s">
        <v>6074</v>
      </c>
      <c r="L2201" t="s">
        <v>6075</v>
      </c>
      <c r="M2201" t="s">
        <v>6537</v>
      </c>
      <c r="N2201" t="s">
        <v>7285</v>
      </c>
      <c r="O2201" t="s">
        <v>7311</v>
      </c>
      <c r="Q2201" t="s">
        <v>7322</v>
      </c>
      <c r="R2201" t="s">
        <v>6074</v>
      </c>
      <c r="S2201" t="s">
        <v>7324</v>
      </c>
      <c r="U2201" t="s">
        <v>7344</v>
      </c>
      <c r="V2201">
        <v>914.08</v>
      </c>
      <c r="W2201" t="s">
        <v>7363</v>
      </c>
      <c r="X2201" t="s">
        <v>7376</v>
      </c>
      <c r="Z2201" t="s">
        <v>9086</v>
      </c>
      <c r="AB2201" t="s">
        <v>11780</v>
      </c>
      <c r="AC2201">
        <v>122</v>
      </c>
      <c r="AD2201" t="s">
        <v>12422</v>
      </c>
      <c r="AE2201" t="s">
        <v>6110</v>
      </c>
      <c r="AF2201">
        <v>13</v>
      </c>
      <c r="AG2201">
        <v>1</v>
      </c>
      <c r="AH2201">
        <v>0</v>
      </c>
      <c r="AI2201">
        <v>150.91</v>
      </c>
      <c r="AL2201" t="s">
        <v>12460</v>
      </c>
      <c r="AM2201">
        <v>18200</v>
      </c>
      <c r="AN2201" t="s">
        <v>12584</v>
      </c>
      <c r="AS2201">
        <v>0</v>
      </c>
      <c r="AU2201" t="s">
        <v>13099</v>
      </c>
    </row>
    <row r="2202" spans="1:47">
      <c r="A2202" s="1">
        <f>HYPERLINK("https://cms.ls-nyc.org/matter/dynamic-profile/view/1885216","18-1885216")</f>
        <v>0</v>
      </c>
      <c r="B2202" t="s">
        <v>98</v>
      </c>
      <c r="C2202" t="s">
        <v>341</v>
      </c>
      <c r="D2202" t="s">
        <v>396</v>
      </c>
      <c r="E2202" t="s">
        <v>1671</v>
      </c>
      <c r="F2202" t="s">
        <v>2471</v>
      </c>
      <c r="G2202" t="s">
        <v>4668</v>
      </c>
      <c r="H2202" t="s">
        <v>5355</v>
      </c>
      <c r="I2202" t="s">
        <v>6047</v>
      </c>
      <c r="J2202">
        <v>10460</v>
      </c>
      <c r="K2202" t="s">
        <v>6074</v>
      </c>
      <c r="L2202" t="s">
        <v>6074</v>
      </c>
      <c r="M2202" t="s">
        <v>6987</v>
      </c>
      <c r="N2202" t="s">
        <v>7276</v>
      </c>
      <c r="O2202" t="s">
        <v>7306</v>
      </c>
      <c r="P2202" t="s">
        <v>7314</v>
      </c>
      <c r="Q2202" t="s">
        <v>7322</v>
      </c>
      <c r="R2202" t="s">
        <v>6076</v>
      </c>
      <c r="S2202" t="s">
        <v>7324</v>
      </c>
      <c r="T2202" t="s">
        <v>7338</v>
      </c>
      <c r="U2202" t="s">
        <v>389</v>
      </c>
      <c r="V2202">
        <v>1500</v>
      </c>
      <c r="W2202" t="s">
        <v>7363</v>
      </c>
      <c r="X2202" t="s">
        <v>7305</v>
      </c>
      <c r="Y2202" t="s">
        <v>7386</v>
      </c>
      <c r="Z2202" t="s">
        <v>9087</v>
      </c>
      <c r="AB2202" t="s">
        <v>11781</v>
      </c>
      <c r="AC2202">
        <v>40</v>
      </c>
      <c r="AD2202" t="s">
        <v>6322</v>
      </c>
      <c r="AE2202" t="s">
        <v>6110</v>
      </c>
      <c r="AF2202">
        <v>1</v>
      </c>
      <c r="AG2202">
        <v>2</v>
      </c>
      <c r="AH2202">
        <v>3</v>
      </c>
      <c r="AI2202">
        <v>150.92</v>
      </c>
      <c r="AL2202" t="s">
        <v>12461</v>
      </c>
      <c r="AM2202">
        <v>44400</v>
      </c>
      <c r="AS2202">
        <v>1.6</v>
      </c>
      <c r="AT2202" t="s">
        <v>389</v>
      </c>
      <c r="AU2202" t="s">
        <v>13096</v>
      </c>
    </row>
    <row r="2203" spans="1:47">
      <c r="A2203" s="1">
        <f>HYPERLINK("https://cms.ls-nyc.org/matter/dynamic-profile/view/1883904","18-1883904")</f>
        <v>0</v>
      </c>
      <c r="B2203" t="s">
        <v>116</v>
      </c>
      <c r="C2203" t="s">
        <v>305</v>
      </c>
      <c r="D2203" t="s">
        <v>443</v>
      </c>
      <c r="E2203" t="s">
        <v>825</v>
      </c>
      <c r="F2203" t="s">
        <v>3182</v>
      </c>
      <c r="G2203" t="s">
        <v>4939</v>
      </c>
      <c r="H2203">
        <v>1</v>
      </c>
      <c r="I2203" t="s">
        <v>6047</v>
      </c>
      <c r="J2203">
        <v>10457</v>
      </c>
      <c r="K2203" t="s">
        <v>6074</v>
      </c>
      <c r="L2203" t="s">
        <v>6074</v>
      </c>
      <c r="N2203" t="s">
        <v>7274</v>
      </c>
      <c r="O2203" t="s">
        <v>7306</v>
      </c>
      <c r="P2203" t="s">
        <v>7314</v>
      </c>
      <c r="Q2203" t="s">
        <v>7322</v>
      </c>
      <c r="R2203" t="s">
        <v>6076</v>
      </c>
      <c r="S2203" t="s">
        <v>7324</v>
      </c>
      <c r="T2203" t="s">
        <v>7336</v>
      </c>
      <c r="U2203" t="s">
        <v>269</v>
      </c>
      <c r="V2203">
        <v>900</v>
      </c>
      <c r="W2203" t="s">
        <v>7363</v>
      </c>
      <c r="X2203" t="s">
        <v>7378</v>
      </c>
      <c r="Y2203" t="s">
        <v>7386</v>
      </c>
      <c r="Z2203" t="s">
        <v>9088</v>
      </c>
      <c r="AB2203" t="s">
        <v>11782</v>
      </c>
      <c r="AC2203">
        <v>3</v>
      </c>
      <c r="AF2203">
        <v>8</v>
      </c>
      <c r="AG2203">
        <v>1</v>
      </c>
      <c r="AH2203">
        <v>1</v>
      </c>
      <c r="AI2203">
        <v>151.64</v>
      </c>
      <c r="AL2203" t="s">
        <v>12460</v>
      </c>
      <c r="AM2203">
        <v>24960</v>
      </c>
      <c r="AN2203" t="s">
        <v>12568</v>
      </c>
      <c r="AS2203">
        <v>1.25</v>
      </c>
      <c r="AT2203" t="s">
        <v>443</v>
      </c>
      <c r="AU2203" t="s">
        <v>13090</v>
      </c>
    </row>
    <row r="2204" spans="1:47">
      <c r="A2204" s="1">
        <f>HYPERLINK("https://cms.ls-nyc.org/matter/dynamic-profile/view/1886148","18-1886148")</f>
        <v>0</v>
      </c>
      <c r="B2204" t="s">
        <v>113</v>
      </c>
      <c r="C2204" t="s">
        <v>326</v>
      </c>
      <c r="E2204" t="s">
        <v>1672</v>
      </c>
      <c r="F2204" t="s">
        <v>3183</v>
      </c>
      <c r="G2204" t="s">
        <v>4940</v>
      </c>
      <c r="I2204" t="s">
        <v>6047</v>
      </c>
      <c r="J2204">
        <v>10452</v>
      </c>
      <c r="K2204" t="s">
        <v>6074</v>
      </c>
      <c r="L2204" t="s">
        <v>6074</v>
      </c>
      <c r="N2204" t="s">
        <v>7279</v>
      </c>
      <c r="O2204" t="s">
        <v>7311</v>
      </c>
      <c r="Q2204" t="s">
        <v>7322</v>
      </c>
      <c r="R2204" t="s">
        <v>6076</v>
      </c>
      <c r="S2204" t="s">
        <v>7324</v>
      </c>
      <c r="U2204" t="s">
        <v>292</v>
      </c>
      <c r="V2204">
        <v>2287.36</v>
      </c>
      <c r="W2204" t="s">
        <v>7363</v>
      </c>
      <c r="X2204" t="s">
        <v>7367</v>
      </c>
      <c r="Z2204" t="s">
        <v>9089</v>
      </c>
      <c r="AB2204" t="s">
        <v>11783</v>
      </c>
      <c r="AC2204">
        <v>37</v>
      </c>
      <c r="AD2204" t="s">
        <v>12422</v>
      </c>
      <c r="AE2204" t="s">
        <v>6110</v>
      </c>
      <c r="AF2204">
        <v>9</v>
      </c>
      <c r="AG2204">
        <v>6</v>
      </c>
      <c r="AH2204">
        <v>4</v>
      </c>
      <c r="AI2204">
        <v>151.75</v>
      </c>
      <c r="AL2204" t="s">
        <v>12461</v>
      </c>
      <c r="AM2204">
        <v>77420.39999999999</v>
      </c>
      <c r="AS2204">
        <v>2.2</v>
      </c>
      <c r="AT2204" t="s">
        <v>263</v>
      </c>
      <c r="AU2204" t="s">
        <v>13095</v>
      </c>
    </row>
    <row r="2205" spans="1:47">
      <c r="A2205" s="1">
        <f>HYPERLINK("https://cms.ls-nyc.org/matter/dynamic-profile/view/1878990","18-1878990")</f>
        <v>0</v>
      </c>
      <c r="B2205" t="s">
        <v>99</v>
      </c>
      <c r="C2205" t="s">
        <v>438</v>
      </c>
      <c r="D2205" t="s">
        <v>258</v>
      </c>
      <c r="E2205" t="s">
        <v>1521</v>
      </c>
      <c r="F2205" t="s">
        <v>2059</v>
      </c>
      <c r="G2205" t="s">
        <v>4941</v>
      </c>
      <c r="H2205" t="s">
        <v>5444</v>
      </c>
      <c r="I2205" t="s">
        <v>6047</v>
      </c>
      <c r="J2205">
        <v>10456</v>
      </c>
      <c r="K2205" t="s">
        <v>6074</v>
      </c>
      <c r="L2205" t="s">
        <v>6074</v>
      </c>
      <c r="M2205" t="s">
        <v>6110</v>
      </c>
      <c r="N2205" t="s">
        <v>7278</v>
      </c>
      <c r="O2205" t="s">
        <v>7306</v>
      </c>
      <c r="P2205" t="s">
        <v>7314</v>
      </c>
      <c r="Q2205" t="s">
        <v>7322</v>
      </c>
      <c r="R2205" t="s">
        <v>6076</v>
      </c>
      <c r="S2205" t="s">
        <v>7324</v>
      </c>
      <c r="T2205" t="s">
        <v>7336</v>
      </c>
      <c r="U2205" t="s">
        <v>258</v>
      </c>
      <c r="V2205">
        <v>0</v>
      </c>
      <c r="W2205" t="s">
        <v>7363</v>
      </c>
      <c r="X2205" t="s">
        <v>7376</v>
      </c>
      <c r="Y2205" t="s">
        <v>7386</v>
      </c>
      <c r="Z2205" t="s">
        <v>9090</v>
      </c>
      <c r="AB2205" t="s">
        <v>11784</v>
      </c>
      <c r="AC2205">
        <v>0</v>
      </c>
      <c r="AD2205" t="s">
        <v>6322</v>
      </c>
      <c r="AE2205" t="s">
        <v>6110</v>
      </c>
      <c r="AF2205">
        <v>0</v>
      </c>
      <c r="AG2205">
        <v>2</v>
      </c>
      <c r="AH2205">
        <v>2</v>
      </c>
      <c r="AI2205">
        <v>151.86</v>
      </c>
      <c r="AL2205" t="s">
        <v>12460</v>
      </c>
      <c r="AM2205">
        <v>38116</v>
      </c>
      <c r="AS2205">
        <v>1.1</v>
      </c>
      <c r="AT2205" t="s">
        <v>414</v>
      </c>
      <c r="AU2205" t="s">
        <v>99</v>
      </c>
    </row>
    <row r="2206" spans="1:47">
      <c r="A2206" s="1">
        <f>HYPERLINK("https://cms.ls-nyc.org/matter/dynamic-profile/view/1877384","18-1877384")</f>
        <v>0</v>
      </c>
      <c r="B2206" t="s">
        <v>157</v>
      </c>
      <c r="C2206" t="s">
        <v>409</v>
      </c>
      <c r="E2206" t="s">
        <v>1673</v>
      </c>
      <c r="F2206" t="s">
        <v>2316</v>
      </c>
      <c r="G2206" t="s">
        <v>4942</v>
      </c>
      <c r="H2206" t="s">
        <v>5436</v>
      </c>
      <c r="I2206" t="s">
        <v>6043</v>
      </c>
      <c r="J2206">
        <v>11212</v>
      </c>
      <c r="K2206" t="s">
        <v>6074</v>
      </c>
      <c r="L2206" t="s">
        <v>6074</v>
      </c>
      <c r="M2206" t="s">
        <v>6988</v>
      </c>
      <c r="N2206" t="s">
        <v>7277</v>
      </c>
      <c r="O2206" t="s">
        <v>7310</v>
      </c>
      <c r="Q2206" t="s">
        <v>7322</v>
      </c>
      <c r="S2206" t="s">
        <v>7324</v>
      </c>
      <c r="U2206" t="s">
        <v>290</v>
      </c>
      <c r="V2206">
        <v>1600</v>
      </c>
      <c r="W2206" t="s">
        <v>7362</v>
      </c>
      <c r="X2206" t="s">
        <v>7366</v>
      </c>
      <c r="Z2206" t="s">
        <v>9091</v>
      </c>
      <c r="AB2206" t="s">
        <v>11785</v>
      </c>
      <c r="AC2206">
        <v>2</v>
      </c>
      <c r="AE2206" t="s">
        <v>6110</v>
      </c>
      <c r="AF2206">
        <v>2</v>
      </c>
      <c r="AG2206">
        <v>1</v>
      </c>
      <c r="AH2206">
        <v>1</v>
      </c>
      <c r="AI2206">
        <v>151.88</v>
      </c>
      <c r="AL2206" t="s">
        <v>12460</v>
      </c>
      <c r="AM2206">
        <v>25000</v>
      </c>
      <c r="AS2206">
        <v>9.75</v>
      </c>
      <c r="AT2206" t="s">
        <v>239</v>
      </c>
      <c r="AU2206" t="s">
        <v>13082</v>
      </c>
    </row>
    <row r="2207" spans="1:47">
      <c r="A2207" s="1">
        <f>HYPERLINK("https://cms.ls-nyc.org/matter/dynamic-profile/view/1882962","18-1882962")</f>
        <v>0</v>
      </c>
      <c r="B2207" t="s">
        <v>98</v>
      </c>
      <c r="C2207" t="s">
        <v>416</v>
      </c>
      <c r="E2207" t="s">
        <v>1674</v>
      </c>
      <c r="F2207" t="s">
        <v>3184</v>
      </c>
      <c r="G2207" t="s">
        <v>3786</v>
      </c>
      <c r="H2207" t="s">
        <v>5513</v>
      </c>
      <c r="I2207" t="s">
        <v>6047</v>
      </c>
      <c r="J2207">
        <v>10457</v>
      </c>
      <c r="K2207" t="s">
        <v>6074</v>
      </c>
      <c r="L2207" t="s">
        <v>6074</v>
      </c>
      <c r="M2207" t="s">
        <v>6187</v>
      </c>
      <c r="N2207" t="s">
        <v>7279</v>
      </c>
      <c r="O2207" t="s">
        <v>7311</v>
      </c>
      <c r="Q2207" t="s">
        <v>7322</v>
      </c>
      <c r="R2207" t="s">
        <v>6074</v>
      </c>
      <c r="S2207" t="s">
        <v>7324</v>
      </c>
      <c r="U2207" t="s">
        <v>472</v>
      </c>
      <c r="V2207">
        <v>1179</v>
      </c>
      <c r="W2207" t="s">
        <v>7363</v>
      </c>
      <c r="X2207" t="s">
        <v>7376</v>
      </c>
      <c r="Z2207" t="s">
        <v>9092</v>
      </c>
      <c r="AB2207" t="s">
        <v>11786</v>
      </c>
      <c r="AC2207">
        <v>47</v>
      </c>
      <c r="AD2207" t="s">
        <v>12422</v>
      </c>
      <c r="AE2207" t="s">
        <v>6110</v>
      </c>
      <c r="AF2207">
        <v>8</v>
      </c>
      <c r="AG2207">
        <v>1</v>
      </c>
      <c r="AH2207">
        <v>1</v>
      </c>
      <c r="AI2207">
        <v>151.88</v>
      </c>
      <c r="AL2207" t="s">
        <v>12461</v>
      </c>
      <c r="AM2207">
        <v>25000</v>
      </c>
      <c r="AS2207">
        <v>0.1</v>
      </c>
      <c r="AT2207" t="s">
        <v>254</v>
      </c>
      <c r="AU2207" t="s">
        <v>13092</v>
      </c>
    </row>
    <row r="2208" spans="1:47">
      <c r="A2208" s="1">
        <f>HYPERLINK("https://cms.ls-nyc.org/matter/dynamic-profile/view/1882956","18-1882956")</f>
        <v>0</v>
      </c>
      <c r="B2208" t="s">
        <v>98</v>
      </c>
      <c r="C2208" t="s">
        <v>416</v>
      </c>
      <c r="E2208" t="s">
        <v>1674</v>
      </c>
      <c r="F2208" t="s">
        <v>3184</v>
      </c>
      <c r="G2208" t="s">
        <v>3786</v>
      </c>
      <c r="H2208" t="s">
        <v>5513</v>
      </c>
      <c r="I2208" t="s">
        <v>6047</v>
      </c>
      <c r="J2208">
        <v>10457</v>
      </c>
      <c r="K2208" t="s">
        <v>6074</v>
      </c>
      <c r="L2208" t="s">
        <v>6074</v>
      </c>
      <c r="M2208" t="s">
        <v>6191</v>
      </c>
      <c r="N2208" t="s">
        <v>7273</v>
      </c>
      <c r="O2208" t="s">
        <v>7308</v>
      </c>
      <c r="Q2208" t="s">
        <v>7322</v>
      </c>
      <c r="R2208" t="s">
        <v>6074</v>
      </c>
      <c r="S2208" t="s">
        <v>7324</v>
      </c>
      <c r="U2208" t="s">
        <v>472</v>
      </c>
      <c r="V2208">
        <v>1179</v>
      </c>
      <c r="W2208" t="s">
        <v>7363</v>
      </c>
      <c r="X2208" t="s">
        <v>7376</v>
      </c>
      <c r="Z2208" t="s">
        <v>9092</v>
      </c>
      <c r="AB2208" t="s">
        <v>11786</v>
      </c>
      <c r="AC2208">
        <v>47</v>
      </c>
      <c r="AD2208" t="s">
        <v>12422</v>
      </c>
      <c r="AE2208" t="s">
        <v>6110</v>
      </c>
      <c r="AF2208">
        <v>8</v>
      </c>
      <c r="AG2208">
        <v>1</v>
      </c>
      <c r="AH2208">
        <v>1</v>
      </c>
      <c r="AI2208">
        <v>151.88</v>
      </c>
      <c r="AL2208" t="s">
        <v>12461</v>
      </c>
      <c r="AM2208">
        <v>25000</v>
      </c>
      <c r="AS2208">
        <v>0.2</v>
      </c>
      <c r="AT2208" t="s">
        <v>234</v>
      </c>
      <c r="AU2208" t="s">
        <v>13092</v>
      </c>
    </row>
    <row r="2209" spans="1:48">
      <c r="A2209" s="1">
        <f>HYPERLINK("https://cms.ls-nyc.org/matter/dynamic-profile/view/1872365","18-1872365")</f>
        <v>0</v>
      </c>
      <c r="B2209" t="s">
        <v>214</v>
      </c>
      <c r="C2209" t="s">
        <v>394</v>
      </c>
      <c r="D2209" t="s">
        <v>274</v>
      </c>
      <c r="E2209" t="s">
        <v>698</v>
      </c>
      <c r="F2209" t="s">
        <v>3185</v>
      </c>
      <c r="G2209" t="s">
        <v>4943</v>
      </c>
      <c r="H2209" t="s">
        <v>5417</v>
      </c>
      <c r="I2209" t="s">
        <v>6049</v>
      </c>
      <c r="J2209">
        <v>10026</v>
      </c>
      <c r="K2209" t="s">
        <v>6074</v>
      </c>
      <c r="L2209" t="s">
        <v>6074</v>
      </c>
      <c r="M2209" t="s">
        <v>6989</v>
      </c>
      <c r="N2209" t="s">
        <v>7274</v>
      </c>
      <c r="O2209" t="s">
        <v>7306</v>
      </c>
      <c r="P2209" t="s">
        <v>7314</v>
      </c>
      <c r="Q2209" t="s">
        <v>7322</v>
      </c>
      <c r="R2209" t="s">
        <v>6076</v>
      </c>
      <c r="S2209" t="s">
        <v>7324</v>
      </c>
      <c r="U2209" t="s">
        <v>394</v>
      </c>
      <c r="V2209">
        <v>2500</v>
      </c>
      <c r="W2209" t="s">
        <v>7365</v>
      </c>
      <c r="X2209" t="s">
        <v>7379</v>
      </c>
      <c r="Y2209" t="s">
        <v>7386</v>
      </c>
      <c r="Z2209" t="s">
        <v>9093</v>
      </c>
      <c r="AB2209" t="s">
        <v>11787</v>
      </c>
      <c r="AC2209">
        <v>0</v>
      </c>
      <c r="AD2209" t="s">
        <v>6322</v>
      </c>
      <c r="AE2209" t="s">
        <v>6110</v>
      </c>
      <c r="AF2209">
        <v>5</v>
      </c>
      <c r="AG2209">
        <v>3</v>
      </c>
      <c r="AH2209">
        <v>2</v>
      </c>
      <c r="AI2209">
        <v>152.01</v>
      </c>
      <c r="AL2209" t="s">
        <v>12460</v>
      </c>
      <c r="AM2209">
        <v>44720</v>
      </c>
      <c r="AS2209">
        <v>2</v>
      </c>
      <c r="AT2209" t="s">
        <v>289</v>
      </c>
      <c r="AU2209" t="s">
        <v>13111</v>
      </c>
    </row>
    <row r="2210" spans="1:48">
      <c r="A2210" s="1">
        <f>HYPERLINK("https://cms.ls-nyc.org/matter/dynamic-profile/view/1891916","19-1891916")</f>
        <v>0</v>
      </c>
      <c r="B2210" t="s">
        <v>133</v>
      </c>
      <c r="C2210" t="s">
        <v>329</v>
      </c>
      <c r="D2210" t="s">
        <v>356</v>
      </c>
      <c r="E2210" t="s">
        <v>1675</v>
      </c>
      <c r="F2210" t="s">
        <v>2458</v>
      </c>
      <c r="G2210" t="s">
        <v>4944</v>
      </c>
      <c r="H2210" t="s">
        <v>5490</v>
      </c>
      <c r="I2210" t="s">
        <v>6049</v>
      </c>
      <c r="J2210">
        <v>10034</v>
      </c>
      <c r="K2210" t="s">
        <v>6074</v>
      </c>
      <c r="L2210" t="s">
        <v>6074</v>
      </c>
      <c r="O2210" t="s">
        <v>7306</v>
      </c>
      <c r="P2210" t="s">
        <v>7314</v>
      </c>
      <c r="Q2210" t="s">
        <v>7322</v>
      </c>
      <c r="R2210" t="s">
        <v>6076</v>
      </c>
      <c r="S2210" t="s">
        <v>7324</v>
      </c>
      <c r="U2210" t="s">
        <v>329</v>
      </c>
      <c r="V2210">
        <v>489.71</v>
      </c>
      <c r="W2210" t="s">
        <v>7365</v>
      </c>
      <c r="X2210" t="s">
        <v>7367</v>
      </c>
      <c r="Y2210" t="s">
        <v>7386</v>
      </c>
      <c r="Z2210" t="s">
        <v>9047</v>
      </c>
      <c r="AB2210" t="s">
        <v>11788</v>
      </c>
      <c r="AC2210">
        <v>0</v>
      </c>
      <c r="AD2210" t="s">
        <v>12422</v>
      </c>
      <c r="AE2210" t="s">
        <v>6110</v>
      </c>
      <c r="AF2210">
        <v>27</v>
      </c>
      <c r="AG2210">
        <v>1</v>
      </c>
      <c r="AH2210">
        <v>0</v>
      </c>
      <c r="AI2210">
        <v>152.12</v>
      </c>
      <c r="AL2210" t="s">
        <v>12460</v>
      </c>
      <c r="AM2210">
        <v>19000</v>
      </c>
      <c r="AS2210">
        <v>1.8</v>
      </c>
      <c r="AT2210" t="s">
        <v>356</v>
      </c>
      <c r="AU2210" t="s">
        <v>13106</v>
      </c>
    </row>
    <row r="2211" spans="1:48">
      <c r="A2211" s="1">
        <f>HYPERLINK("https://cms.ls-nyc.org/matter/dynamic-profile/view/1878647","18-1878647")</f>
        <v>0</v>
      </c>
      <c r="B2211" t="s">
        <v>80</v>
      </c>
      <c r="C2211" t="s">
        <v>299</v>
      </c>
      <c r="E2211" t="s">
        <v>1517</v>
      </c>
      <c r="F2211" t="s">
        <v>2515</v>
      </c>
      <c r="G2211" t="s">
        <v>4354</v>
      </c>
      <c r="H2211" t="s">
        <v>5418</v>
      </c>
      <c r="I2211" t="s">
        <v>6043</v>
      </c>
      <c r="J2211">
        <v>11221</v>
      </c>
      <c r="K2211" t="s">
        <v>6074</v>
      </c>
      <c r="L2211" t="s">
        <v>6074</v>
      </c>
      <c r="N2211" t="s">
        <v>7279</v>
      </c>
      <c r="O2211" t="s">
        <v>7311</v>
      </c>
      <c r="Q2211" t="s">
        <v>7322</v>
      </c>
      <c r="S2211" t="s">
        <v>7324</v>
      </c>
      <c r="U2211" t="s">
        <v>274</v>
      </c>
      <c r="V2211">
        <v>1091.82</v>
      </c>
      <c r="W2211" t="s">
        <v>7362</v>
      </c>
      <c r="X2211" t="s">
        <v>7376</v>
      </c>
      <c r="Z2211" t="s">
        <v>9062</v>
      </c>
      <c r="AA2211" t="s">
        <v>9871</v>
      </c>
      <c r="AB2211" t="s">
        <v>11759</v>
      </c>
      <c r="AC2211">
        <v>12</v>
      </c>
      <c r="AD2211" t="s">
        <v>12422</v>
      </c>
      <c r="AE2211" t="s">
        <v>12434</v>
      </c>
      <c r="AF2211">
        <v>12</v>
      </c>
      <c r="AG2211">
        <v>1</v>
      </c>
      <c r="AH2211">
        <v>0</v>
      </c>
      <c r="AI2211">
        <v>152.2</v>
      </c>
      <c r="AL2211" t="s">
        <v>12460</v>
      </c>
      <c r="AM2211">
        <v>18476.9</v>
      </c>
      <c r="AN2211" t="s">
        <v>12668</v>
      </c>
      <c r="AS2211">
        <v>0</v>
      </c>
      <c r="AU2211" t="s">
        <v>218</v>
      </c>
    </row>
    <row r="2212" spans="1:48">
      <c r="A2212" s="1">
        <f>HYPERLINK("https://cms.ls-nyc.org/matter/dynamic-profile/view/1878651","18-1878651")</f>
        <v>0</v>
      </c>
      <c r="B2212" t="s">
        <v>80</v>
      </c>
      <c r="C2212" t="s">
        <v>299</v>
      </c>
      <c r="E2212" t="s">
        <v>1517</v>
      </c>
      <c r="F2212" t="s">
        <v>2515</v>
      </c>
      <c r="G2212" t="s">
        <v>4354</v>
      </c>
      <c r="H2212" t="s">
        <v>5418</v>
      </c>
      <c r="I2212" t="s">
        <v>6043</v>
      </c>
      <c r="J2212">
        <v>11221</v>
      </c>
      <c r="K2212" t="s">
        <v>6074</v>
      </c>
      <c r="L2212" t="s">
        <v>6074</v>
      </c>
      <c r="N2212" t="s">
        <v>7273</v>
      </c>
      <c r="O2212" t="s">
        <v>7308</v>
      </c>
      <c r="Q2212" t="s">
        <v>7322</v>
      </c>
      <c r="R2212" t="s">
        <v>6074</v>
      </c>
      <c r="S2212" t="s">
        <v>7324</v>
      </c>
      <c r="U2212" t="s">
        <v>274</v>
      </c>
      <c r="V2212">
        <v>1091.82</v>
      </c>
      <c r="W2212" t="s">
        <v>7362</v>
      </c>
      <c r="X2212" t="s">
        <v>7376</v>
      </c>
      <c r="Z2212" t="s">
        <v>9062</v>
      </c>
      <c r="AA2212" t="s">
        <v>9871</v>
      </c>
      <c r="AB2212" t="s">
        <v>11759</v>
      </c>
      <c r="AC2212">
        <v>12</v>
      </c>
      <c r="AD2212" t="s">
        <v>12422</v>
      </c>
      <c r="AE2212" t="s">
        <v>12434</v>
      </c>
      <c r="AF2212">
        <v>12</v>
      </c>
      <c r="AG2212">
        <v>1</v>
      </c>
      <c r="AH2212">
        <v>0</v>
      </c>
      <c r="AI2212">
        <v>152.2</v>
      </c>
      <c r="AL2212" t="s">
        <v>12460</v>
      </c>
      <c r="AM2212">
        <v>18476.9</v>
      </c>
      <c r="AN2212" t="s">
        <v>12668</v>
      </c>
      <c r="AS2212">
        <v>0</v>
      </c>
      <c r="AU2212" t="s">
        <v>218</v>
      </c>
    </row>
    <row r="2213" spans="1:48">
      <c r="A2213" s="1">
        <f>HYPERLINK("https://cms.ls-nyc.org/matter/dynamic-profile/view/1878637","18-1878637")</f>
        <v>0</v>
      </c>
      <c r="B2213" t="s">
        <v>80</v>
      </c>
      <c r="C2213" t="s">
        <v>299</v>
      </c>
      <c r="D2213" t="s">
        <v>396</v>
      </c>
      <c r="E2213" t="s">
        <v>1517</v>
      </c>
      <c r="F2213" t="s">
        <v>2515</v>
      </c>
      <c r="G2213" t="s">
        <v>4354</v>
      </c>
      <c r="H2213" t="s">
        <v>5418</v>
      </c>
      <c r="I2213" t="s">
        <v>6043</v>
      </c>
      <c r="J2213">
        <v>11221</v>
      </c>
      <c r="K2213" t="s">
        <v>6074</v>
      </c>
      <c r="L2213" t="s">
        <v>6074</v>
      </c>
      <c r="N2213" t="s">
        <v>7275</v>
      </c>
      <c r="O2213" t="s">
        <v>7307</v>
      </c>
      <c r="P2213" t="s">
        <v>7315</v>
      </c>
      <c r="Q2213" t="s">
        <v>7322</v>
      </c>
      <c r="S2213" t="s">
        <v>7324</v>
      </c>
      <c r="U2213" t="s">
        <v>274</v>
      </c>
      <c r="V2213">
        <v>1091.22</v>
      </c>
      <c r="W2213" t="s">
        <v>7362</v>
      </c>
      <c r="X2213" t="s">
        <v>7376</v>
      </c>
      <c r="Y2213" t="s">
        <v>7394</v>
      </c>
      <c r="Z2213" t="s">
        <v>9062</v>
      </c>
      <c r="AA2213" t="s">
        <v>9871</v>
      </c>
      <c r="AB2213" t="s">
        <v>11759</v>
      </c>
      <c r="AC2213">
        <v>12</v>
      </c>
      <c r="AD2213" t="s">
        <v>12422</v>
      </c>
      <c r="AE2213" t="s">
        <v>12434</v>
      </c>
      <c r="AF2213">
        <v>12</v>
      </c>
      <c r="AG2213">
        <v>1</v>
      </c>
      <c r="AH2213">
        <v>0</v>
      </c>
      <c r="AI2213">
        <v>152.2</v>
      </c>
      <c r="AL2213" t="s">
        <v>12460</v>
      </c>
      <c r="AM2213">
        <v>18476.9</v>
      </c>
      <c r="AS2213">
        <v>0.08</v>
      </c>
      <c r="AT2213" t="s">
        <v>466</v>
      </c>
      <c r="AU2213" t="s">
        <v>218</v>
      </c>
    </row>
    <row r="2214" spans="1:48">
      <c r="A2214" s="1">
        <f>HYPERLINK("https://cms.ls-nyc.org/matter/dynamic-profile/view/1893340","19-1893340")</f>
        <v>0</v>
      </c>
      <c r="B2214" t="s">
        <v>136</v>
      </c>
      <c r="C2214" t="s">
        <v>313</v>
      </c>
      <c r="D2214" t="s">
        <v>362</v>
      </c>
      <c r="E2214" t="s">
        <v>1676</v>
      </c>
      <c r="F2214" t="s">
        <v>3186</v>
      </c>
      <c r="G2214" t="s">
        <v>4945</v>
      </c>
      <c r="H2214" t="s">
        <v>5838</v>
      </c>
      <c r="I2214" t="s">
        <v>6049</v>
      </c>
      <c r="J2214">
        <v>10029</v>
      </c>
      <c r="K2214" t="s">
        <v>6074</v>
      </c>
      <c r="L2214" t="s">
        <v>6074</v>
      </c>
      <c r="M2214" t="s">
        <v>6990</v>
      </c>
      <c r="N2214" t="s">
        <v>7274</v>
      </c>
      <c r="O2214" t="s">
        <v>7306</v>
      </c>
      <c r="P2214" t="s">
        <v>7314</v>
      </c>
      <c r="Q2214" t="s">
        <v>7322</v>
      </c>
      <c r="R2214" t="s">
        <v>6076</v>
      </c>
      <c r="S2214" t="s">
        <v>7324</v>
      </c>
      <c r="T2214" t="s">
        <v>7336</v>
      </c>
      <c r="U2214" t="s">
        <v>322</v>
      </c>
      <c r="V2214">
        <v>3287</v>
      </c>
      <c r="W2214" t="s">
        <v>7365</v>
      </c>
      <c r="X2214" t="s">
        <v>7368</v>
      </c>
      <c r="Y2214" t="s">
        <v>7386</v>
      </c>
      <c r="Z2214" t="s">
        <v>9094</v>
      </c>
      <c r="AB2214" t="s">
        <v>11789</v>
      </c>
      <c r="AC2214">
        <v>36</v>
      </c>
      <c r="AD2214" t="s">
        <v>12421</v>
      </c>
      <c r="AE2214" t="s">
        <v>12434</v>
      </c>
      <c r="AF2214">
        <v>14</v>
      </c>
      <c r="AG2214">
        <v>1</v>
      </c>
      <c r="AH2214">
        <v>0</v>
      </c>
      <c r="AI2214">
        <v>152.47</v>
      </c>
      <c r="AL2214" t="s">
        <v>12460</v>
      </c>
      <c r="AM2214">
        <v>19044</v>
      </c>
      <c r="AS2214">
        <v>0.9</v>
      </c>
      <c r="AT2214" t="s">
        <v>363</v>
      </c>
      <c r="AU2214" t="s">
        <v>13081</v>
      </c>
    </row>
    <row r="2215" spans="1:48">
      <c r="A2215" s="1">
        <f>HYPERLINK("https://cms.ls-nyc.org/matter/dynamic-profile/view/1892458","19-1892458")</f>
        <v>0</v>
      </c>
      <c r="B2215" t="s">
        <v>96</v>
      </c>
      <c r="C2215" t="s">
        <v>337</v>
      </c>
      <c r="E2215" t="s">
        <v>620</v>
      </c>
      <c r="F2215" t="s">
        <v>3173</v>
      </c>
      <c r="G2215" t="s">
        <v>3792</v>
      </c>
      <c r="H2215" t="s">
        <v>5808</v>
      </c>
      <c r="I2215" t="s">
        <v>6047</v>
      </c>
      <c r="J2215">
        <v>10453</v>
      </c>
      <c r="K2215" t="s">
        <v>6074</v>
      </c>
      <c r="L2215" t="s">
        <v>6074</v>
      </c>
      <c r="N2215" t="s">
        <v>7279</v>
      </c>
      <c r="O2215" t="s">
        <v>7311</v>
      </c>
      <c r="Q2215" t="s">
        <v>7322</v>
      </c>
      <c r="R2215" t="s">
        <v>6074</v>
      </c>
      <c r="S2215" t="s">
        <v>7324</v>
      </c>
      <c r="U2215" t="s">
        <v>457</v>
      </c>
      <c r="V2215">
        <v>985</v>
      </c>
      <c r="W2215" t="s">
        <v>7363</v>
      </c>
      <c r="X2215" t="s">
        <v>7375</v>
      </c>
      <c r="Z2215" t="s">
        <v>9072</v>
      </c>
      <c r="AC2215">
        <v>170</v>
      </c>
      <c r="AD2215" t="s">
        <v>12422</v>
      </c>
      <c r="AE2215" t="s">
        <v>6110</v>
      </c>
      <c r="AF2215">
        <v>17</v>
      </c>
      <c r="AG2215">
        <v>3</v>
      </c>
      <c r="AH2215">
        <v>2</v>
      </c>
      <c r="AI2215">
        <v>152.96</v>
      </c>
      <c r="AL2215" t="s">
        <v>12460</v>
      </c>
      <c r="AM2215">
        <v>45000</v>
      </c>
      <c r="AS2215">
        <v>0</v>
      </c>
      <c r="AU2215" t="s">
        <v>13093</v>
      </c>
    </row>
    <row r="2216" spans="1:48">
      <c r="A2216" s="1">
        <f>HYPERLINK("https://cms.ls-nyc.org/matter/dynamic-profile/view/1892185","19-1892185")</f>
        <v>0</v>
      </c>
      <c r="B2216" t="s">
        <v>96</v>
      </c>
      <c r="C2216" t="s">
        <v>405</v>
      </c>
      <c r="D2216" t="s">
        <v>314</v>
      </c>
      <c r="E2216" t="s">
        <v>620</v>
      </c>
      <c r="F2216" t="s">
        <v>3173</v>
      </c>
      <c r="G2216" t="s">
        <v>3792</v>
      </c>
      <c r="H2216" t="s">
        <v>5808</v>
      </c>
      <c r="I2216" t="s">
        <v>6047</v>
      </c>
      <c r="J2216">
        <v>10453</v>
      </c>
      <c r="K2216" t="s">
        <v>6074</v>
      </c>
      <c r="L2216" t="s">
        <v>6074</v>
      </c>
      <c r="N2216" t="s">
        <v>6104</v>
      </c>
      <c r="O2216" t="s">
        <v>7306</v>
      </c>
      <c r="P2216" t="s">
        <v>7314</v>
      </c>
      <c r="Q2216" t="s">
        <v>7322</v>
      </c>
      <c r="R2216" t="s">
        <v>6074</v>
      </c>
      <c r="S2216" t="s">
        <v>7324</v>
      </c>
      <c r="U2216" t="s">
        <v>7352</v>
      </c>
      <c r="V2216">
        <v>985</v>
      </c>
      <c r="W2216" t="s">
        <v>7363</v>
      </c>
      <c r="X2216" t="s">
        <v>7375</v>
      </c>
      <c r="Y2216" t="s">
        <v>7386</v>
      </c>
      <c r="Z2216" t="s">
        <v>9072</v>
      </c>
      <c r="AC2216">
        <v>170</v>
      </c>
      <c r="AD2216" t="s">
        <v>12422</v>
      </c>
      <c r="AE2216" t="s">
        <v>6110</v>
      </c>
      <c r="AF2216">
        <v>17</v>
      </c>
      <c r="AG2216">
        <v>3</v>
      </c>
      <c r="AH2216">
        <v>2</v>
      </c>
      <c r="AI2216">
        <v>152.96</v>
      </c>
      <c r="AL2216" t="s">
        <v>12460</v>
      </c>
      <c r="AM2216">
        <v>45000</v>
      </c>
      <c r="AS2216">
        <v>0.5</v>
      </c>
      <c r="AT2216" t="s">
        <v>314</v>
      </c>
      <c r="AU2216" t="s">
        <v>13093</v>
      </c>
    </row>
    <row r="2217" spans="1:48">
      <c r="A2217" s="1">
        <f>HYPERLINK("https://cms.ls-nyc.org/matter/dynamic-profile/view/1872562","18-1872562")</f>
        <v>0</v>
      </c>
      <c r="B2217" t="s">
        <v>161</v>
      </c>
      <c r="C2217" t="s">
        <v>376</v>
      </c>
      <c r="E2217" t="s">
        <v>586</v>
      </c>
      <c r="F2217" t="s">
        <v>3187</v>
      </c>
      <c r="G2217" t="s">
        <v>4946</v>
      </c>
      <c r="H2217" t="s">
        <v>5538</v>
      </c>
      <c r="I2217" t="s">
        <v>6049</v>
      </c>
      <c r="J2217">
        <v>10029</v>
      </c>
      <c r="K2217" t="s">
        <v>6074</v>
      </c>
      <c r="L2217" t="s">
        <v>6074</v>
      </c>
      <c r="M2217" t="s">
        <v>6991</v>
      </c>
      <c r="N2217" t="s">
        <v>7276</v>
      </c>
      <c r="O2217" t="s">
        <v>7307</v>
      </c>
      <c r="Q2217" t="s">
        <v>7322</v>
      </c>
      <c r="R2217" t="s">
        <v>6076</v>
      </c>
      <c r="S2217" t="s">
        <v>7324</v>
      </c>
      <c r="T2217" t="s">
        <v>7336</v>
      </c>
      <c r="U2217" t="s">
        <v>399</v>
      </c>
      <c r="V2217">
        <v>900</v>
      </c>
      <c r="W2217" t="s">
        <v>7365</v>
      </c>
      <c r="X2217" t="s">
        <v>7381</v>
      </c>
      <c r="Z2217" t="s">
        <v>9095</v>
      </c>
      <c r="AB2217" t="s">
        <v>11790</v>
      </c>
      <c r="AC2217">
        <v>51</v>
      </c>
      <c r="AD2217" t="s">
        <v>12422</v>
      </c>
      <c r="AE2217" t="s">
        <v>6110</v>
      </c>
      <c r="AF2217">
        <v>26</v>
      </c>
      <c r="AG2217">
        <v>2</v>
      </c>
      <c r="AH2217">
        <v>0</v>
      </c>
      <c r="AI2217">
        <v>153.27</v>
      </c>
      <c r="AL2217" t="s">
        <v>12461</v>
      </c>
      <c r="AM2217">
        <v>25228</v>
      </c>
      <c r="AS2217">
        <v>4.7</v>
      </c>
      <c r="AT2217" t="s">
        <v>336</v>
      </c>
      <c r="AU2217" t="s">
        <v>13104</v>
      </c>
    </row>
    <row r="2218" spans="1:48">
      <c r="A2218" s="1">
        <f>HYPERLINK("https://cms.ls-nyc.org/matter/dynamic-profile/view/1876949","18-1876949")</f>
        <v>0</v>
      </c>
      <c r="B2218" t="s">
        <v>78</v>
      </c>
      <c r="C2218" t="s">
        <v>290</v>
      </c>
      <c r="E2218" t="s">
        <v>1677</v>
      </c>
      <c r="F2218" t="s">
        <v>3188</v>
      </c>
      <c r="G2218" t="s">
        <v>4947</v>
      </c>
      <c r="H2218" t="s">
        <v>5465</v>
      </c>
      <c r="I2218" t="s">
        <v>6043</v>
      </c>
      <c r="J2218">
        <v>11237</v>
      </c>
      <c r="K2218" t="s">
        <v>6074</v>
      </c>
      <c r="L2218" t="s">
        <v>6075</v>
      </c>
      <c r="N2218" t="s">
        <v>7287</v>
      </c>
      <c r="O2218" t="s">
        <v>7312</v>
      </c>
      <c r="Q2218" t="s">
        <v>7322</v>
      </c>
      <c r="R2218" t="s">
        <v>6074</v>
      </c>
      <c r="S2218" t="s">
        <v>7324</v>
      </c>
      <c r="T2218" t="s">
        <v>7336</v>
      </c>
      <c r="U2218" t="s">
        <v>290</v>
      </c>
      <c r="V2218">
        <v>696.55</v>
      </c>
      <c r="W2218" t="s">
        <v>7362</v>
      </c>
      <c r="X2218" t="s">
        <v>7368</v>
      </c>
      <c r="Z2218" t="s">
        <v>9096</v>
      </c>
      <c r="AA2218" t="s">
        <v>10240</v>
      </c>
      <c r="AB2218" t="s">
        <v>11791</v>
      </c>
      <c r="AC2218">
        <v>16</v>
      </c>
      <c r="AD2218" t="s">
        <v>12422</v>
      </c>
      <c r="AF2218">
        <v>30</v>
      </c>
      <c r="AG2218">
        <v>4</v>
      </c>
      <c r="AH2218">
        <v>3</v>
      </c>
      <c r="AI2218">
        <v>153.63</v>
      </c>
      <c r="AL2218" t="s">
        <v>12461</v>
      </c>
      <c r="AM2218">
        <v>58471.59</v>
      </c>
      <c r="AS2218">
        <v>29.2</v>
      </c>
      <c r="AT2218" t="s">
        <v>324</v>
      </c>
      <c r="AU2218" t="s">
        <v>78</v>
      </c>
    </row>
    <row r="2219" spans="1:48">
      <c r="A2219" s="1">
        <f>HYPERLINK("https://cms.ls-nyc.org/matter/dynamic-profile/view/1891325","19-1891325")</f>
        <v>0</v>
      </c>
      <c r="B2219" t="s">
        <v>96</v>
      </c>
      <c r="C2219" t="s">
        <v>366</v>
      </c>
      <c r="E2219" t="s">
        <v>1678</v>
      </c>
      <c r="F2219" t="s">
        <v>3189</v>
      </c>
      <c r="G2219" t="s">
        <v>3792</v>
      </c>
      <c r="H2219" t="s">
        <v>5827</v>
      </c>
      <c r="I2219" t="s">
        <v>6047</v>
      </c>
      <c r="J2219">
        <v>10453</v>
      </c>
      <c r="K2219" t="s">
        <v>6074</v>
      </c>
      <c r="L2219" t="s">
        <v>6074</v>
      </c>
      <c r="N2219" t="s">
        <v>7279</v>
      </c>
      <c r="O2219" t="s">
        <v>7311</v>
      </c>
      <c r="Q2219" t="s">
        <v>7322</v>
      </c>
      <c r="R2219" t="s">
        <v>6074</v>
      </c>
      <c r="S2219" t="s">
        <v>7324</v>
      </c>
      <c r="U2219" t="s">
        <v>457</v>
      </c>
      <c r="V2219">
        <v>781.77</v>
      </c>
      <c r="W2219" t="s">
        <v>7363</v>
      </c>
      <c r="X2219" t="s">
        <v>7376</v>
      </c>
      <c r="Z2219" t="s">
        <v>9097</v>
      </c>
      <c r="AC2219">
        <v>170</v>
      </c>
      <c r="AD2219" t="s">
        <v>12422</v>
      </c>
      <c r="AF2219">
        <v>12</v>
      </c>
      <c r="AG2219">
        <v>1</v>
      </c>
      <c r="AH2219">
        <v>1</v>
      </c>
      <c r="AI2219">
        <v>153.76</v>
      </c>
      <c r="AL2219" t="s">
        <v>12461</v>
      </c>
      <c r="AM2219">
        <v>26000</v>
      </c>
      <c r="AS2219">
        <v>0</v>
      </c>
      <c r="AU2219" t="s">
        <v>13113</v>
      </c>
    </row>
    <row r="2220" spans="1:48">
      <c r="A2220" s="1">
        <f>HYPERLINK("https://cms.ls-nyc.org/matter/dynamic-profile/view/1891294","19-1891294")</f>
        <v>0</v>
      </c>
      <c r="B2220" t="s">
        <v>96</v>
      </c>
      <c r="C2220" t="s">
        <v>366</v>
      </c>
      <c r="E2220" t="s">
        <v>1678</v>
      </c>
      <c r="F2220" t="s">
        <v>3189</v>
      </c>
      <c r="G2220" t="s">
        <v>3792</v>
      </c>
      <c r="H2220" t="s">
        <v>5827</v>
      </c>
      <c r="I2220" t="s">
        <v>6047</v>
      </c>
      <c r="J2220">
        <v>10453</v>
      </c>
      <c r="K2220" t="s">
        <v>6074</v>
      </c>
      <c r="L2220" t="s">
        <v>6074</v>
      </c>
      <c r="M2220" t="s">
        <v>6259</v>
      </c>
      <c r="N2220" t="s">
        <v>7273</v>
      </c>
      <c r="O2220" t="s">
        <v>7308</v>
      </c>
      <c r="Q2220" t="s">
        <v>7322</v>
      </c>
      <c r="R2220" t="s">
        <v>6074</v>
      </c>
      <c r="S2220" t="s">
        <v>7324</v>
      </c>
      <c r="U2220" t="s">
        <v>457</v>
      </c>
      <c r="V2220">
        <v>781.77</v>
      </c>
      <c r="W2220" t="s">
        <v>7363</v>
      </c>
      <c r="X2220" t="s">
        <v>7376</v>
      </c>
      <c r="Z2220" t="s">
        <v>9097</v>
      </c>
      <c r="AC2220">
        <v>170</v>
      </c>
      <c r="AD2220" t="s">
        <v>12422</v>
      </c>
      <c r="AF2220">
        <v>12</v>
      </c>
      <c r="AG2220">
        <v>1</v>
      </c>
      <c r="AH2220">
        <v>1</v>
      </c>
      <c r="AI2220">
        <v>153.76</v>
      </c>
      <c r="AL2220" t="s">
        <v>12461</v>
      </c>
      <c r="AM2220">
        <v>26000</v>
      </c>
      <c r="AS2220">
        <v>0</v>
      </c>
      <c r="AU2220" t="s">
        <v>13113</v>
      </c>
    </row>
    <row r="2221" spans="1:48">
      <c r="A2221" s="1">
        <f>HYPERLINK("https://cms.ls-nyc.org/matter/dynamic-profile/view/1894534","19-1894534")</f>
        <v>0</v>
      </c>
      <c r="B2221" t="s">
        <v>96</v>
      </c>
      <c r="C2221" t="s">
        <v>338</v>
      </c>
      <c r="E2221" t="s">
        <v>1679</v>
      </c>
      <c r="F2221" t="s">
        <v>2287</v>
      </c>
      <c r="G2221" t="s">
        <v>3792</v>
      </c>
      <c r="H2221" t="s">
        <v>5839</v>
      </c>
      <c r="I2221" t="s">
        <v>6047</v>
      </c>
      <c r="J2221">
        <v>10453</v>
      </c>
      <c r="K2221" t="s">
        <v>6074</v>
      </c>
      <c r="L2221" t="s">
        <v>6074</v>
      </c>
      <c r="M2221" t="s">
        <v>6259</v>
      </c>
      <c r="N2221" t="s">
        <v>7273</v>
      </c>
      <c r="O2221" t="s">
        <v>7308</v>
      </c>
      <c r="Q2221" t="s">
        <v>7322</v>
      </c>
      <c r="R2221" t="s">
        <v>6074</v>
      </c>
      <c r="S2221" t="s">
        <v>7324</v>
      </c>
      <c r="U2221" t="s">
        <v>457</v>
      </c>
      <c r="V2221">
        <v>1070</v>
      </c>
      <c r="W2221" t="s">
        <v>7363</v>
      </c>
      <c r="X2221" t="s">
        <v>7375</v>
      </c>
      <c r="Z2221" t="s">
        <v>9098</v>
      </c>
      <c r="AC2221">
        <v>170</v>
      </c>
      <c r="AD2221" t="s">
        <v>12422</v>
      </c>
      <c r="AE2221" t="s">
        <v>6110</v>
      </c>
      <c r="AF2221">
        <v>20</v>
      </c>
      <c r="AG2221">
        <v>2</v>
      </c>
      <c r="AH2221">
        <v>0</v>
      </c>
      <c r="AI2221">
        <v>153.76</v>
      </c>
      <c r="AL2221" t="s">
        <v>12460</v>
      </c>
      <c r="AM2221">
        <v>26000</v>
      </c>
      <c r="AS2221">
        <v>0</v>
      </c>
      <c r="AU2221" t="s">
        <v>13093</v>
      </c>
    </row>
    <row r="2222" spans="1:48">
      <c r="A2222" s="1">
        <f>HYPERLINK("https://cms.ls-nyc.org/matter/dynamic-profile/view/1893253","19-1893253")</f>
        <v>0</v>
      </c>
      <c r="B2222" t="s">
        <v>120</v>
      </c>
      <c r="C2222" t="s">
        <v>469</v>
      </c>
      <c r="E2222" t="s">
        <v>1680</v>
      </c>
      <c r="F2222" t="s">
        <v>3190</v>
      </c>
      <c r="G2222" t="s">
        <v>4322</v>
      </c>
      <c r="H2222" t="s">
        <v>5363</v>
      </c>
      <c r="I2222" t="s">
        <v>6048</v>
      </c>
      <c r="J2222">
        <v>10301</v>
      </c>
      <c r="K2222" t="s">
        <v>6074</v>
      </c>
      <c r="L2222" t="s">
        <v>6074</v>
      </c>
      <c r="M2222" t="s">
        <v>6992</v>
      </c>
      <c r="N2222" t="s">
        <v>7274</v>
      </c>
      <c r="O2222" t="s">
        <v>7308</v>
      </c>
      <c r="Q2222" t="s">
        <v>7322</v>
      </c>
      <c r="R2222" t="s">
        <v>6076</v>
      </c>
      <c r="S2222" t="s">
        <v>7324</v>
      </c>
      <c r="T2222" t="s">
        <v>7336</v>
      </c>
      <c r="U2222" t="s">
        <v>469</v>
      </c>
      <c r="V2222">
        <v>1100</v>
      </c>
      <c r="W2222" t="s">
        <v>7364</v>
      </c>
      <c r="X2222" t="s">
        <v>7378</v>
      </c>
      <c r="Z2222" t="s">
        <v>9099</v>
      </c>
      <c r="AB2222" t="s">
        <v>11792</v>
      </c>
      <c r="AC2222">
        <v>0</v>
      </c>
      <c r="AF2222">
        <v>1</v>
      </c>
      <c r="AG2222">
        <v>1</v>
      </c>
      <c r="AH2222">
        <v>1</v>
      </c>
      <c r="AI2222">
        <v>153.76</v>
      </c>
      <c r="AL2222" t="s">
        <v>12460</v>
      </c>
      <c r="AM2222">
        <v>26000</v>
      </c>
      <c r="AS2222">
        <v>3.5</v>
      </c>
      <c r="AT2222" t="s">
        <v>554</v>
      </c>
      <c r="AU2222" t="s">
        <v>123</v>
      </c>
    </row>
    <row r="2223" spans="1:48">
      <c r="A2223" s="1">
        <f>HYPERLINK("https://cms.ls-nyc.org/matter/dynamic-profile/view/1892541","19-1892541")</f>
        <v>0</v>
      </c>
      <c r="B2223" t="s">
        <v>128</v>
      </c>
      <c r="C2223" t="s">
        <v>277</v>
      </c>
      <c r="E2223" t="s">
        <v>741</v>
      </c>
      <c r="F2223" t="s">
        <v>3191</v>
      </c>
      <c r="G2223" t="s">
        <v>3934</v>
      </c>
      <c r="H2223">
        <v>33</v>
      </c>
      <c r="I2223" t="s">
        <v>6049</v>
      </c>
      <c r="J2223">
        <v>10034</v>
      </c>
      <c r="K2223" t="s">
        <v>6074</v>
      </c>
      <c r="L2223" t="s">
        <v>6074</v>
      </c>
      <c r="N2223" t="s">
        <v>7278</v>
      </c>
      <c r="O2223" t="s">
        <v>7307</v>
      </c>
      <c r="Q2223" t="s">
        <v>7322</v>
      </c>
      <c r="R2223" t="s">
        <v>6076</v>
      </c>
      <c r="S2223" t="s">
        <v>7324</v>
      </c>
      <c r="U2223" t="s">
        <v>277</v>
      </c>
      <c r="V2223">
        <v>839</v>
      </c>
      <c r="W2223" t="s">
        <v>7365</v>
      </c>
      <c r="X2223" t="s">
        <v>7368</v>
      </c>
      <c r="Z2223" t="s">
        <v>9100</v>
      </c>
      <c r="AB2223" t="s">
        <v>11793</v>
      </c>
      <c r="AC2223">
        <v>25</v>
      </c>
      <c r="AD2223" t="s">
        <v>12422</v>
      </c>
      <c r="AE2223" t="s">
        <v>6110</v>
      </c>
      <c r="AF2223">
        <v>20</v>
      </c>
      <c r="AG2223">
        <v>2</v>
      </c>
      <c r="AH2223">
        <v>0</v>
      </c>
      <c r="AI2223">
        <v>153.76</v>
      </c>
      <c r="AL2223" t="s">
        <v>12460</v>
      </c>
      <c r="AM2223">
        <v>26000</v>
      </c>
      <c r="AS2223">
        <v>15.1</v>
      </c>
      <c r="AT2223" t="s">
        <v>564</v>
      </c>
      <c r="AU2223" t="s">
        <v>13106</v>
      </c>
      <c r="AV2223" t="s">
        <v>13145</v>
      </c>
    </row>
    <row r="2224" spans="1:48">
      <c r="A2224" s="1">
        <f>HYPERLINK("https://cms.ls-nyc.org/matter/dynamic-profile/view/1894028","19-1894028")</f>
        <v>0</v>
      </c>
      <c r="B2224" t="s">
        <v>97</v>
      </c>
      <c r="C2224" t="s">
        <v>335</v>
      </c>
      <c r="E2224" t="s">
        <v>1297</v>
      </c>
      <c r="F2224" t="s">
        <v>3192</v>
      </c>
      <c r="G2224" t="s">
        <v>4948</v>
      </c>
      <c r="H2224" t="s">
        <v>5476</v>
      </c>
      <c r="I2224" t="s">
        <v>6047</v>
      </c>
      <c r="J2224">
        <v>10455</v>
      </c>
      <c r="K2224" t="s">
        <v>6074</v>
      </c>
      <c r="L2224" t="s">
        <v>6074</v>
      </c>
      <c r="N2224" t="s">
        <v>6104</v>
      </c>
      <c r="O2224" t="s">
        <v>7306</v>
      </c>
      <c r="Q2224" t="s">
        <v>7322</v>
      </c>
      <c r="R2224" t="s">
        <v>6076</v>
      </c>
      <c r="S2224" t="s">
        <v>7324</v>
      </c>
      <c r="U2224" t="s">
        <v>335</v>
      </c>
      <c r="V2224">
        <v>1007.33</v>
      </c>
      <c r="W2224" t="s">
        <v>7363</v>
      </c>
      <c r="Z2224" t="s">
        <v>9101</v>
      </c>
      <c r="AC2224">
        <v>52</v>
      </c>
      <c r="AD2224" t="s">
        <v>12422</v>
      </c>
      <c r="AE2224" t="s">
        <v>12434</v>
      </c>
      <c r="AF2224">
        <v>13</v>
      </c>
      <c r="AG2224">
        <v>4</v>
      </c>
      <c r="AH2224">
        <v>0</v>
      </c>
      <c r="AI2224">
        <v>153.79</v>
      </c>
      <c r="AL2224" t="s">
        <v>12461</v>
      </c>
      <c r="AM2224">
        <v>39600</v>
      </c>
      <c r="AS2224">
        <v>1.7</v>
      </c>
      <c r="AT2224" t="s">
        <v>335</v>
      </c>
      <c r="AU2224" t="s">
        <v>97</v>
      </c>
    </row>
    <row r="2225" spans="1:48">
      <c r="A2225" s="1">
        <f>HYPERLINK("https://cms.ls-nyc.org/matter/dynamic-profile/view/1885956","18-1885956")</f>
        <v>0</v>
      </c>
      <c r="B2225" t="s">
        <v>102</v>
      </c>
      <c r="C2225" t="s">
        <v>522</v>
      </c>
      <c r="E2225" t="s">
        <v>586</v>
      </c>
      <c r="F2225" t="s">
        <v>2937</v>
      </c>
      <c r="G2225" t="s">
        <v>3779</v>
      </c>
      <c r="H2225" t="s">
        <v>5840</v>
      </c>
      <c r="I2225" t="s">
        <v>6047</v>
      </c>
      <c r="J2225">
        <v>10460</v>
      </c>
      <c r="K2225" t="s">
        <v>6074</v>
      </c>
      <c r="L2225" t="s">
        <v>6074</v>
      </c>
      <c r="M2225" t="s">
        <v>6182</v>
      </c>
      <c r="N2225" t="s">
        <v>7273</v>
      </c>
      <c r="O2225" t="s">
        <v>7308</v>
      </c>
      <c r="Q2225" t="s">
        <v>7322</v>
      </c>
      <c r="R2225" t="s">
        <v>6074</v>
      </c>
      <c r="S2225" t="s">
        <v>7324</v>
      </c>
      <c r="U2225" t="s">
        <v>457</v>
      </c>
      <c r="V2225">
        <v>960</v>
      </c>
      <c r="W2225" t="s">
        <v>7363</v>
      </c>
      <c r="X2225" t="s">
        <v>7376</v>
      </c>
      <c r="Z2225" t="s">
        <v>9102</v>
      </c>
      <c r="AB2225" t="s">
        <v>11794</v>
      </c>
      <c r="AC2225">
        <v>169</v>
      </c>
      <c r="AD2225" t="s">
        <v>12422</v>
      </c>
      <c r="AE2225" t="s">
        <v>6110</v>
      </c>
      <c r="AF2225">
        <v>25</v>
      </c>
      <c r="AG2225">
        <v>2</v>
      </c>
      <c r="AH2225">
        <v>0</v>
      </c>
      <c r="AI2225">
        <v>153.97</v>
      </c>
      <c r="AL2225" t="s">
        <v>12461</v>
      </c>
      <c r="AM2225">
        <v>25344</v>
      </c>
      <c r="AS2225">
        <v>0</v>
      </c>
      <c r="AU2225" t="s">
        <v>13113</v>
      </c>
    </row>
    <row r="2226" spans="1:48">
      <c r="A2226" s="1">
        <f>HYPERLINK("https://cms.ls-nyc.org/matter/dynamic-profile/view/1885982","18-1885982")</f>
        <v>0</v>
      </c>
      <c r="B2226" t="s">
        <v>52</v>
      </c>
      <c r="C2226" t="s">
        <v>462</v>
      </c>
      <c r="E2226" t="s">
        <v>585</v>
      </c>
      <c r="F2226" t="s">
        <v>2390</v>
      </c>
      <c r="G2226" t="s">
        <v>4338</v>
      </c>
      <c r="H2226" t="s">
        <v>5841</v>
      </c>
      <c r="I2226" t="s">
        <v>6025</v>
      </c>
      <c r="J2226">
        <v>11691</v>
      </c>
      <c r="K2226" t="s">
        <v>6074</v>
      </c>
      <c r="L2226" t="s">
        <v>6074</v>
      </c>
      <c r="M2226" t="s">
        <v>6993</v>
      </c>
      <c r="N2226" t="s">
        <v>7276</v>
      </c>
      <c r="O2226" t="s">
        <v>7308</v>
      </c>
      <c r="Q2226" t="s">
        <v>7322</v>
      </c>
      <c r="R2226" t="s">
        <v>6076</v>
      </c>
      <c r="S2226" t="s">
        <v>7324</v>
      </c>
      <c r="T2226" t="s">
        <v>7336</v>
      </c>
      <c r="U2226" t="s">
        <v>462</v>
      </c>
      <c r="V2226">
        <v>780</v>
      </c>
      <c r="W2226" t="s">
        <v>7361</v>
      </c>
      <c r="X2226" t="s">
        <v>7366</v>
      </c>
      <c r="Z2226" t="s">
        <v>9103</v>
      </c>
      <c r="AB2226" t="s">
        <v>11795</v>
      </c>
      <c r="AC2226">
        <v>72</v>
      </c>
      <c r="AD2226" t="s">
        <v>12420</v>
      </c>
      <c r="AE2226" t="s">
        <v>6110</v>
      </c>
      <c r="AF2226">
        <v>2</v>
      </c>
      <c r="AG2226">
        <v>1</v>
      </c>
      <c r="AH2226">
        <v>2</v>
      </c>
      <c r="AI2226">
        <v>153.99</v>
      </c>
      <c r="AL2226" t="s">
        <v>12460</v>
      </c>
      <c r="AM2226">
        <v>32000</v>
      </c>
      <c r="AO2226" t="s">
        <v>12846</v>
      </c>
      <c r="AP2226" t="s">
        <v>12858</v>
      </c>
      <c r="AQ2226" t="s">
        <v>12909</v>
      </c>
      <c r="AR2226" t="s">
        <v>13037</v>
      </c>
      <c r="AS2226">
        <v>3.6</v>
      </c>
      <c r="AT2226" t="s">
        <v>492</v>
      </c>
      <c r="AU2226" t="s">
        <v>189</v>
      </c>
    </row>
    <row r="2227" spans="1:48">
      <c r="A2227" s="1">
        <f>HYPERLINK("https://cms.ls-nyc.org/matter/dynamic-profile/view/1893586","19-1893586")</f>
        <v>0</v>
      </c>
      <c r="B2227" t="s">
        <v>124</v>
      </c>
      <c r="C2227" t="s">
        <v>235</v>
      </c>
      <c r="D2227" t="s">
        <v>421</v>
      </c>
      <c r="E2227" t="s">
        <v>1681</v>
      </c>
      <c r="F2227" t="s">
        <v>586</v>
      </c>
      <c r="G2227" t="s">
        <v>4949</v>
      </c>
      <c r="I2227" t="s">
        <v>6048</v>
      </c>
      <c r="J2227">
        <v>10312</v>
      </c>
      <c r="K2227" t="s">
        <v>6074</v>
      </c>
      <c r="L2227" t="s">
        <v>6075</v>
      </c>
      <c r="M2227" t="s">
        <v>6994</v>
      </c>
      <c r="N2227" t="s">
        <v>7276</v>
      </c>
      <c r="O2227" t="s">
        <v>7308</v>
      </c>
      <c r="P2227" t="s">
        <v>7316</v>
      </c>
      <c r="Q2227" t="s">
        <v>7322</v>
      </c>
      <c r="R2227" t="s">
        <v>6076</v>
      </c>
      <c r="S2227" t="s">
        <v>7324</v>
      </c>
      <c r="T2227" t="s">
        <v>7336</v>
      </c>
      <c r="U2227" t="s">
        <v>235</v>
      </c>
      <c r="V2227">
        <v>2200</v>
      </c>
      <c r="W2227" t="s">
        <v>7364</v>
      </c>
      <c r="Y2227" t="s">
        <v>7388</v>
      </c>
      <c r="Z2227" t="s">
        <v>9104</v>
      </c>
      <c r="AB2227" t="s">
        <v>11796</v>
      </c>
      <c r="AC2227">
        <v>1</v>
      </c>
      <c r="AD2227" t="s">
        <v>12419</v>
      </c>
      <c r="AF2227">
        <v>2</v>
      </c>
      <c r="AG2227">
        <v>2</v>
      </c>
      <c r="AH2227">
        <v>2</v>
      </c>
      <c r="AI2227">
        <v>154.24</v>
      </c>
      <c r="AL2227" t="s">
        <v>12467</v>
      </c>
      <c r="AM2227">
        <v>39716</v>
      </c>
      <c r="AP2227" t="s">
        <v>12858</v>
      </c>
      <c r="AQ2227" t="s">
        <v>12909</v>
      </c>
      <c r="AR2227" t="s">
        <v>12943</v>
      </c>
      <c r="AS2227">
        <v>4.9</v>
      </c>
      <c r="AT2227" t="s">
        <v>279</v>
      </c>
      <c r="AU2227" t="s">
        <v>13102</v>
      </c>
      <c r="AV2227" t="s">
        <v>13145</v>
      </c>
    </row>
    <row r="2228" spans="1:48">
      <c r="A2228" s="1">
        <f>HYPERLINK("https://cms.ls-nyc.org/matter/dynamic-profile/view/1876951","18-1876951")</f>
        <v>0</v>
      </c>
      <c r="B2228" t="s">
        <v>101</v>
      </c>
      <c r="C2228" t="s">
        <v>281</v>
      </c>
      <c r="D2228" t="s">
        <v>555</v>
      </c>
      <c r="E2228" t="s">
        <v>628</v>
      </c>
      <c r="F2228" t="s">
        <v>2527</v>
      </c>
      <c r="G2228" t="s">
        <v>4950</v>
      </c>
      <c r="H2228" t="s">
        <v>5515</v>
      </c>
      <c r="I2228" t="s">
        <v>6047</v>
      </c>
      <c r="J2228">
        <v>10452</v>
      </c>
      <c r="K2228" t="s">
        <v>6074</v>
      </c>
      <c r="L2228" t="s">
        <v>6074</v>
      </c>
      <c r="N2228" t="s">
        <v>7279</v>
      </c>
      <c r="O2228" t="s">
        <v>7307</v>
      </c>
      <c r="P2228" t="s">
        <v>7315</v>
      </c>
      <c r="Q2228" t="s">
        <v>7322</v>
      </c>
      <c r="R2228" t="s">
        <v>6076</v>
      </c>
      <c r="S2228" t="s">
        <v>7324</v>
      </c>
      <c r="U2228" t="s">
        <v>502</v>
      </c>
      <c r="V2228">
        <v>1276</v>
      </c>
      <c r="W2228" t="s">
        <v>7363</v>
      </c>
      <c r="X2228" t="s">
        <v>7376</v>
      </c>
      <c r="Y2228" t="s">
        <v>7390</v>
      </c>
      <c r="Z2228" t="s">
        <v>9105</v>
      </c>
      <c r="AB2228" t="s">
        <v>11797</v>
      </c>
      <c r="AC2228">
        <v>140</v>
      </c>
      <c r="AD2228" t="s">
        <v>6322</v>
      </c>
      <c r="AE2228" t="s">
        <v>6110</v>
      </c>
      <c r="AF2228">
        <v>34</v>
      </c>
      <c r="AG2228">
        <v>2</v>
      </c>
      <c r="AH2228">
        <v>0</v>
      </c>
      <c r="AI2228">
        <v>154.41</v>
      </c>
      <c r="AL2228" t="s">
        <v>12460</v>
      </c>
      <c r="AM2228">
        <v>25416</v>
      </c>
      <c r="AS2228">
        <v>0.1</v>
      </c>
      <c r="AT2228" t="s">
        <v>555</v>
      </c>
      <c r="AU2228" t="s">
        <v>13095</v>
      </c>
    </row>
    <row r="2229" spans="1:48">
      <c r="A2229" s="1">
        <f>HYPERLINK("https://cms.ls-nyc.org/matter/dynamic-profile/view/1875971","18-1875971")</f>
        <v>0</v>
      </c>
      <c r="B2229" t="s">
        <v>77</v>
      </c>
      <c r="C2229" t="s">
        <v>301</v>
      </c>
      <c r="D2229" t="s">
        <v>344</v>
      </c>
      <c r="E2229" t="s">
        <v>1108</v>
      </c>
      <c r="F2229" t="s">
        <v>3193</v>
      </c>
      <c r="G2229" t="s">
        <v>4951</v>
      </c>
      <c r="H2229" t="s">
        <v>5372</v>
      </c>
      <c r="I2229" t="s">
        <v>6043</v>
      </c>
      <c r="J2229">
        <v>11239</v>
      </c>
      <c r="K2229" t="s">
        <v>6074</v>
      </c>
      <c r="L2229" t="s">
        <v>6074</v>
      </c>
      <c r="M2229" t="s">
        <v>6995</v>
      </c>
      <c r="N2229" t="s">
        <v>7276</v>
      </c>
      <c r="O2229" t="s">
        <v>7308</v>
      </c>
      <c r="P2229" t="s">
        <v>7317</v>
      </c>
      <c r="Q2229" t="s">
        <v>7322</v>
      </c>
      <c r="S2229" t="s">
        <v>7324</v>
      </c>
      <c r="U2229" t="s">
        <v>301</v>
      </c>
      <c r="V2229">
        <v>968</v>
      </c>
      <c r="W2229" t="s">
        <v>7362</v>
      </c>
      <c r="X2229" t="s">
        <v>7305</v>
      </c>
      <c r="Y2229" t="s">
        <v>7388</v>
      </c>
      <c r="Z2229" t="s">
        <v>9106</v>
      </c>
      <c r="AB2229" t="s">
        <v>11798</v>
      </c>
      <c r="AC2229">
        <v>136</v>
      </c>
      <c r="AD2229" t="s">
        <v>12420</v>
      </c>
      <c r="AE2229" t="s">
        <v>6110</v>
      </c>
      <c r="AF2229">
        <v>2</v>
      </c>
      <c r="AG2229">
        <v>1</v>
      </c>
      <c r="AH2229">
        <v>0</v>
      </c>
      <c r="AI2229">
        <v>154.57</v>
      </c>
      <c r="AL2229" t="s">
        <v>12461</v>
      </c>
      <c r="AM2229">
        <v>18765.24</v>
      </c>
      <c r="AS2229">
        <v>7.25</v>
      </c>
      <c r="AT2229" t="s">
        <v>425</v>
      </c>
      <c r="AU2229" t="s">
        <v>13096</v>
      </c>
    </row>
    <row r="2230" spans="1:48">
      <c r="A2230" s="1">
        <f>HYPERLINK("https://cms.ls-nyc.org/matter/dynamic-profile/view/1873325","18-1873325")</f>
        <v>0</v>
      </c>
      <c r="B2230" t="s">
        <v>111</v>
      </c>
      <c r="C2230" t="s">
        <v>232</v>
      </c>
      <c r="D2230" t="s">
        <v>472</v>
      </c>
      <c r="E2230" t="s">
        <v>935</v>
      </c>
      <c r="F2230" t="s">
        <v>1209</v>
      </c>
      <c r="G2230" t="s">
        <v>4952</v>
      </c>
      <c r="H2230" t="s">
        <v>5842</v>
      </c>
      <c r="I2230" t="s">
        <v>6047</v>
      </c>
      <c r="J2230">
        <v>10460</v>
      </c>
      <c r="K2230" t="s">
        <v>6074</v>
      </c>
      <c r="L2230" t="s">
        <v>6074</v>
      </c>
      <c r="M2230" t="s">
        <v>6996</v>
      </c>
      <c r="N2230" t="s">
        <v>7276</v>
      </c>
      <c r="O2230" t="s">
        <v>7306</v>
      </c>
      <c r="P2230" t="s">
        <v>7314</v>
      </c>
      <c r="Q2230" t="s">
        <v>7322</v>
      </c>
      <c r="S2230" t="s">
        <v>7324</v>
      </c>
      <c r="U2230" t="s">
        <v>502</v>
      </c>
      <c r="V2230">
        <v>1350</v>
      </c>
      <c r="W2230" t="s">
        <v>7363</v>
      </c>
      <c r="X2230" t="s">
        <v>7377</v>
      </c>
      <c r="Y2230" t="s">
        <v>7386</v>
      </c>
      <c r="Z2230" t="s">
        <v>9107</v>
      </c>
      <c r="AB2230" t="s">
        <v>11799</v>
      </c>
      <c r="AC2230">
        <v>107</v>
      </c>
      <c r="AD2230" t="s">
        <v>12422</v>
      </c>
      <c r="AE2230" t="s">
        <v>6110</v>
      </c>
      <c r="AF2230">
        <v>33</v>
      </c>
      <c r="AG2230">
        <v>2</v>
      </c>
      <c r="AH2230">
        <v>0</v>
      </c>
      <c r="AI2230">
        <v>154.8</v>
      </c>
      <c r="AL2230" t="s">
        <v>12461</v>
      </c>
      <c r="AM2230">
        <v>25480</v>
      </c>
      <c r="AS2230">
        <v>1.8</v>
      </c>
      <c r="AT2230" t="s">
        <v>437</v>
      </c>
      <c r="AU2230" t="s">
        <v>13090</v>
      </c>
    </row>
    <row r="2231" spans="1:48">
      <c r="A2231" s="1">
        <f>HYPERLINK("https://cms.ls-nyc.org/matter/dynamic-profile/view/1879052","18-1879052")</f>
        <v>0</v>
      </c>
      <c r="B2231" t="s">
        <v>80</v>
      </c>
      <c r="C2231" t="s">
        <v>407</v>
      </c>
      <c r="E2231" t="s">
        <v>651</v>
      </c>
      <c r="F2231" t="s">
        <v>3181</v>
      </c>
      <c r="G2231" t="s">
        <v>4938</v>
      </c>
      <c r="H2231" t="s">
        <v>5438</v>
      </c>
      <c r="I2231" t="s">
        <v>6043</v>
      </c>
      <c r="J2231">
        <v>11221</v>
      </c>
      <c r="K2231" t="s">
        <v>6074</v>
      </c>
      <c r="L2231" t="s">
        <v>6074</v>
      </c>
      <c r="N2231" t="s">
        <v>7273</v>
      </c>
      <c r="O2231" t="s">
        <v>7308</v>
      </c>
      <c r="Q2231" t="s">
        <v>7322</v>
      </c>
      <c r="R2231" t="s">
        <v>6074</v>
      </c>
      <c r="S2231" t="s">
        <v>7324</v>
      </c>
      <c r="U2231" t="s">
        <v>273</v>
      </c>
      <c r="V2231">
        <v>790</v>
      </c>
      <c r="W2231" t="s">
        <v>7362</v>
      </c>
      <c r="X2231" t="s">
        <v>7376</v>
      </c>
      <c r="Z2231" t="s">
        <v>9085</v>
      </c>
      <c r="AB2231" t="s">
        <v>11779</v>
      </c>
      <c r="AC2231">
        <v>13</v>
      </c>
      <c r="AD2231" t="s">
        <v>12422</v>
      </c>
      <c r="AE2231" t="s">
        <v>6110</v>
      </c>
      <c r="AF2231">
        <v>20</v>
      </c>
      <c r="AG2231">
        <v>1</v>
      </c>
      <c r="AH2231">
        <v>0</v>
      </c>
      <c r="AI2231">
        <v>155.02</v>
      </c>
      <c r="AL2231" t="s">
        <v>12460</v>
      </c>
      <c r="AM2231">
        <v>18820</v>
      </c>
      <c r="AN2231" t="s">
        <v>12669</v>
      </c>
      <c r="AS2231">
        <v>0</v>
      </c>
      <c r="AU2231" t="s">
        <v>218</v>
      </c>
    </row>
    <row r="2232" spans="1:48">
      <c r="A2232" s="1">
        <f>HYPERLINK("https://cms.ls-nyc.org/matter/dynamic-profile/view/1879049","18-1879049")</f>
        <v>0</v>
      </c>
      <c r="B2232" t="s">
        <v>80</v>
      </c>
      <c r="C2232" t="s">
        <v>407</v>
      </c>
      <c r="D2232" t="s">
        <v>396</v>
      </c>
      <c r="E2232" t="s">
        <v>651</v>
      </c>
      <c r="F2232" t="s">
        <v>3181</v>
      </c>
      <c r="G2232" t="s">
        <v>4938</v>
      </c>
      <c r="H2232" t="s">
        <v>5438</v>
      </c>
      <c r="I2232" t="s">
        <v>6043</v>
      </c>
      <c r="J2232">
        <v>11221</v>
      </c>
      <c r="K2232" t="s">
        <v>6074</v>
      </c>
      <c r="L2232" t="s">
        <v>6074</v>
      </c>
      <c r="N2232" t="s">
        <v>7275</v>
      </c>
      <c r="O2232" t="s">
        <v>7307</v>
      </c>
      <c r="P2232" t="s">
        <v>7315</v>
      </c>
      <c r="Q2232" t="s">
        <v>7322</v>
      </c>
      <c r="R2232" t="s">
        <v>6074</v>
      </c>
      <c r="S2232" t="s">
        <v>7324</v>
      </c>
      <c r="U2232" t="s">
        <v>273</v>
      </c>
      <c r="V2232">
        <v>790</v>
      </c>
      <c r="W2232" t="s">
        <v>7362</v>
      </c>
      <c r="X2232" t="s">
        <v>7376</v>
      </c>
      <c r="Y2232" t="s">
        <v>7394</v>
      </c>
      <c r="Z2232" t="s">
        <v>9085</v>
      </c>
      <c r="AB2232" t="s">
        <v>11779</v>
      </c>
      <c r="AC2232">
        <v>13</v>
      </c>
      <c r="AD2232" t="s">
        <v>12422</v>
      </c>
      <c r="AE2232" t="s">
        <v>6110</v>
      </c>
      <c r="AF2232">
        <v>20</v>
      </c>
      <c r="AG2232">
        <v>1</v>
      </c>
      <c r="AH2232">
        <v>0</v>
      </c>
      <c r="AI2232">
        <v>155.02</v>
      </c>
      <c r="AL2232" t="s">
        <v>12460</v>
      </c>
      <c r="AM2232">
        <v>18820</v>
      </c>
      <c r="AN2232" t="s">
        <v>12491</v>
      </c>
      <c r="AS2232">
        <v>0.08</v>
      </c>
      <c r="AT2232" t="s">
        <v>466</v>
      </c>
      <c r="AU2232" t="s">
        <v>218</v>
      </c>
    </row>
    <row r="2233" spans="1:48">
      <c r="A2233" s="1">
        <f>HYPERLINK("https://cms.ls-nyc.org/matter/dynamic-profile/view/1879051","18-1879051")</f>
        <v>0</v>
      </c>
      <c r="B2233" t="s">
        <v>80</v>
      </c>
      <c r="C2233" t="s">
        <v>407</v>
      </c>
      <c r="E2233" t="s">
        <v>651</v>
      </c>
      <c r="F2233" t="s">
        <v>3181</v>
      </c>
      <c r="G2233" t="s">
        <v>4938</v>
      </c>
      <c r="H2233" t="s">
        <v>5438</v>
      </c>
      <c r="I2233" t="s">
        <v>6043</v>
      </c>
      <c r="J2233">
        <v>11221</v>
      </c>
      <c r="K2233" t="s">
        <v>6074</v>
      </c>
      <c r="L2233" t="s">
        <v>6074</v>
      </c>
      <c r="N2233" t="s">
        <v>7275</v>
      </c>
      <c r="O2233" t="s">
        <v>7311</v>
      </c>
      <c r="Q2233" t="s">
        <v>7322</v>
      </c>
      <c r="R2233" t="s">
        <v>6074</v>
      </c>
      <c r="S2233" t="s">
        <v>7324</v>
      </c>
      <c r="U2233" t="s">
        <v>273</v>
      </c>
      <c r="V2233">
        <v>790</v>
      </c>
      <c r="W2233" t="s">
        <v>7362</v>
      </c>
      <c r="X2233" t="s">
        <v>7376</v>
      </c>
      <c r="Z2233" t="s">
        <v>9085</v>
      </c>
      <c r="AB2233" t="s">
        <v>11779</v>
      </c>
      <c r="AC2233">
        <v>13</v>
      </c>
      <c r="AD2233" t="s">
        <v>12422</v>
      </c>
      <c r="AE2233" t="s">
        <v>6110</v>
      </c>
      <c r="AF2233">
        <v>20</v>
      </c>
      <c r="AG2233">
        <v>1</v>
      </c>
      <c r="AH2233">
        <v>0</v>
      </c>
      <c r="AI2233">
        <v>155.02</v>
      </c>
      <c r="AL2233" t="s">
        <v>12460</v>
      </c>
      <c r="AM2233">
        <v>18820</v>
      </c>
      <c r="AS2233">
        <v>0</v>
      </c>
      <c r="AU2233" t="s">
        <v>218</v>
      </c>
    </row>
    <row r="2234" spans="1:48">
      <c r="A2234" s="1">
        <f>HYPERLINK("https://cms.ls-nyc.org/matter/dynamic-profile/view/1874438","18-1874438")</f>
        <v>0</v>
      </c>
      <c r="B2234" t="s">
        <v>73</v>
      </c>
      <c r="C2234" t="s">
        <v>236</v>
      </c>
      <c r="D2234" t="s">
        <v>297</v>
      </c>
      <c r="E2234" t="s">
        <v>1682</v>
      </c>
      <c r="F2234" t="s">
        <v>3194</v>
      </c>
      <c r="G2234" t="s">
        <v>3700</v>
      </c>
      <c r="H2234" t="s">
        <v>5843</v>
      </c>
      <c r="I2234" t="s">
        <v>6043</v>
      </c>
      <c r="J2234">
        <v>11233</v>
      </c>
      <c r="K2234" t="s">
        <v>6074</v>
      </c>
      <c r="L2234" t="s">
        <v>6074</v>
      </c>
      <c r="M2234" t="s">
        <v>6997</v>
      </c>
      <c r="N2234" t="s">
        <v>7274</v>
      </c>
      <c r="O2234" t="s">
        <v>7306</v>
      </c>
      <c r="P2234" t="s">
        <v>7314</v>
      </c>
      <c r="Q2234" t="s">
        <v>7322</v>
      </c>
      <c r="R2234" t="s">
        <v>6076</v>
      </c>
      <c r="S2234" t="s">
        <v>7324</v>
      </c>
      <c r="U2234" t="s">
        <v>297</v>
      </c>
      <c r="V2234">
        <v>1444.52</v>
      </c>
      <c r="W2234" t="s">
        <v>7362</v>
      </c>
      <c r="X2234" t="s">
        <v>7368</v>
      </c>
      <c r="Y2234" t="s">
        <v>7386</v>
      </c>
      <c r="Z2234" t="s">
        <v>9108</v>
      </c>
      <c r="AA2234" t="s">
        <v>10241</v>
      </c>
      <c r="AB2234" t="s">
        <v>11800</v>
      </c>
      <c r="AC2234">
        <v>764</v>
      </c>
      <c r="AD2234" t="s">
        <v>12422</v>
      </c>
      <c r="AE2234" t="s">
        <v>6110</v>
      </c>
      <c r="AF2234">
        <v>7</v>
      </c>
      <c r="AG2234">
        <v>1</v>
      </c>
      <c r="AH2234">
        <v>3</v>
      </c>
      <c r="AI2234">
        <v>155.38</v>
      </c>
      <c r="AL2234" t="s">
        <v>12460</v>
      </c>
      <c r="AM2234">
        <v>39000</v>
      </c>
      <c r="AS2234">
        <v>4.6</v>
      </c>
      <c r="AT2234" t="s">
        <v>273</v>
      </c>
      <c r="AU2234" t="s">
        <v>218</v>
      </c>
    </row>
    <row r="2235" spans="1:48">
      <c r="A2235" s="1">
        <f>HYPERLINK("https://cms.ls-nyc.org/matter/dynamic-profile/view/1880302","18-1880302")</f>
        <v>0</v>
      </c>
      <c r="B2235" t="s">
        <v>215</v>
      </c>
      <c r="C2235" t="s">
        <v>354</v>
      </c>
      <c r="D2235" t="s">
        <v>469</v>
      </c>
      <c r="E2235" t="s">
        <v>633</v>
      </c>
      <c r="F2235" t="s">
        <v>3195</v>
      </c>
      <c r="G2235" t="s">
        <v>4953</v>
      </c>
      <c r="H2235" t="s">
        <v>5812</v>
      </c>
      <c r="I2235" t="s">
        <v>6047</v>
      </c>
      <c r="J2235">
        <v>10459</v>
      </c>
      <c r="K2235" t="s">
        <v>6074</v>
      </c>
      <c r="L2235" t="s">
        <v>6074</v>
      </c>
      <c r="N2235" t="s">
        <v>7276</v>
      </c>
      <c r="O2235" t="s">
        <v>7307</v>
      </c>
      <c r="P2235" t="s">
        <v>7315</v>
      </c>
      <c r="Q2235" t="s">
        <v>7322</v>
      </c>
      <c r="R2235" t="s">
        <v>6076</v>
      </c>
      <c r="S2235" t="s">
        <v>7324</v>
      </c>
      <c r="U2235" t="s">
        <v>258</v>
      </c>
      <c r="V2235">
        <v>1215</v>
      </c>
      <c r="W2235" t="s">
        <v>7363</v>
      </c>
      <c r="X2235" t="s">
        <v>7374</v>
      </c>
      <c r="Y2235" t="s">
        <v>7386</v>
      </c>
      <c r="Z2235" t="s">
        <v>9109</v>
      </c>
      <c r="AA2235" t="s">
        <v>10242</v>
      </c>
      <c r="AB2235" t="s">
        <v>11801</v>
      </c>
      <c r="AC2235">
        <v>100</v>
      </c>
      <c r="AD2235" t="s">
        <v>12422</v>
      </c>
      <c r="AE2235" t="s">
        <v>12434</v>
      </c>
      <c r="AF2235">
        <v>10</v>
      </c>
      <c r="AG2235">
        <v>1</v>
      </c>
      <c r="AH2235">
        <v>0</v>
      </c>
      <c r="AI2235">
        <v>155.7</v>
      </c>
      <c r="AL2235" t="s">
        <v>12460</v>
      </c>
      <c r="AM2235">
        <v>18902</v>
      </c>
      <c r="AN2235" t="s">
        <v>12670</v>
      </c>
      <c r="AS2235">
        <v>1.95</v>
      </c>
      <c r="AT2235" t="s">
        <v>428</v>
      </c>
      <c r="AU2235" t="s">
        <v>13079</v>
      </c>
    </row>
    <row r="2236" spans="1:48">
      <c r="A2236" s="1">
        <f>HYPERLINK("https://cms.ls-nyc.org/matter/dynamic-profile/view/1883259","18-1883259")</f>
        <v>0</v>
      </c>
      <c r="B2236" t="s">
        <v>136</v>
      </c>
      <c r="C2236" t="s">
        <v>403</v>
      </c>
      <c r="E2236" t="s">
        <v>1683</v>
      </c>
      <c r="F2236" t="s">
        <v>3196</v>
      </c>
      <c r="G2236" t="s">
        <v>4954</v>
      </c>
      <c r="H2236" t="s">
        <v>5844</v>
      </c>
      <c r="I2236" t="s">
        <v>6049</v>
      </c>
      <c r="J2236">
        <v>10035</v>
      </c>
      <c r="K2236" t="s">
        <v>6074</v>
      </c>
      <c r="L2236" t="s">
        <v>6074</v>
      </c>
      <c r="N2236" t="s">
        <v>6104</v>
      </c>
      <c r="O2236" t="s">
        <v>7310</v>
      </c>
      <c r="Q2236" t="s">
        <v>7322</v>
      </c>
      <c r="R2236" t="s">
        <v>6076</v>
      </c>
      <c r="S2236" t="s">
        <v>7324</v>
      </c>
      <c r="T2236" t="s">
        <v>7336</v>
      </c>
      <c r="U2236" t="s">
        <v>269</v>
      </c>
      <c r="V2236">
        <v>186</v>
      </c>
      <c r="W2236" t="s">
        <v>7365</v>
      </c>
      <c r="X2236" t="s">
        <v>7367</v>
      </c>
      <c r="Z2236" t="s">
        <v>9110</v>
      </c>
      <c r="AB2236" t="s">
        <v>11802</v>
      </c>
      <c r="AC2236">
        <v>134</v>
      </c>
      <c r="AD2236" t="s">
        <v>12420</v>
      </c>
      <c r="AE2236" t="s">
        <v>12434</v>
      </c>
      <c r="AF2236">
        <v>17</v>
      </c>
      <c r="AG2236">
        <v>2</v>
      </c>
      <c r="AH2236">
        <v>0</v>
      </c>
      <c r="AI2236">
        <v>156.06</v>
      </c>
      <c r="AL2236" t="s">
        <v>12460</v>
      </c>
      <c r="AM2236">
        <v>25688</v>
      </c>
      <c r="AS2236">
        <v>35.6</v>
      </c>
      <c r="AT2236" t="s">
        <v>382</v>
      </c>
      <c r="AU2236" t="s">
        <v>13090</v>
      </c>
      <c r="AV2236" t="s">
        <v>13145</v>
      </c>
    </row>
    <row r="2237" spans="1:48">
      <c r="A2237" s="1">
        <f>HYPERLINK("https://cms.ls-nyc.org/matter/dynamic-profile/view/1888687","19-1888687")</f>
        <v>0</v>
      </c>
      <c r="B2237" t="s">
        <v>86</v>
      </c>
      <c r="C2237" t="s">
        <v>339</v>
      </c>
      <c r="E2237" t="s">
        <v>1684</v>
      </c>
      <c r="F2237" t="s">
        <v>2104</v>
      </c>
      <c r="G2237" t="s">
        <v>4955</v>
      </c>
      <c r="I2237" t="s">
        <v>6043</v>
      </c>
      <c r="J2237">
        <v>11233</v>
      </c>
      <c r="K2237" t="s">
        <v>6074</v>
      </c>
      <c r="L2237" t="s">
        <v>6074</v>
      </c>
      <c r="M2237" t="s">
        <v>6104</v>
      </c>
      <c r="N2237" t="s">
        <v>7280</v>
      </c>
      <c r="O2237" t="s">
        <v>7311</v>
      </c>
      <c r="Q2237" t="s">
        <v>7322</v>
      </c>
      <c r="R2237" t="s">
        <v>6076</v>
      </c>
      <c r="S2237" t="s">
        <v>7327</v>
      </c>
      <c r="U2237" t="s">
        <v>339</v>
      </c>
      <c r="V2237">
        <v>0</v>
      </c>
      <c r="W2237" t="s">
        <v>7362</v>
      </c>
      <c r="X2237" t="s">
        <v>7305</v>
      </c>
      <c r="Z2237" t="s">
        <v>9111</v>
      </c>
      <c r="AB2237" t="s">
        <v>11803</v>
      </c>
      <c r="AC2237">
        <v>0</v>
      </c>
      <c r="AD2237" t="s">
        <v>12428</v>
      </c>
      <c r="AE2237" t="s">
        <v>12438</v>
      </c>
      <c r="AF2237">
        <v>1</v>
      </c>
      <c r="AG2237">
        <v>1</v>
      </c>
      <c r="AH2237">
        <v>0</v>
      </c>
      <c r="AI2237">
        <v>156.12</v>
      </c>
      <c r="AL2237" t="s">
        <v>12460</v>
      </c>
      <c r="AM2237">
        <v>19500</v>
      </c>
      <c r="AS2237">
        <v>10.25</v>
      </c>
      <c r="AT2237" t="s">
        <v>382</v>
      </c>
      <c r="AU2237" t="s">
        <v>180</v>
      </c>
    </row>
    <row r="2238" spans="1:48">
      <c r="A2238" s="1">
        <f>HYPERLINK("https://cms.ls-nyc.org/matter/dynamic-profile/view/1892489","19-1892489")</f>
        <v>0</v>
      </c>
      <c r="B2238" t="s">
        <v>105</v>
      </c>
      <c r="C2238" t="s">
        <v>277</v>
      </c>
      <c r="D2238" t="s">
        <v>247</v>
      </c>
      <c r="E2238" t="s">
        <v>1685</v>
      </c>
      <c r="F2238" t="s">
        <v>1514</v>
      </c>
      <c r="G2238" t="s">
        <v>4956</v>
      </c>
      <c r="H2238" t="s">
        <v>5385</v>
      </c>
      <c r="I2238" t="s">
        <v>6047</v>
      </c>
      <c r="J2238">
        <v>10452</v>
      </c>
      <c r="K2238" t="s">
        <v>6074</v>
      </c>
      <c r="L2238" t="s">
        <v>6074</v>
      </c>
      <c r="M2238" t="s">
        <v>6998</v>
      </c>
      <c r="N2238" t="s">
        <v>7276</v>
      </c>
      <c r="O2238" t="s">
        <v>7307</v>
      </c>
      <c r="P2238" t="s">
        <v>7315</v>
      </c>
      <c r="Q2238" t="s">
        <v>7322</v>
      </c>
      <c r="R2238" t="s">
        <v>6076</v>
      </c>
      <c r="S2238" t="s">
        <v>7324</v>
      </c>
      <c r="T2238" t="s">
        <v>7339</v>
      </c>
      <c r="U2238" t="s">
        <v>277</v>
      </c>
      <c r="V2238">
        <v>1097</v>
      </c>
      <c r="W2238" t="s">
        <v>7363</v>
      </c>
      <c r="X2238" t="s">
        <v>7372</v>
      </c>
      <c r="Y2238" t="s">
        <v>7386</v>
      </c>
      <c r="Z2238" t="s">
        <v>9112</v>
      </c>
      <c r="AB2238" t="s">
        <v>11804</v>
      </c>
      <c r="AC2238">
        <v>36</v>
      </c>
      <c r="AD2238" t="s">
        <v>6322</v>
      </c>
      <c r="AE2238" t="s">
        <v>6110</v>
      </c>
      <c r="AF2238">
        <v>22</v>
      </c>
      <c r="AG2238">
        <v>2</v>
      </c>
      <c r="AH2238">
        <v>0</v>
      </c>
      <c r="AI2238">
        <v>156.12</v>
      </c>
      <c r="AL2238" t="s">
        <v>12461</v>
      </c>
      <c r="AM2238">
        <v>26400</v>
      </c>
      <c r="AS2238">
        <v>0.5</v>
      </c>
      <c r="AT2238" t="s">
        <v>277</v>
      </c>
      <c r="AU2238" t="s">
        <v>13091</v>
      </c>
    </row>
    <row r="2239" spans="1:48">
      <c r="A2239" s="1">
        <f>HYPERLINK("https://cms.ls-nyc.org/matter/dynamic-profile/view/1889161","19-1889161")</f>
        <v>0</v>
      </c>
      <c r="B2239" t="s">
        <v>126</v>
      </c>
      <c r="C2239" t="s">
        <v>259</v>
      </c>
      <c r="E2239" t="s">
        <v>1324</v>
      </c>
      <c r="F2239" t="s">
        <v>2966</v>
      </c>
      <c r="G2239" t="s">
        <v>4957</v>
      </c>
      <c r="H2239" t="s">
        <v>5387</v>
      </c>
      <c r="I2239" t="s">
        <v>6049</v>
      </c>
      <c r="J2239">
        <v>10031</v>
      </c>
      <c r="K2239" t="s">
        <v>6074</v>
      </c>
      <c r="L2239" t="s">
        <v>6074</v>
      </c>
      <c r="N2239" t="s">
        <v>6104</v>
      </c>
      <c r="O2239" t="s">
        <v>7306</v>
      </c>
      <c r="Q2239" t="s">
        <v>7322</v>
      </c>
      <c r="R2239" t="s">
        <v>6076</v>
      </c>
      <c r="S2239" t="s">
        <v>7324</v>
      </c>
      <c r="T2239" t="s">
        <v>7336</v>
      </c>
      <c r="U2239" t="s">
        <v>370</v>
      </c>
      <c r="V2239">
        <v>649.61</v>
      </c>
      <c r="W2239" t="s">
        <v>7365</v>
      </c>
      <c r="X2239" t="s">
        <v>7375</v>
      </c>
      <c r="Z2239" t="s">
        <v>9113</v>
      </c>
      <c r="AB2239" t="s">
        <v>11805</v>
      </c>
      <c r="AC2239">
        <v>0</v>
      </c>
      <c r="AD2239" t="s">
        <v>12422</v>
      </c>
      <c r="AE2239" t="s">
        <v>6110</v>
      </c>
      <c r="AF2239">
        <v>40</v>
      </c>
      <c r="AG2239">
        <v>1</v>
      </c>
      <c r="AH2239">
        <v>0</v>
      </c>
      <c r="AI2239">
        <v>156.12</v>
      </c>
      <c r="AL2239" t="s">
        <v>12461</v>
      </c>
      <c r="AM2239">
        <v>19500</v>
      </c>
      <c r="AS2239">
        <v>0.1</v>
      </c>
      <c r="AT2239" t="s">
        <v>395</v>
      </c>
      <c r="AU2239" t="s">
        <v>13107</v>
      </c>
    </row>
    <row r="2240" spans="1:48">
      <c r="A2240" s="1">
        <f>HYPERLINK("https://cms.ls-nyc.org/matter/dynamic-profile/view/1893820","19-1893820")</f>
        <v>0</v>
      </c>
      <c r="B2240" t="s">
        <v>167</v>
      </c>
      <c r="C2240" t="s">
        <v>275</v>
      </c>
      <c r="E2240" t="s">
        <v>898</v>
      </c>
      <c r="F2240" t="s">
        <v>1312</v>
      </c>
      <c r="G2240" t="s">
        <v>4958</v>
      </c>
      <c r="H2240" t="s">
        <v>5348</v>
      </c>
      <c r="I2240" t="s">
        <v>6047</v>
      </c>
      <c r="J2240">
        <v>10456</v>
      </c>
      <c r="K2240" t="s">
        <v>6074</v>
      </c>
      <c r="L2240" t="s">
        <v>6074</v>
      </c>
      <c r="M2240" t="s">
        <v>6999</v>
      </c>
      <c r="N2240" t="s">
        <v>7283</v>
      </c>
      <c r="O2240" t="s">
        <v>7309</v>
      </c>
      <c r="Q2240" t="s">
        <v>7322</v>
      </c>
      <c r="S2240" t="s">
        <v>7326</v>
      </c>
      <c r="U2240" t="s">
        <v>275</v>
      </c>
      <c r="V2240">
        <v>1004.69</v>
      </c>
      <c r="W2240" t="s">
        <v>7363</v>
      </c>
      <c r="X2240" t="s">
        <v>7366</v>
      </c>
      <c r="Z2240" t="s">
        <v>9114</v>
      </c>
      <c r="AA2240" t="s">
        <v>10243</v>
      </c>
      <c r="AB2240" t="s">
        <v>11806</v>
      </c>
      <c r="AC2240">
        <v>48</v>
      </c>
      <c r="AD2240" t="s">
        <v>12422</v>
      </c>
      <c r="AE2240" t="s">
        <v>12437</v>
      </c>
      <c r="AF2240">
        <v>29</v>
      </c>
      <c r="AG2240">
        <v>2</v>
      </c>
      <c r="AH2240">
        <v>0</v>
      </c>
      <c r="AI2240">
        <v>156.18</v>
      </c>
      <c r="AL2240" t="s">
        <v>12460</v>
      </c>
      <c r="AM2240">
        <v>26410</v>
      </c>
      <c r="AS2240">
        <v>1.75</v>
      </c>
      <c r="AT2240" t="s">
        <v>446</v>
      </c>
      <c r="AU2240" t="s">
        <v>13116</v>
      </c>
    </row>
    <row r="2241" spans="1:48">
      <c r="A2241" s="1">
        <f>HYPERLINK("https://cms.ls-nyc.org/matter/dynamic-profile/view/1882939","18-1882939")</f>
        <v>0</v>
      </c>
      <c r="B2241" t="s">
        <v>128</v>
      </c>
      <c r="C2241" t="s">
        <v>416</v>
      </c>
      <c r="E2241" t="s">
        <v>885</v>
      </c>
      <c r="F2241" t="s">
        <v>3197</v>
      </c>
      <c r="G2241" t="s">
        <v>4959</v>
      </c>
      <c r="H2241" t="s">
        <v>5446</v>
      </c>
      <c r="I2241" t="s">
        <v>6049</v>
      </c>
      <c r="J2241">
        <v>10034</v>
      </c>
      <c r="K2241" t="s">
        <v>6074</v>
      </c>
      <c r="L2241" t="s">
        <v>6074</v>
      </c>
      <c r="N2241" t="s">
        <v>7278</v>
      </c>
      <c r="O2241" t="s">
        <v>7309</v>
      </c>
      <c r="Q2241" t="s">
        <v>7322</v>
      </c>
      <c r="R2241" t="s">
        <v>6076</v>
      </c>
      <c r="S2241" t="s">
        <v>7324</v>
      </c>
      <c r="U2241" t="s">
        <v>416</v>
      </c>
      <c r="V2241">
        <v>999.88</v>
      </c>
      <c r="W2241" t="s">
        <v>7365</v>
      </c>
      <c r="X2241" t="s">
        <v>7367</v>
      </c>
      <c r="Z2241" t="s">
        <v>9115</v>
      </c>
      <c r="AB2241" t="s">
        <v>11807</v>
      </c>
      <c r="AC2241">
        <v>6</v>
      </c>
      <c r="AD2241" t="s">
        <v>12422</v>
      </c>
      <c r="AE2241" t="s">
        <v>12441</v>
      </c>
      <c r="AF2241">
        <v>11</v>
      </c>
      <c r="AG2241">
        <v>1</v>
      </c>
      <c r="AH2241">
        <v>0</v>
      </c>
      <c r="AI2241">
        <v>156.33</v>
      </c>
      <c r="AL2241" t="s">
        <v>12460</v>
      </c>
      <c r="AM2241">
        <v>18978.96</v>
      </c>
      <c r="AS2241">
        <v>1.8</v>
      </c>
      <c r="AT2241" t="s">
        <v>416</v>
      </c>
      <c r="AU2241" t="s">
        <v>13106</v>
      </c>
    </row>
    <row r="2242" spans="1:48">
      <c r="A2242" s="1">
        <f>HYPERLINK("https://cms.ls-nyc.org/matter/dynamic-profile/view/1879434","18-1879434")</f>
        <v>0</v>
      </c>
      <c r="B2242" t="s">
        <v>85</v>
      </c>
      <c r="C2242" t="s">
        <v>249</v>
      </c>
      <c r="D2242" t="s">
        <v>462</v>
      </c>
      <c r="E2242" t="s">
        <v>1686</v>
      </c>
      <c r="F2242" t="s">
        <v>2064</v>
      </c>
      <c r="G2242" t="s">
        <v>4960</v>
      </c>
      <c r="H2242" t="s">
        <v>5485</v>
      </c>
      <c r="I2242" t="s">
        <v>6043</v>
      </c>
      <c r="J2242">
        <v>11226</v>
      </c>
      <c r="K2242" t="s">
        <v>6074</v>
      </c>
      <c r="L2242" t="s">
        <v>6074</v>
      </c>
      <c r="M2242" t="s">
        <v>7000</v>
      </c>
      <c r="N2242" t="s">
        <v>7274</v>
      </c>
      <c r="O2242" t="s">
        <v>7308</v>
      </c>
      <c r="P2242" t="s">
        <v>7316</v>
      </c>
      <c r="Q2242" t="s">
        <v>7322</v>
      </c>
      <c r="R2242" t="s">
        <v>6076</v>
      </c>
      <c r="S2242" t="s">
        <v>7324</v>
      </c>
      <c r="U2242" t="s">
        <v>239</v>
      </c>
      <c r="V2242">
        <v>0</v>
      </c>
      <c r="W2242" t="s">
        <v>7362</v>
      </c>
      <c r="X2242" t="s">
        <v>7305</v>
      </c>
      <c r="Y2242" t="s">
        <v>7388</v>
      </c>
      <c r="Z2242" t="s">
        <v>9116</v>
      </c>
      <c r="AA2242" t="s">
        <v>6076</v>
      </c>
      <c r="AB2242" t="s">
        <v>9856</v>
      </c>
      <c r="AC2242">
        <v>56</v>
      </c>
      <c r="AD2242" t="s">
        <v>12422</v>
      </c>
      <c r="AE2242" t="s">
        <v>6110</v>
      </c>
      <c r="AF2242">
        <v>22</v>
      </c>
      <c r="AG2242">
        <v>1</v>
      </c>
      <c r="AH2242">
        <v>0</v>
      </c>
      <c r="AI2242">
        <v>156.51</v>
      </c>
      <c r="AL2242" t="s">
        <v>12460</v>
      </c>
      <c r="AM2242">
        <v>19000</v>
      </c>
      <c r="AO2242" t="s">
        <v>12846</v>
      </c>
      <c r="AP2242" t="s">
        <v>12863</v>
      </c>
      <c r="AQ2242" t="s">
        <v>12909</v>
      </c>
      <c r="AR2242" t="s">
        <v>13038</v>
      </c>
      <c r="AS2242">
        <v>13</v>
      </c>
      <c r="AT2242" t="s">
        <v>462</v>
      </c>
      <c r="AU2242" t="s">
        <v>13121</v>
      </c>
    </row>
    <row r="2243" spans="1:48">
      <c r="A2243" s="1">
        <f>HYPERLINK("https://cms.ls-nyc.org/matter/dynamic-profile/view/1874439","18-1874439")</f>
        <v>0</v>
      </c>
      <c r="B2243" t="s">
        <v>139</v>
      </c>
      <c r="C2243" t="s">
        <v>236</v>
      </c>
      <c r="D2243" t="s">
        <v>290</v>
      </c>
      <c r="E2243" t="s">
        <v>586</v>
      </c>
      <c r="F2243" t="s">
        <v>3198</v>
      </c>
      <c r="G2243" t="s">
        <v>4961</v>
      </c>
      <c r="H2243" t="s">
        <v>5845</v>
      </c>
      <c r="I2243" t="s">
        <v>6049</v>
      </c>
      <c r="J2243">
        <v>10034</v>
      </c>
      <c r="K2243" t="s">
        <v>6074</v>
      </c>
      <c r="L2243" t="s">
        <v>6074</v>
      </c>
      <c r="N2243" t="s">
        <v>7278</v>
      </c>
      <c r="O2243" t="s">
        <v>7306</v>
      </c>
      <c r="P2243" t="s">
        <v>7314</v>
      </c>
      <c r="Q2243" t="s">
        <v>7322</v>
      </c>
      <c r="R2243" t="s">
        <v>6076</v>
      </c>
      <c r="S2243" t="s">
        <v>7324</v>
      </c>
      <c r="U2243" t="s">
        <v>236</v>
      </c>
      <c r="V2243">
        <v>1450</v>
      </c>
      <c r="W2243" t="s">
        <v>7365</v>
      </c>
      <c r="X2243" t="s">
        <v>7376</v>
      </c>
      <c r="Y2243" t="s">
        <v>7386</v>
      </c>
      <c r="Z2243" t="s">
        <v>9117</v>
      </c>
      <c r="AC2243">
        <v>57</v>
      </c>
      <c r="AD2243" t="s">
        <v>12422</v>
      </c>
      <c r="AE2243" t="s">
        <v>6110</v>
      </c>
      <c r="AF2243">
        <v>6</v>
      </c>
      <c r="AG2243">
        <v>4</v>
      </c>
      <c r="AH2243">
        <v>1</v>
      </c>
      <c r="AI2243">
        <v>156.52</v>
      </c>
      <c r="AL2243" t="s">
        <v>12461</v>
      </c>
      <c r="AM2243">
        <v>46048</v>
      </c>
      <c r="AS2243">
        <v>2.3</v>
      </c>
      <c r="AT2243" t="s">
        <v>243</v>
      </c>
      <c r="AU2243" t="s">
        <v>13106</v>
      </c>
    </row>
    <row r="2244" spans="1:48">
      <c r="A2244" s="1">
        <f>HYPERLINK("https://cms.ls-nyc.org/matter/dynamic-profile/view/1889089","19-1889089")</f>
        <v>0</v>
      </c>
      <c r="B2244" t="s">
        <v>77</v>
      </c>
      <c r="C2244" t="s">
        <v>261</v>
      </c>
      <c r="E2244" t="s">
        <v>575</v>
      </c>
      <c r="F2244" t="s">
        <v>3199</v>
      </c>
      <c r="G2244" t="s">
        <v>4962</v>
      </c>
      <c r="I2244" t="s">
        <v>6043</v>
      </c>
      <c r="J2244">
        <v>11233</v>
      </c>
      <c r="K2244" t="s">
        <v>6074</v>
      </c>
      <c r="L2244" t="s">
        <v>6074</v>
      </c>
      <c r="M2244" t="s">
        <v>7001</v>
      </c>
      <c r="N2244" t="s">
        <v>7276</v>
      </c>
      <c r="O2244" t="s">
        <v>7306</v>
      </c>
      <c r="Q2244" t="s">
        <v>7322</v>
      </c>
      <c r="R2244" t="s">
        <v>6076</v>
      </c>
      <c r="S2244" t="s">
        <v>7324</v>
      </c>
      <c r="T2244" t="s">
        <v>7336</v>
      </c>
      <c r="U2244" t="s">
        <v>337</v>
      </c>
      <c r="V2244">
        <v>2000</v>
      </c>
      <c r="W2244" t="s">
        <v>7362</v>
      </c>
      <c r="X2244" t="s">
        <v>7366</v>
      </c>
      <c r="Z2244" t="s">
        <v>9118</v>
      </c>
      <c r="AA2244" t="s">
        <v>6110</v>
      </c>
      <c r="AB2244" t="s">
        <v>11808</v>
      </c>
      <c r="AC2244">
        <v>3</v>
      </c>
      <c r="AD2244" t="s">
        <v>12419</v>
      </c>
      <c r="AE2244" t="s">
        <v>6110</v>
      </c>
      <c r="AF2244">
        <v>3</v>
      </c>
      <c r="AG2244">
        <v>4</v>
      </c>
      <c r="AH2244">
        <v>0</v>
      </c>
      <c r="AI2244">
        <v>156.86</v>
      </c>
      <c r="AL2244" t="s">
        <v>12460</v>
      </c>
      <c r="AM2244">
        <v>40392</v>
      </c>
      <c r="AS2244">
        <v>2.5</v>
      </c>
      <c r="AT2244" t="s">
        <v>356</v>
      </c>
      <c r="AU2244" t="s">
        <v>218</v>
      </c>
    </row>
    <row r="2245" spans="1:48">
      <c r="A2245" s="1">
        <f>HYPERLINK("https://cms.ls-nyc.org/matter/dynamic-profile/view/1889465","19-1889465")</f>
        <v>0</v>
      </c>
      <c r="B2245" t="s">
        <v>60</v>
      </c>
      <c r="C2245" t="s">
        <v>366</v>
      </c>
      <c r="D2245" t="s">
        <v>393</v>
      </c>
      <c r="E2245" t="s">
        <v>803</v>
      </c>
      <c r="F2245" t="s">
        <v>2133</v>
      </c>
      <c r="G2245" t="s">
        <v>4963</v>
      </c>
      <c r="H2245" t="s">
        <v>5435</v>
      </c>
      <c r="I2245" t="s">
        <v>6025</v>
      </c>
      <c r="J2245">
        <v>11691</v>
      </c>
      <c r="K2245" t="s">
        <v>6074</v>
      </c>
      <c r="L2245" t="s">
        <v>6074</v>
      </c>
      <c r="M2245" t="s">
        <v>7002</v>
      </c>
      <c r="N2245" t="s">
        <v>7276</v>
      </c>
      <c r="O2245" t="s">
        <v>7306</v>
      </c>
      <c r="P2245" t="s">
        <v>7314</v>
      </c>
      <c r="Q2245" t="s">
        <v>7322</v>
      </c>
      <c r="R2245" t="s">
        <v>6076</v>
      </c>
      <c r="S2245" t="s">
        <v>7324</v>
      </c>
      <c r="T2245" t="s">
        <v>7338</v>
      </c>
      <c r="U2245" t="s">
        <v>366</v>
      </c>
      <c r="V2245">
        <v>1800</v>
      </c>
      <c r="W2245" t="s">
        <v>7361</v>
      </c>
      <c r="X2245" t="s">
        <v>7367</v>
      </c>
      <c r="Y2245" t="s">
        <v>7386</v>
      </c>
      <c r="Z2245" t="s">
        <v>9119</v>
      </c>
      <c r="AB2245" t="s">
        <v>11809</v>
      </c>
      <c r="AC2245">
        <v>65</v>
      </c>
      <c r="AD2245" t="s">
        <v>6322</v>
      </c>
      <c r="AE2245" t="s">
        <v>6110</v>
      </c>
      <c r="AF2245">
        <v>2</v>
      </c>
      <c r="AG2245">
        <v>1</v>
      </c>
      <c r="AH2245">
        <v>4</v>
      </c>
      <c r="AI2245">
        <v>157.02</v>
      </c>
      <c r="AL2245" t="s">
        <v>12460</v>
      </c>
      <c r="AM2245">
        <v>47371.65</v>
      </c>
      <c r="AS2245">
        <v>1.08</v>
      </c>
      <c r="AT2245" t="s">
        <v>251</v>
      </c>
      <c r="AU2245" t="s">
        <v>48</v>
      </c>
    </row>
    <row r="2246" spans="1:48">
      <c r="A2246" s="1">
        <f>HYPERLINK("https://cms.ls-nyc.org/matter/dynamic-profile/view/1880462","18-1880462")</f>
        <v>0</v>
      </c>
      <c r="B2246" t="s">
        <v>81</v>
      </c>
      <c r="C2246" t="s">
        <v>307</v>
      </c>
      <c r="E2246" t="s">
        <v>1006</v>
      </c>
      <c r="F2246" t="s">
        <v>3200</v>
      </c>
      <c r="G2246" t="s">
        <v>4964</v>
      </c>
      <c r="H2246" t="s">
        <v>5390</v>
      </c>
      <c r="I2246" t="s">
        <v>6043</v>
      </c>
      <c r="J2246">
        <v>11206</v>
      </c>
      <c r="K2246" t="s">
        <v>6074</v>
      </c>
      <c r="L2246" t="s">
        <v>6074</v>
      </c>
      <c r="M2246" t="s">
        <v>7003</v>
      </c>
      <c r="N2246" t="s">
        <v>7276</v>
      </c>
      <c r="O2246" t="s">
        <v>7308</v>
      </c>
      <c r="Q2246" t="s">
        <v>7322</v>
      </c>
      <c r="S2246" t="s">
        <v>7324</v>
      </c>
      <c r="U2246" t="s">
        <v>442</v>
      </c>
      <c r="V2246">
        <v>0</v>
      </c>
      <c r="W2246" t="s">
        <v>7362</v>
      </c>
      <c r="Z2246" t="s">
        <v>9120</v>
      </c>
      <c r="AB2246" t="s">
        <v>11810</v>
      </c>
      <c r="AC2246">
        <v>0</v>
      </c>
      <c r="AF2246">
        <v>11</v>
      </c>
      <c r="AG2246">
        <v>2</v>
      </c>
      <c r="AH2246">
        <v>2</v>
      </c>
      <c r="AI2246">
        <v>157.29</v>
      </c>
      <c r="AL2246" t="s">
        <v>12460</v>
      </c>
      <c r="AM2246">
        <v>39480</v>
      </c>
      <c r="AS2246">
        <v>12.1</v>
      </c>
      <c r="AT2246" t="s">
        <v>443</v>
      </c>
      <c r="AU2246" t="s">
        <v>69</v>
      </c>
    </row>
    <row r="2247" spans="1:48">
      <c r="A2247" s="1">
        <f>HYPERLINK("https://cms.ls-nyc.org/matter/dynamic-profile/view/1885747","18-1885747")</f>
        <v>0</v>
      </c>
      <c r="B2247" t="s">
        <v>102</v>
      </c>
      <c r="C2247" t="s">
        <v>344</v>
      </c>
      <c r="E2247" t="s">
        <v>1287</v>
      </c>
      <c r="F2247" t="s">
        <v>3201</v>
      </c>
      <c r="G2247" t="s">
        <v>3779</v>
      </c>
      <c r="H2247" t="s">
        <v>5491</v>
      </c>
      <c r="I2247" t="s">
        <v>6047</v>
      </c>
      <c r="J2247">
        <v>10460</v>
      </c>
      <c r="K2247" t="s">
        <v>6074</v>
      </c>
      <c r="L2247" t="s">
        <v>6074</v>
      </c>
      <c r="M2247" t="s">
        <v>6182</v>
      </c>
      <c r="N2247" t="s">
        <v>7273</v>
      </c>
      <c r="O2247" t="s">
        <v>7308</v>
      </c>
      <c r="Q2247" t="s">
        <v>7322</v>
      </c>
      <c r="R2247" t="s">
        <v>6074</v>
      </c>
      <c r="S2247" t="s">
        <v>7324</v>
      </c>
      <c r="U2247" t="s">
        <v>457</v>
      </c>
      <c r="V2247">
        <v>970</v>
      </c>
      <c r="W2247" t="s">
        <v>7363</v>
      </c>
      <c r="X2247" t="s">
        <v>7376</v>
      </c>
      <c r="Z2247" t="s">
        <v>8021</v>
      </c>
      <c r="AB2247" t="s">
        <v>11811</v>
      </c>
      <c r="AC2247">
        <v>168</v>
      </c>
      <c r="AD2247" t="s">
        <v>12422</v>
      </c>
      <c r="AE2247" t="s">
        <v>6110</v>
      </c>
      <c r="AF2247">
        <v>11</v>
      </c>
      <c r="AG2247">
        <v>1</v>
      </c>
      <c r="AH2247">
        <v>1</v>
      </c>
      <c r="AI2247">
        <v>157.64</v>
      </c>
      <c r="AL2247" t="s">
        <v>12460</v>
      </c>
      <c r="AM2247">
        <v>25948</v>
      </c>
      <c r="AS2247">
        <v>0</v>
      </c>
      <c r="AU2247" t="s">
        <v>13092</v>
      </c>
    </row>
    <row r="2248" spans="1:48">
      <c r="A2248" s="1">
        <f>HYPERLINK("https://cms.ls-nyc.org/matter/dynamic-profile/view/1873682","18-1873682")</f>
        <v>0</v>
      </c>
      <c r="B2248" t="s">
        <v>73</v>
      </c>
      <c r="C2248" t="s">
        <v>467</v>
      </c>
      <c r="D2248" t="s">
        <v>339</v>
      </c>
      <c r="E2248" t="s">
        <v>1517</v>
      </c>
      <c r="F2248" t="s">
        <v>3202</v>
      </c>
      <c r="G2248" t="s">
        <v>4965</v>
      </c>
      <c r="H2248" t="s">
        <v>5846</v>
      </c>
      <c r="I2248" t="s">
        <v>6043</v>
      </c>
      <c r="J2248">
        <v>11233</v>
      </c>
      <c r="K2248" t="s">
        <v>6074</v>
      </c>
      <c r="L2248" t="s">
        <v>6074</v>
      </c>
      <c r="M2248" t="s">
        <v>7004</v>
      </c>
      <c r="N2248" t="s">
        <v>7276</v>
      </c>
      <c r="O2248" t="s">
        <v>7308</v>
      </c>
      <c r="P2248" t="s">
        <v>7316</v>
      </c>
      <c r="Q2248" t="s">
        <v>7322</v>
      </c>
      <c r="R2248" t="s">
        <v>6076</v>
      </c>
      <c r="S2248" t="s">
        <v>7324</v>
      </c>
      <c r="U2248" t="s">
        <v>378</v>
      </c>
      <c r="V2248">
        <v>1758</v>
      </c>
      <c r="W2248" t="s">
        <v>7362</v>
      </c>
      <c r="X2248" t="s">
        <v>7377</v>
      </c>
      <c r="Y2248" t="s">
        <v>7388</v>
      </c>
      <c r="Z2248" t="s">
        <v>9121</v>
      </c>
      <c r="AA2248" t="s">
        <v>10244</v>
      </c>
      <c r="AC2248">
        <v>6</v>
      </c>
      <c r="AD2248" t="s">
        <v>12422</v>
      </c>
      <c r="AE2248" t="s">
        <v>12440</v>
      </c>
      <c r="AF2248">
        <v>8</v>
      </c>
      <c r="AG2248">
        <v>1</v>
      </c>
      <c r="AH2248">
        <v>0</v>
      </c>
      <c r="AI2248">
        <v>157.76</v>
      </c>
      <c r="AL2248" t="s">
        <v>12460</v>
      </c>
      <c r="AM2248">
        <v>19152</v>
      </c>
      <c r="AS2248">
        <v>36.4</v>
      </c>
      <c r="AT2248" t="s">
        <v>267</v>
      </c>
      <c r="AU2248" t="s">
        <v>13079</v>
      </c>
    </row>
    <row r="2249" spans="1:48">
      <c r="A2249" s="1">
        <f>HYPERLINK("https://cms.ls-nyc.org/matter/dynamic-profile/view/1897899","19-1897899")</f>
        <v>0</v>
      </c>
      <c r="B2249" t="s">
        <v>70</v>
      </c>
      <c r="C2249" t="s">
        <v>375</v>
      </c>
      <c r="E2249" t="s">
        <v>1687</v>
      </c>
      <c r="F2249" t="s">
        <v>3203</v>
      </c>
      <c r="G2249" t="s">
        <v>3698</v>
      </c>
      <c r="H2249">
        <v>26</v>
      </c>
      <c r="I2249" t="s">
        <v>6043</v>
      </c>
      <c r="J2249">
        <v>11238</v>
      </c>
      <c r="K2249" t="s">
        <v>6074</v>
      </c>
      <c r="L2249" t="s">
        <v>6074</v>
      </c>
      <c r="M2249" t="s">
        <v>7005</v>
      </c>
      <c r="N2249" t="s">
        <v>7279</v>
      </c>
      <c r="O2249" t="s">
        <v>7311</v>
      </c>
      <c r="Q2249" t="s">
        <v>7322</v>
      </c>
      <c r="R2249" t="s">
        <v>6076</v>
      </c>
      <c r="S2249" t="s">
        <v>7324</v>
      </c>
      <c r="T2249" t="s">
        <v>7336</v>
      </c>
      <c r="U2249" t="s">
        <v>375</v>
      </c>
      <c r="V2249">
        <v>1247.4</v>
      </c>
      <c r="W2249" t="s">
        <v>7362</v>
      </c>
      <c r="X2249" t="s">
        <v>7368</v>
      </c>
      <c r="Z2249" t="s">
        <v>9122</v>
      </c>
      <c r="AB2249" t="s">
        <v>11812</v>
      </c>
      <c r="AC2249">
        <v>41</v>
      </c>
      <c r="AD2249" t="s">
        <v>12422</v>
      </c>
      <c r="AF2249">
        <v>17</v>
      </c>
      <c r="AG2249">
        <v>2</v>
      </c>
      <c r="AH2249">
        <v>0</v>
      </c>
      <c r="AI2249">
        <v>157.79</v>
      </c>
      <c r="AL2249" t="s">
        <v>12460</v>
      </c>
      <c r="AM2249">
        <v>26682</v>
      </c>
      <c r="AS2249">
        <v>1.5</v>
      </c>
      <c r="AT2249" t="s">
        <v>423</v>
      </c>
      <c r="AU2249" t="s">
        <v>70</v>
      </c>
      <c r="AV2249" t="s">
        <v>13145</v>
      </c>
    </row>
    <row r="2250" spans="1:48">
      <c r="A2250" s="1">
        <f>HYPERLINK("https://cms.ls-nyc.org/matter/dynamic-profile/view/1870938","18-1870938")</f>
        <v>0</v>
      </c>
      <c r="B2250" t="s">
        <v>71</v>
      </c>
      <c r="C2250" t="s">
        <v>303</v>
      </c>
      <c r="E2250" t="s">
        <v>870</v>
      </c>
      <c r="F2250" t="s">
        <v>3204</v>
      </c>
      <c r="G2250" t="s">
        <v>4966</v>
      </c>
      <c r="H2250" t="s">
        <v>5438</v>
      </c>
      <c r="I2250" t="s">
        <v>6043</v>
      </c>
      <c r="J2250">
        <v>11207</v>
      </c>
      <c r="K2250" t="s">
        <v>6074</v>
      </c>
      <c r="L2250" t="s">
        <v>6074</v>
      </c>
      <c r="N2250" t="s">
        <v>7276</v>
      </c>
      <c r="O2250" t="s">
        <v>7308</v>
      </c>
      <c r="Q2250" t="s">
        <v>7322</v>
      </c>
      <c r="R2250" t="s">
        <v>6076</v>
      </c>
      <c r="S2250" t="s">
        <v>7324</v>
      </c>
      <c r="U2250" t="s">
        <v>475</v>
      </c>
      <c r="V2250">
        <v>1326</v>
      </c>
      <c r="W2250" t="s">
        <v>7362</v>
      </c>
      <c r="X2250" t="s">
        <v>7368</v>
      </c>
      <c r="Z2250" t="s">
        <v>9123</v>
      </c>
      <c r="AA2250" t="s">
        <v>10245</v>
      </c>
      <c r="AB2250" t="s">
        <v>11813</v>
      </c>
      <c r="AC2250">
        <v>20</v>
      </c>
      <c r="AD2250" t="s">
        <v>12422</v>
      </c>
      <c r="AE2250" t="s">
        <v>6110</v>
      </c>
      <c r="AF2250">
        <v>4</v>
      </c>
      <c r="AG2250">
        <v>2</v>
      </c>
      <c r="AH2250">
        <v>0</v>
      </c>
      <c r="AI2250">
        <v>157.96</v>
      </c>
      <c r="AL2250" t="s">
        <v>12460</v>
      </c>
      <c r="AM2250">
        <v>26000</v>
      </c>
      <c r="AS2250">
        <v>35.4</v>
      </c>
      <c r="AT2250" t="s">
        <v>270</v>
      </c>
      <c r="AU2250" t="s">
        <v>13079</v>
      </c>
    </row>
    <row r="2251" spans="1:48">
      <c r="A2251" s="1">
        <f>HYPERLINK("https://cms.ls-nyc.org/matter/dynamic-profile/view/1871808","18-1871808")</f>
        <v>0</v>
      </c>
      <c r="B2251" t="s">
        <v>80</v>
      </c>
      <c r="C2251" t="s">
        <v>475</v>
      </c>
      <c r="E2251" t="s">
        <v>689</v>
      </c>
      <c r="F2251" t="s">
        <v>2142</v>
      </c>
      <c r="G2251" t="s">
        <v>4057</v>
      </c>
      <c r="H2251" t="s">
        <v>5382</v>
      </c>
      <c r="I2251" t="s">
        <v>6043</v>
      </c>
      <c r="J2251">
        <v>11206</v>
      </c>
      <c r="K2251" t="s">
        <v>6074</v>
      </c>
      <c r="L2251" t="s">
        <v>6074</v>
      </c>
      <c r="N2251" t="s">
        <v>7275</v>
      </c>
      <c r="O2251" t="s">
        <v>7311</v>
      </c>
      <c r="Q2251" t="s">
        <v>7322</v>
      </c>
      <c r="R2251" t="s">
        <v>6074</v>
      </c>
      <c r="S2251" t="s">
        <v>7324</v>
      </c>
      <c r="U2251" t="s">
        <v>475</v>
      </c>
      <c r="V2251">
        <v>953</v>
      </c>
      <c r="W2251" t="s">
        <v>7362</v>
      </c>
      <c r="X2251" t="s">
        <v>7305</v>
      </c>
      <c r="Z2251" t="s">
        <v>9124</v>
      </c>
      <c r="AC2251">
        <v>29</v>
      </c>
      <c r="AD2251" t="s">
        <v>12422</v>
      </c>
      <c r="AE2251" t="s">
        <v>12441</v>
      </c>
      <c r="AF2251">
        <v>24</v>
      </c>
      <c r="AG2251">
        <v>2</v>
      </c>
      <c r="AH2251">
        <v>0</v>
      </c>
      <c r="AI2251">
        <v>157.96</v>
      </c>
      <c r="AL2251" t="s">
        <v>12461</v>
      </c>
      <c r="AM2251">
        <v>26000</v>
      </c>
      <c r="AN2251" t="s">
        <v>12491</v>
      </c>
      <c r="AS2251">
        <v>0</v>
      </c>
      <c r="AU2251" t="s">
        <v>13121</v>
      </c>
    </row>
    <row r="2252" spans="1:48">
      <c r="A2252" s="1">
        <f>HYPERLINK("https://cms.ls-nyc.org/matter/dynamic-profile/view/1882682","18-1882682")</f>
        <v>0</v>
      </c>
      <c r="B2252" t="s">
        <v>98</v>
      </c>
      <c r="C2252" t="s">
        <v>296</v>
      </c>
      <c r="E2252" t="s">
        <v>775</v>
      </c>
      <c r="F2252" t="s">
        <v>3205</v>
      </c>
      <c r="G2252" t="s">
        <v>3786</v>
      </c>
      <c r="H2252" t="s">
        <v>5438</v>
      </c>
      <c r="I2252" t="s">
        <v>6047</v>
      </c>
      <c r="J2252">
        <v>10457</v>
      </c>
      <c r="K2252" t="s">
        <v>6074</v>
      </c>
      <c r="L2252" t="s">
        <v>6074</v>
      </c>
      <c r="M2252" t="s">
        <v>6188</v>
      </c>
      <c r="N2252" t="s">
        <v>7279</v>
      </c>
      <c r="O2252" t="s">
        <v>7311</v>
      </c>
      <c r="Q2252" t="s">
        <v>7322</v>
      </c>
      <c r="R2252" t="s">
        <v>6074</v>
      </c>
      <c r="S2252" t="s">
        <v>7324</v>
      </c>
      <c r="U2252" t="s">
        <v>472</v>
      </c>
      <c r="V2252">
        <v>900</v>
      </c>
      <c r="W2252" t="s">
        <v>7363</v>
      </c>
      <c r="X2252" t="s">
        <v>7376</v>
      </c>
      <c r="Z2252" t="s">
        <v>7691</v>
      </c>
      <c r="AB2252" t="s">
        <v>11814</v>
      </c>
      <c r="AC2252">
        <v>47</v>
      </c>
      <c r="AD2252" t="s">
        <v>12425</v>
      </c>
      <c r="AE2252" t="s">
        <v>6110</v>
      </c>
      <c r="AF2252">
        <v>40</v>
      </c>
      <c r="AG2252">
        <v>2</v>
      </c>
      <c r="AH2252">
        <v>0</v>
      </c>
      <c r="AI2252">
        <v>157.96</v>
      </c>
      <c r="AL2252" t="s">
        <v>12460</v>
      </c>
      <c r="AM2252">
        <v>26000</v>
      </c>
      <c r="AS2252">
        <v>0.1</v>
      </c>
      <c r="AT2252" t="s">
        <v>254</v>
      </c>
      <c r="AU2252" t="s">
        <v>13092</v>
      </c>
    </row>
    <row r="2253" spans="1:48">
      <c r="A2253" s="1">
        <f>HYPERLINK("https://cms.ls-nyc.org/matter/dynamic-profile/view/1882659","18-1882659")</f>
        <v>0</v>
      </c>
      <c r="B2253" t="s">
        <v>98</v>
      </c>
      <c r="C2253" t="s">
        <v>296</v>
      </c>
      <c r="E2253" t="s">
        <v>775</v>
      </c>
      <c r="F2253" t="s">
        <v>3205</v>
      </c>
      <c r="G2253" t="s">
        <v>3786</v>
      </c>
      <c r="H2253" t="s">
        <v>5438</v>
      </c>
      <c r="I2253" t="s">
        <v>6047</v>
      </c>
      <c r="J2253">
        <v>10457</v>
      </c>
      <c r="K2253" t="s">
        <v>6074</v>
      </c>
      <c r="L2253" t="s">
        <v>6074</v>
      </c>
      <c r="M2253" t="s">
        <v>6191</v>
      </c>
      <c r="N2253" t="s">
        <v>7273</v>
      </c>
      <c r="O2253" t="s">
        <v>7308</v>
      </c>
      <c r="Q2253" t="s">
        <v>7322</v>
      </c>
      <c r="R2253" t="s">
        <v>6074</v>
      </c>
      <c r="S2253" t="s">
        <v>7324</v>
      </c>
      <c r="U2253" t="s">
        <v>472</v>
      </c>
      <c r="V2253">
        <v>900</v>
      </c>
      <c r="W2253" t="s">
        <v>7363</v>
      </c>
      <c r="X2253" t="s">
        <v>7368</v>
      </c>
      <c r="Z2253" t="s">
        <v>7691</v>
      </c>
      <c r="AB2253" t="s">
        <v>11814</v>
      </c>
      <c r="AC2253">
        <v>47</v>
      </c>
      <c r="AD2253" t="s">
        <v>12425</v>
      </c>
      <c r="AE2253" t="s">
        <v>6110</v>
      </c>
      <c r="AF2253">
        <v>40</v>
      </c>
      <c r="AG2253">
        <v>2</v>
      </c>
      <c r="AH2253">
        <v>0</v>
      </c>
      <c r="AI2253">
        <v>157.96</v>
      </c>
      <c r="AL2253" t="s">
        <v>12460</v>
      </c>
      <c r="AM2253">
        <v>26000</v>
      </c>
      <c r="AS2253">
        <v>0.6</v>
      </c>
      <c r="AT2253" t="s">
        <v>294</v>
      </c>
      <c r="AU2253" t="s">
        <v>13092</v>
      </c>
    </row>
    <row r="2254" spans="1:48">
      <c r="A2254" s="1">
        <f>HYPERLINK("https://cms.ls-nyc.org/matter/dynamic-profile/view/1877897","18-1877897")</f>
        <v>0</v>
      </c>
      <c r="B2254" t="s">
        <v>96</v>
      </c>
      <c r="C2254" t="s">
        <v>432</v>
      </c>
      <c r="D2254" t="s">
        <v>472</v>
      </c>
      <c r="E2254" t="s">
        <v>1012</v>
      </c>
      <c r="F2254" t="s">
        <v>3206</v>
      </c>
      <c r="G2254" t="s">
        <v>4555</v>
      </c>
      <c r="H2254" t="s">
        <v>5373</v>
      </c>
      <c r="I2254" t="s">
        <v>6047</v>
      </c>
      <c r="J2254">
        <v>10452</v>
      </c>
      <c r="K2254" t="s">
        <v>6074</v>
      </c>
      <c r="L2254" t="s">
        <v>6074</v>
      </c>
      <c r="M2254" t="s">
        <v>7006</v>
      </c>
      <c r="N2254" t="s">
        <v>7276</v>
      </c>
      <c r="O2254" t="s">
        <v>7306</v>
      </c>
      <c r="P2254" t="s">
        <v>7314</v>
      </c>
      <c r="Q2254" t="s">
        <v>7322</v>
      </c>
      <c r="R2254" t="s">
        <v>6076</v>
      </c>
      <c r="S2254" t="s">
        <v>7324</v>
      </c>
      <c r="U2254" t="s">
        <v>472</v>
      </c>
      <c r="V2254">
        <v>1300</v>
      </c>
      <c r="W2254" t="s">
        <v>7363</v>
      </c>
      <c r="Y2254" t="s">
        <v>7386</v>
      </c>
      <c r="Z2254" t="s">
        <v>9125</v>
      </c>
      <c r="AB2254" t="s">
        <v>11815</v>
      </c>
      <c r="AC2254">
        <v>37</v>
      </c>
      <c r="AD2254" t="s">
        <v>6322</v>
      </c>
      <c r="AE2254" t="s">
        <v>12435</v>
      </c>
      <c r="AF2254">
        <v>7</v>
      </c>
      <c r="AG2254">
        <v>2</v>
      </c>
      <c r="AH2254">
        <v>0</v>
      </c>
      <c r="AI2254">
        <v>157.96</v>
      </c>
      <c r="AL2254" t="s">
        <v>12461</v>
      </c>
      <c r="AM2254">
        <v>26000</v>
      </c>
      <c r="AS2254">
        <v>91.09999999999999</v>
      </c>
      <c r="AT2254" t="s">
        <v>310</v>
      </c>
      <c r="AU2254" t="s">
        <v>13091</v>
      </c>
    </row>
    <row r="2255" spans="1:48">
      <c r="A2255" s="1">
        <f>HYPERLINK("https://cms.ls-nyc.org/matter/dynamic-profile/view/1882299","18-1882299")</f>
        <v>0</v>
      </c>
      <c r="B2255" t="s">
        <v>103</v>
      </c>
      <c r="C2255" t="s">
        <v>360</v>
      </c>
      <c r="E2255" t="s">
        <v>1337</v>
      </c>
      <c r="F2255" t="s">
        <v>3207</v>
      </c>
      <c r="G2255" t="s">
        <v>3810</v>
      </c>
      <c r="H2255" t="s">
        <v>5366</v>
      </c>
      <c r="I2255" t="s">
        <v>6047</v>
      </c>
      <c r="J2255">
        <v>10451</v>
      </c>
      <c r="K2255" t="s">
        <v>6074</v>
      </c>
      <c r="L2255" t="s">
        <v>6074</v>
      </c>
      <c r="M2255" t="s">
        <v>6201</v>
      </c>
      <c r="N2255" t="s">
        <v>7273</v>
      </c>
      <c r="O2255" t="s">
        <v>7308</v>
      </c>
      <c r="Q2255" t="s">
        <v>7322</v>
      </c>
      <c r="R2255" t="s">
        <v>6074</v>
      </c>
      <c r="S2255" t="s">
        <v>7324</v>
      </c>
      <c r="U2255" t="s">
        <v>472</v>
      </c>
      <c r="V2255">
        <v>1000</v>
      </c>
      <c r="W2255" t="s">
        <v>7363</v>
      </c>
      <c r="X2255" t="s">
        <v>7376</v>
      </c>
      <c r="Z2255" t="s">
        <v>9126</v>
      </c>
      <c r="AB2255" t="s">
        <v>11816</v>
      </c>
      <c r="AC2255">
        <v>100</v>
      </c>
      <c r="AD2255" t="s">
        <v>12422</v>
      </c>
      <c r="AE2255" t="s">
        <v>6110</v>
      </c>
      <c r="AF2255">
        <v>1</v>
      </c>
      <c r="AG2255">
        <v>2</v>
      </c>
      <c r="AH2255">
        <v>0</v>
      </c>
      <c r="AI2255">
        <v>157.96</v>
      </c>
      <c r="AL2255" t="s">
        <v>12461</v>
      </c>
      <c r="AM2255">
        <v>26000</v>
      </c>
      <c r="AS2255">
        <v>0</v>
      </c>
      <c r="AU2255" t="s">
        <v>13095</v>
      </c>
    </row>
    <row r="2256" spans="1:48">
      <c r="A2256" s="1">
        <f>HYPERLINK("https://cms.ls-nyc.org/matter/dynamic-profile/view/1887937","19-1887937")</f>
        <v>0</v>
      </c>
      <c r="B2256" t="s">
        <v>128</v>
      </c>
      <c r="C2256" t="s">
        <v>390</v>
      </c>
      <c r="E2256" t="s">
        <v>741</v>
      </c>
      <c r="F2256" t="s">
        <v>3191</v>
      </c>
      <c r="G2256" t="s">
        <v>3934</v>
      </c>
      <c r="H2256">
        <v>33</v>
      </c>
      <c r="I2256" t="s">
        <v>6049</v>
      </c>
      <c r="J2256">
        <v>10034</v>
      </c>
      <c r="K2256" t="s">
        <v>6074</v>
      </c>
      <c r="L2256" t="s">
        <v>6074</v>
      </c>
      <c r="M2256" t="s">
        <v>6500</v>
      </c>
      <c r="N2256" t="s">
        <v>7273</v>
      </c>
      <c r="O2256" t="s">
        <v>7308</v>
      </c>
      <c r="Q2256" t="s">
        <v>7322</v>
      </c>
      <c r="R2256" t="s">
        <v>6074</v>
      </c>
      <c r="S2256" t="s">
        <v>7324</v>
      </c>
      <c r="U2256" t="s">
        <v>390</v>
      </c>
      <c r="V2256">
        <v>839</v>
      </c>
      <c r="W2256" t="s">
        <v>7365</v>
      </c>
      <c r="X2256" t="s">
        <v>7367</v>
      </c>
      <c r="Z2256" t="s">
        <v>9100</v>
      </c>
      <c r="AB2256" t="s">
        <v>11793</v>
      </c>
      <c r="AC2256">
        <v>25</v>
      </c>
      <c r="AD2256" t="s">
        <v>12422</v>
      </c>
      <c r="AE2256" t="s">
        <v>6110</v>
      </c>
      <c r="AF2256">
        <v>20</v>
      </c>
      <c r="AG2256">
        <v>2</v>
      </c>
      <c r="AH2256">
        <v>0</v>
      </c>
      <c r="AI2256">
        <v>157.96</v>
      </c>
      <c r="AL2256" t="s">
        <v>12460</v>
      </c>
      <c r="AM2256">
        <v>26000</v>
      </c>
      <c r="AS2256">
        <v>0.7</v>
      </c>
      <c r="AT2256" t="s">
        <v>277</v>
      </c>
      <c r="AU2256" t="s">
        <v>13106</v>
      </c>
    </row>
    <row r="2257" spans="1:48">
      <c r="A2257" s="1">
        <f>HYPERLINK("https://cms.ls-nyc.org/matter/dynamic-profile/view/1878781","18-1878781")</f>
        <v>0</v>
      </c>
      <c r="B2257" t="s">
        <v>126</v>
      </c>
      <c r="C2257" t="s">
        <v>282</v>
      </c>
      <c r="E2257" t="s">
        <v>1688</v>
      </c>
      <c r="F2257" t="s">
        <v>2342</v>
      </c>
      <c r="G2257" t="s">
        <v>4870</v>
      </c>
      <c r="H2257">
        <v>7</v>
      </c>
      <c r="I2257" t="s">
        <v>6049</v>
      </c>
      <c r="J2257">
        <v>10029</v>
      </c>
      <c r="K2257" t="s">
        <v>6074</v>
      </c>
      <c r="L2257" t="s">
        <v>6074</v>
      </c>
      <c r="M2257" t="s">
        <v>7007</v>
      </c>
      <c r="N2257" t="s">
        <v>7273</v>
      </c>
      <c r="O2257" t="s">
        <v>7308</v>
      </c>
      <c r="Q2257" t="s">
        <v>7322</v>
      </c>
      <c r="R2257" t="s">
        <v>6074</v>
      </c>
      <c r="S2257" t="s">
        <v>7324</v>
      </c>
      <c r="T2257" t="s">
        <v>7336</v>
      </c>
      <c r="U2257" t="s">
        <v>7358</v>
      </c>
      <c r="V2257">
        <v>900</v>
      </c>
      <c r="W2257" t="s">
        <v>7365</v>
      </c>
      <c r="X2257" t="s">
        <v>7383</v>
      </c>
      <c r="Z2257" t="s">
        <v>9127</v>
      </c>
      <c r="AB2257" t="s">
        <v>11817</v>
      </c>
      <c r="AC2257">
        <v>8</v>
      </c>
      <c r="AD2257" t="s">
        <v>12422</v>
      </c>
      <c r="AE2257" t="s">
        <v>6110</v>
      </c>
      <c r="AF2257">
        <v>20</v>
      </c>
      <c r="AG2257">
        <v>2</v>
      </c>
      <c r="AH2257">
        <v>0</v>
      </c>
      <c r="AI2257">
        <v>157.96</v>
      </c>
      <c r="AL2257" t="s">
        <v>12461</v>
      </c>
      <c r="AM2257">
        <v>26000</v>
      </c>
      <c r="AS2257">
        <v>31.4</v>
      </c>
      <c r="AT2257" t="s">
        <v>363</v>
      </c>
      <c r="AU2257" t="s">
        <v>13077</v>
      </c>
    </row>
    <row r="2258" spans="1:48">
      <c r="A2258" s="1">
        <f>HYPERLINK("https://cms.ls-nyc.org/matter/dynamic-profile/view/1882936","18-1882936")</f>
        <v>0</v>
      </c>
      <c r="B2258" t="s">
        <v>81</v>
      </c>
      <c r="C2258" t="s">
        <v>416</v>
      </c>
      <c r="E2258" t="s">
        <v>1290</v>
      </c>
      <c r="F2258" t="s">
        <v>3022</v>
      </c>
      <c r="G2258" t="s">
        <v>4749</v>
      </c>
      <c r="H2258" t="s">
        <v>5847</v>
      </c>
      <c r="I2258" t="s">
        <v>6043</v>
      </c>
      <c r="J2258">
        <v>11215</v>
      </c>
      <c r="K2258" t="s">
        <v>6074</v>
      </c>
      <c r="L2258" t="s">
        <v>6075</v>
      </c>
      <c r="O2258" t="s">
        <v>7307</v>
      </c>
      <c r="Q2258" t="s">
        <v>7322</v>
      </c>
      <c r="S2258" t="s">
        <v>7324</v>
      </c>
      <c r="U2258" t="s">
        <v>416</v>
      </c>
      <c r="V2258">
        <v>153.7</v>
      </c>
      <c r="W2258" t="s">
        <v>7362</v>
      </c>
      <c r="X2258" t="s">
        <v>7368</v>
      </c>
      <c r="Z2258" t="s">
        <v>9128</v>
      </c>
      <c r="AB2258" t="s">
        <v>11538</v>
      </c>
      <c r="AC2258">
        <v>3</v>
      </c>
      <c r="AF2258">
        <v>6</v>
      </c>
      <c r="AG2258">
        <v>1</v>
      </c>
      <c r="AH2258">
        <v>0</v>
      </c>
      <c r="AI2258">
        <v>158.15</v>
      </c>
      <c r="AL2258" t="s">
        <v>12460</v>
      </c>
      <c r="AM2258">
        <v>19200</v>
      </c>
      <c r="AS2258">
        <v>7.4</v>
      </c>
      <c r="AT2258" t="s">
        <v>469</v>
      </c>
      <c r="AU2258" t="s">
        <v>13084</v>
      </c>
      <c r="AV2258" t="s">
        <v>13145</v>
      </c>
    </row>
    <row r="2259" spans="1:48">
      <c r="A2259" s="1">
        <f>HYPERLINK("https://cms.ls-nyc.org/matter/dynamic-profile/view/1877706","18-1877706")</f>
        <v>0</v>
      </c>
      <c r="B2259" t="s">
        <v>97</v>
      </c>
      <c r="C2259" t="s">
        <v>383</v>
      </c>
      <c r="D2259" t="s">
        <v>443</v>
      </c>
      <c r="E2259" t="s">
        <v>581</v>
      </c>
      <c r="F2259" t="s">
        <v>3208</v>
      </c>
      <c r="G2259" t="s">
        <v>4967</v>
      </c>
      <c r="H2259" t="s">
        <v>5848</v>
      </c>
      <c r="I2259" t="s">
        <v>6047</v>
      </c>
      <c r="J2259">
        <v>10456</v>
      </c>
      <c r="K2259" t="s">
        <v>6074</v>
      </c>
      <c r="L2259" t="s">
        <v>6074</v>
      </c>
      <c r="N2259" t="s">
        <v>6104</v>
      </c>
      <c r="O2259" t="s">
        <v>7307</v>
      </c>
      <c r="P2259" t="s">
        <v>7315</v>
      </c>
      <c r="Q2259" t="s">
        <v>7322</v>
      </c>
      <c r="R2259" t="s">
        <v>6076</v>
      </c>
      <c r="S2259" t="s">
        <v>7324</v>
      </c>
      <c r="U2259" t="s">
        <v>464</v>
      </c>
      <c r="V2259">
        <v>1296</v>
      </c>
      <c r="W2259" t="s">
        <v>7363</v>
      </c>
      <c r="X2259" t="s">
        <v>7376</v>
      </c>
      <c r="Y2259" t="s">
        <v>7387</v>
      </c>
      <c r="Z2259" t="s">
        <v>9129</v>
      </c>
      <c r="AB2259" t="s">
        <v>11818</v>
      </c>
      <c r="AC2259">
        <v>11</v>
      </c>
      <c r="AD2259" t="s">
        <v>12422</v>
      </c>
      <c r="AE2259" t="s">
        <v>6110</v>
      </c>
      <c r="AF2259">
        <v>2</v>
      </c>
      <c r="AG2259">
        <v>1</v>
      </c>
      <c r="AH2259">
        <v>0</v>
      </c>
      <c r="AI2259">
        <v>158.15</v>
      </c>
      <c r="AL2259" t="s">
        <v>12460</v>
      </c>
      <c r="AM2259">
        <v>19200</v>
      </c>
      <c r="AS2259">
        <v>1.9</v>
      </c>
      <c r="AT2259" t="s">
        <v>443</v>
      </c>
      <c r="AU2259" t="s">
        <v>97</v>
      </c>
    </row>
    <row r="2260" spans="1:48">
      <c r="A2260" s="1">
        <f>HYPERLINK("https://cms.ls-nyc.org/matter/dynamic-profile/view/1871387","18-1871387")</f>
        <v>0</v>
      </c>
      <c r="B2260" t="s">
        <v>96</v>
      </c>
      <c r="C2260" t="s">
        <v>342</v>
      </c>
      <c r="D2260" t="s">
        <v>472</v>
      </c>
      <c r="E2260" t="s">
        <v>1142</v>
      </c>
      <c r="F2260" t="s">
        <v>3209</v>
      </c>
      <c r="G2260" t="s">
        <v>4537</v>
      </c>
      <c r="H2260" t="s">
        <v>5418</v>
      </c>
      <c r="I2260" t="s">
        <v>6047</v>
      </c>
      <c r="J2260">
        <v>10452</v>
      </c>
      <c r="K2260" t="s">
        <v>6074</v>
      </c>
      <c r="L2260" t="s">
        <v>6075</v>
      </c>
      <c r="N2260" t="s">
        <v>7283</v>
      </c>
      <c r="O2260" t="s">
        <v>7306</v>
      </c>
      <c r="P2260" t="s">
        <v>7314</v>
      </c>
      <c r="Q2260" t="s">
        <v>7322</v>
      </c>
      <c r="S2260" t="s">
        <v>7324</v>
      </c>
      <c r="U2260" t="s">
        <v>258</v>
      </c>
      <c r="V2260">
        <v>1013</v>
      </c>
      <c r="W2260" t="s">
        <v>7363</v>
      </c>
      <c r="X2260" t="s">
        <v>7367</v>
      </c>
      <c r="Y2260" t="s">
        <v>7386</v>
      </c>
      <c r="Z2260" t="s">
        <v>9130</v>
      </c>
      <c r="AB2260" t="s">
        <v>11819</v>
      </c>
      <c r="AC2260">
        <v>58</v>
      </c>
      <c r="AD2260" t="s">
        <v>12421</v>
      </c>
      <c r="AE2260" t="s">
        <v>12441</v>
      </c>
      <c r="AF2260">
        <v>28</v>
      </c>
      <c r="AG2260">
        <v>1</v>
      </c>
      <c r="AH2260">
        <v>0</v>
      </c>
      <c r="AI2260">
        <v>158.15</v>
      </c>
      <c r="AL2260" t="s">
        <v>12460</v>
      </c>
      <c r="AM2260">
        <v>19200</v>
      </c>
      <c r="AS2260">
        <v>1.7</v>
      </c>
      <c r="AT2260" t="s">
        <v>310</v>
      </c>
      <c r="AU2260" t="s">
        <v>13077</v>
      </c>
    </row>
    <row r="2261" spans="1:48">
      <c r="A2261" s="1">
        <f>HYPERLINK("https://cms.ls-nyc.org/matter/dynamic-profile/view/1877106","18-1877106")</f>
        <v>0</v>
      </c>
      <c r="B2261" t="s">
        <v>120</v>
      </c>
      <c r="C2261" t="s">
        <v>273</v>
      </c>
      <c r="D2261" t="s">
        <v>465</v>
      </c>
      <c r="E2261" t="s">
        <v>956</v>
      </c>
      <c r="F2261" t="s">
        <v>3210</v>
      </c>
      <c r="G2261" t="s">
        <v>4968</v>
      </c>
      <c r="H2261" t="s">
        <v>5849</v>
      </c>
      <c r="I2261" t="s">
        <v>6048</v>
      </c>
      <c r="J2261">
        <v>10304</v>
      </c>
      <c r="K2261" t="s">
        <v>6074</v>
      </c>
      <c r="L2261" t="s">
        <v>6074</v>
      </c>
      <c r="M2261" t="s">
        <v>7008</v>
      </c>
      <c r="N2261" t="s">
        <v>7274</v>
      </c>
      <c r="O2261" t="s">
        <v>7308</v>
      </c>
      <c r="P2261" t="s">
        <v>7316</v>
      </c>
      <c r="Q2261" t="s">
        <v>7322</v>
      </c>
      <c r="R2261" t="s">
        <v>6076</v>
      </c>
      <c r="S2261" t="s">
        <v>7324</v>
      </c>
      <c r="T2261" t="s">
        <v>7336</v>
      </c>
      <c r="U2261" t="s">
        <v>273</v>
      </c>
      <c r="V2261">
        <v>1306</v>
      </c>
      <c r="W2261" t="s">
        <v>7364</v>
      </c>
      <c r="X2261" t="s">
        <v>7305</v>
      </c>
      <c r="Y2261" t="s">
        <v>7391</v>
      </c>
      <c r="Z2261" t="s">
        <v>9131</v>
      </c>
      <c r="AB2261" t="s">
        <v>11358</v>
      </c>
      <c r="AC2261">
        <v>3</v>
      </c>
      <c r="AD2261" t="s">
        <v>6322</v>
      </c>
      <c r="AE2261" t="s">
        <v>6110</v>
      </c>
      <c r="AF2261">
        <v>13</v>
      </c>
      <c r="AG2261">
        <v>1</v>
      </c>
      <c r="AH2261">
        <v>0</v>
      </c>
      <c r="AI2261">
        <v>158.15</v>
      </c>
      <c r="AL2261" t="s">
        <v>12460</v>
      </c>
      <c r="AM2261">
        <v>19200</v>
      </c>
      <c r="AO2261" t="s">
        <v>12855</v>
      </c>
      <c r="AP2261" t="s">
        <v>12885</v>
      </c>
      <c r="AQ2261" t="s">
        <v>12910</v>
      </c>
      <c r="AR2261" t="s">
        <v>13039</v>
      </c>
      <c r="AS2261">
        <v>4.5</v>
      </c>
      <c r="AT2261" t="s">
        <v>372</v>
      </c>
      <c r="AU2261" t="s">
        <v>210</v>
      </c>
    </row>
    <row r="2262" spans="1:48">
      <c r="A2262" s="1">
        <f>HYPERLINK("https://cms.ls-nyc.org/matter/dynamic-profile/view/1875869","18-1875869")</f>
        <v>0</v>
      </c>
      <c r="B2262" t="s">
        <v>126</v>
      </c>
      <c r="C2262" t="s">
        <v>281</v>
      </c>
      <c r="D2262" t="s">
        <v>297</v>
      </c>
      <c r="E2262" t="s">
        <v>1689</v>
      </c>
      <c r="F2262" t="s">
        <v>3211</v>
      </c>
      <c r="G2262" t="s">
        <v>4969</v>
      </c>
      <c r="H2262" t="s">
        <v>5850</v>
      </c>
      <c r="I2262" t="s">
        <v>6049</v>
      </c>
      <c r="J2262">
        <v>10035</v>
      </c>
      <c r="K2262" t="s">
        <v>6074</v>
      </c>
      <c r="L2262" t="s">
        <v>6074</v>
      </c>
      <c r="M2262" t="s">
        <v>7009</v>
      </c>
      <c r="N2262" t="s">
        <v>7276</v>
      </c>
      <c r="O2262" t="s">
        <v>7306</v>
      </c>
      <c r="P2262" t="s">
        <v>7314</v>
      </c>
      <c r="Q2262" t="s">
        <v>7322</v>
      </c>
      <c r="R2262" t="s">
        <v>6076</v>
      </c>
      <c r="S2262" t="s">
        <v>7324</v>
      </c>
      <c r="T2262" t="s">
        <v>7336</v>
      </c>
      <c r="U2262" t="s">
        <v>7358</v>
      </c>
      <c r="V2262">
        <v>1800</v>
      </c>
      <c r="W2262" t="s">
        <v>7365</v>
      </c>
      <c r="X2262" t="s">
        <v>7373</v>
      </c>
      <c r="Y2262" t="s">
        <v>7386</v>
      </c>
      <c r="Z2262" t="s">
        <v>9132</v>
      </c>
      <c r="AB2262" t="s">
        <v>11820</v>
      </c>
      <c r="AC2262">
        <v>200</v>
      </c>
      <c r="AD2262" t="s">
        <v>12420</v>
      </c>
      <c r="AE2262" t="s">
        <v>12434</v>
      </c>
      <c r="AF2262">
        <v>6</v>
      </c>
      <c r="AG2262">
        <v>1</v>
      </c>
      <c r="AH2262">
        <v>0</v>
      </c>
      <c r="AI2262">
        <v>158.15</v>
      </c>
      <c r="AL2262" t="s">
        <v>12460</v>
      </c>
      <c r="AM2262">
        <v>19200</v>
      </c>
      <c r="AS2262">
        <v>1.5</v>
      </c>
      <c r="AT2262" t="s">
        <v>414</v>
      </c>
      <c r="AU2262" t="s">
        <v>13080</v>
      </c>
    </row>
    <row r="2263" spans="1:48">
      <c r="A2263" s="1">
        <f>HYPERLINK("https://cms.ls-nyc.org/matter/dynamic-profile/view/1900440","19-1900440")</f>
        <v>0</v>
      </c>
      <c r="B2263" t="s">
        <v>83</v>
      </c>
      <c r="C2263" t="s">
        <v>241</v>
      </c>
      <c r="E2263" t="s">
        <v>1690</v>
      </c>
      <c r="F2263" t="s">
        <v>1017</v>
      </c>
      <c r="G2263" t="s">
        <v>4209</v>
      </c>
      <c r="H2263" t="s">
        <v>5522</v>
      </c>
      <c r="I2263" t="s">
        <v>6043</v>
      </c>
      <c r="J2263">
        <v>11226</v>
      </c>
      <c r="K2263" t="s">
        <v>6074</v>
      </c>
      <c r="L2263" t="s">
        <v>6075</v>
      </c>
      <c r="Q2263" t="s">
        <v>7322</v>
      </c>
      <c r="S2263" t="s">
        <v>7324</v>
      </c>
      <c r="U2263" t="s">
        <v>241</v>
      </c>
      <c r="V2263">
        <v>0</v>
      </c>
      <c r="W2263" t="s">
        <v>7362</v>
      </c>
      <c r="Z2263" t="s">
        <v>9133</v>
      </c>
      <c r="AB2263" t="s">
        <v>11821</v>
      </c>
      <c r="AC2263">
        <v>0</v>
      </c>
      <c r="AF2263">
        <v>0</v>
      </c>
      <c r="AG2263">
        <v>3</v>
      </c>
      <c r="AH2263">
        <v>0</v>
      </c>
      <c r="AI2263">
        <v>158.46</v>
      </c>
      <c r="AL2263" t="s">
        <v>12477</v>
      </c>
      <c r="AM2263">
        <v>33800</v>
      </c>
      <c r="AS2263">
        <v>0.2</v>
      </c>
      <c r="AT2263" t="s">
        <v>241</v>
      </c>
      <c r="AU2263" t="s">
        <v>69</v>
      </c>
    </row>
    <row r="2264" spans="1:48">
      <c r="A2264" s="1">
        <f>HYPERLINK("https://cms.ls-nyc.org/matter/dynamic-profile/view/1896408","19-1896408")</f>
        <v>0</v>
      </c>
      <c r="B2264" t="s">
        <v>54</v>
      </c>
      <c r="C2264" t="s">
        <v>302</v>
      </c>
      <c r="E2264" t="s">
        <v>1043</v>
      </c>
      <c r="F2264" t="s">
        <v>2119</v>
      </c>
      <c r="G2264" t="s">
        <v>3900</v>
      </c>
      <c r="H2264">
        <v>40</v>
      </c>
      <c r="I2264" t="s">
        <v>6025</v>
      </c>
      <c r="J2264">
        <v>11691</v>
      </c>
      <c r="K2264" t="s">
        <v>6074</v>
      </c>
      <c r="L2264" t="s">
        <v>6074</v>
      </c>
      <c r="N2264" t="s">
        <v>7279</v>
      </c>
      <c r="O2264" t="s">
        <v>7307</v>
      </c>
      <c r="Q2264" t="s">
        <v>7322</v>
      </c>
      <c r="R2264" t="s">
        <v>6074</v>
      </c>
      <c r="S2264" t="s">
        <v>7324</v>
      </c>
      <c r="U2264" t="s">
        <v>302</v>
      </c>
      <c r="V2264">
        <v>660</v>
      </c>
      <c r="W2264" t="s">
        <v>7361</v>
      </c>
      <c r="X2264" t="s">
        <v>7366</v>
      </c>
      <c r="Z2264" t="s">
        <v>9134</v>
      </c>
      <c r="AB2264" t="s">
        <v>11822</v>
      </c>
      <c r="AC2264">
        <v>43</v>
      </c>
      <c r="AF2264">
        <v>40</v>
      </c>
      <c r="AG2264">
        <v>2</v>
      </c>
      <c r="AH2264">
        <v>0</v>
      </c>
      <c r="AI2264">
        <v>158.6</v>
      </c>
      <c r="AL2264" t="s">
        <v>12460</v>
      </c>
      <c r="AM2264">
        <v>26820</v>
      </c>
      <c r="AS2264">
        <v>0</v>
      </c>
      <c r="AU2264" t="s">
        <v>13078</v>
      </c>
    </row>
    <row r="2265" spans="1:48">
      <c r="A2265" s="1">
        <f>HYPERLINK("https://cms.ls-nyc.org/matter/dynamic-profile/view/1883510","18-1883510")</f>
        <v>0</v>
      </c>
      <c r="B2265" t="s">
        <v>144</v>
      </c>
      <c r="C2265" t="s">
        <v>320</v>
      </c>
      <c r="E2265" t="s">
        <v>1691</v>
      </c>
      <c r="F2265" t="s">
        <v>3212</v>
      </c>
      <c r="G2265" t="s">
        <v>4970</v>
      </c>
      <c r="H2265" t="s">
        <v>5422</v>
      </c>
      <c r="I2265" t="s">
        <v>6043</v>
      </c>
      <c r="J2265">
        <v>11233</v>
      </c>
      <c r="K2265" t="s">
        <v>6076</v>
      </c>
      <c r="L2265" t="s">
        <v>6074</v>
      </c>
      <c r="M2265" t="s">
        <v>6104</v>
      </c>
      <c r="N2265" t="s">
        <v>7278</v>
      </c>
      <c r="O2265" t="s">
        <v>7306</v>
      </c>
      <c r="Q2265" t="s">
        <v>7322</v>
      </c>
      <c r="R2265" t="s">
        <v>6076</v>
      </c>
      <c r="S2265" t="s">
        <v>7324</v>
      </c>
      <c r="T2265" t="s">
        <v>7336</v>
      </c>
      <c r="U2265" t="s">
        <v>320</v>
      </c>
      <c r="V2265">
        <v>1066</v>
      </c>
      <c r="W2265" t="s">
        <v>7362</v>
      </c>
      <c r="X2265" t="s">
        <v>7378</v>
      </c>
      <c r="Z2265" t="s">
        <v>9135</v>
      </c>
      <c r="AB2265" t="s">
        <v>11823</v>
      </c>
      <c r="AC2265">
        <v>6</v>
      </c>
      <c r="AD2265" t="s">
        <v>12422</v>
      </c>
      <c r="AE2265" t="s">
        <v>6110</v>
      </c>
      <c r="AF2265">
        <v>20</v>
      </c>
      <c r="AG2265">
        <v>2</v>
      </c>
      <c r="AH2265">
        <v>1</v>
      </c>
      <c r="AI2265">
        <v>158.81</v>
      </c>
      <c r="AL2265" t="s">
        <v>12460</v>
      </c>
      <c r="AM2265">
        <v>33000</v>
      </c>
      <c r="AS2265">
        <v>1</v>
      </c>
      <c r="AT2265" t="s">
        <v>320</v>
      </c>
      <c r="AU2265" t="s">
        <v>218</v>
      </c>
    </row>
    <row r="2266" spans="1:48">
      <c r="A2266" s="1">
        <f>HYPERLINK("https://cms.ls-nyc.org/matter/dynamic-profile/view/1872121","18-1872121")</f>
        <v>0</v>
      </c>
      <c r="B2266" t="s">
        <v>121</v>
      </c>
      <c r="C2266" t="s">
        <v>281</v>
      </c>
      <c r="D2266" t="s">
        <v>253</v>
      </c>
      <c r="E2266" t="s">
        <v>1692</v>
      </c>
      <c r="F2266" t="s">
        <v>3213</v>
      </c>
      <c r="G2266" t="s">
        <v>4971</v>
      </c>
      <c r="H2266">
        <v>1</v>
      </c>
      <c r="I2266" t="s">
        <v>6048</v>
      </c>
      <c r="J2266">
        <v>10302</v>
      </c>
      <c r="K2266" t="s">
        <v>6074</v>
      </c>
      <c r="L2266" t="s">
        <v>6074</v>
      </c>
      <c r="M2266" t="s">
        <v>6104</v>
      </c>
      <c r="N2266" t="s">
        <v>7274</v>
      </c>
      <c r="O2266" t="s">
        <v>7306</v>
      </c>
      <c r="P2266" t="s">
        <v>7314</v>
      </c>
      <c r="Q2266" t="s">
        <v>7323</v>
      </c>
      <c r="R2266" t="s">
        <v>6076</v>
      </c>
      <c r="S2266" t="s">
        <v>7324</v>
      </c>
      <c r="T2266" t="s">
        <v>7336</v>
      </c>
      <c r="U2266" t="s">
        <v>7349</v>
      </c>
      <c r="V2266">
        <v>1680</v>
      </c>
      <c r="W2266" t="s">
        <v>7364</v>
      </c>
      <c r="X2266" t="s">
        <v>7369</v>
      </c>
      <c r="Y2266" t="s">
        <v>7386</v>
      </c>
      <c r="Z2266" t="s">
        <v>9136</v>
      </c>
      <c r="AB2266" t="s">
        <v>11824</v>
      </c>
      <c r="AC2266">
        <v>2</v>
      </c>
      <c r="AD2266" t="s">
        <v>12419</v>
      </c>
      <c r="AE2266" t="s">
        <v>12434</v>
      </c>
      <c r="AF2266">
        <v>1</v>
      </c>
      <c r="AG2266">
        <v>1</v>
      </c>
      <c r="AH2266">
        <v>2</v>
      </c>
      <c r="AI2266">
        <v>158.81</v>
      </c>
      <c r="AJ2266" t="s">
        <v>12443</v>
      </c>
      <c r="AK2266" t="s">
        <v>12455</v>
      </c>
      <c r="AL2266" t="s">
        <v>12460</v>
      </c>
      <c r="AM2266">
        <v>33000</v>
      </c>
      <c r="AS2266">
        <v>0.9</v>
      </c>
      <c r="AT2266" t="s">
        <v>377</v>
      </c>
      <c r="AU2266" t="s">
        <v>210</v>
      </c>
    </row>
    <row r="2267" spans="1:48">
      <c r="A2267" s="1">
        <f>HYPERLINK("https://cms.ls-nyc.org/matter/dynamic-profile/view/1876401","18-1876401")</f>
        <v>0</v>
      </c>
      <c r="B2267" t="s">
        <v>74</v>
      </c>
      <c r="C2267" t="s">
        <v>336</v>
      </c>
      <c r="E2267" t="s">
        <v>1693</v>
      </c>
      <c r="F2267" t="s">
        <v>2226</v>
      </c>
      <c r="G2267" t="s">
        <v>4972</v>
      </c>
      <c r="H2267" t="s">
        <v>5851</v>
      </c>
      <c r="I2267" t="s">
        <v>6043</v>
      </c>
      <c r="J2267">
        <v>11233</v>
      </c>
      <c r="K2267" t="s">
        <v>6074</v>
      </c>
      <c r="L2267" t="s">
        <v>6076</v>
      </c>
      <c r="M2267" t="s">
        <v>7010</v>
      </c>
      <c r="N2267" t="s">
        <v>7276</v>
      </c>
      <c r="O2267" t="s">
        <v>7308</v>
      </c>
      <c r="Q2267" t="s">
        <v>7322</v>
      </c>
      <c r="R2267" t="s">
        <v>6076</v>
      </c>
      <c r="S2267" t="s">
        <v>7324</v>
      </c>
      <c r="U2267" t="s">
        <v>422</v>
      </c>
      <c r="V2267">
        <v>1542</v>
      </c>
      <c r="W2267" t="s">
        <v>7362</v>
      </c>
      <c r="X2267" t="s">
        <v>7381</v>
      </c>
      <c r="Z2267" t="s">
        <v>9137</v>
      </c>
      <c r="AA2267" t="s">
        <v>10246</v>
      </c>
      <c r="AB2267" t="s">
        <v>11825</v>
      </c>
      <c r="AC2267">
        <v>200</v>
      </c>
      <c r="AD2267" t="s">
        <v>12422</v>
      </c>
      <c r="AE2267" t="s">
        <v>12434</v>
      </c>
      <c r="AF2267">
        <v>10</v>
      </c>
      <c r="AG2267">
        <v>1</v>
      </c>
      <c r="AH2267">
        <v>2</v>
      </c>
      <c r="AI2267">
        <v>159.15</v>
      </c>
      <c r="AL2267" t="s">
        <v>12460</v>
      </c>
      <c r="AM2267">
        <v>33072</v>
      </c>
      <c r="AS2267">
        <v>7.5</v>
      </c>
      <c r="AT2267" t="s">
        <v>351</v>
      </c>
      <c r="AU2267" t="s">
        <v>13080</v>
      </c>
    </row>
    <row r="2268" spans="1:48">
      <c r="A2268" s="1">
        <f>HYPERLINK("https://cms.ls-nyc.org/matter/dynamic-profile/view/1886701","18-1886701")</f>
        <v>0</v>
      </c>
      <c r="B2268" t="s">
        <v>86</v>
      </c>
      <c r="C2268" t="s">
        <v>465</v>
      </c>
      <c r="D2268" t="s">
        <v>251</v>
      </c>
      <c r="E2268" t="s">
        <v>1693</v>
      </c>
      <c r="F2268" t="s">
        <v>2226</v>
      </c>
      <c r="G2268" t="s">
        <v>4972</v>
      </c>
      <c r="H2268" t="s">
        <v>5851</v>
      </c>
      <c r="I2268" t="s">
        <v>6043</v>
      </c>
      <c r="J2268">
        <v>11233</v>
      </c>
      <c r="K2268" t="s">
        <v>6074</v>
      </c>
      <c r="L2268" t="s">
        <v>6074</v>
      </c>
      <c r="M2268" t="s">
        <v>7010</v>
      </c>
      <c r="N2268" t="s">
        <v>7291</v>
      </c>
      <c r="O2268" t="s">
        <v>7309</v>
      </c>
      <c r="P2268" t="s">
        <v>7321</v>
      </c>
      <c r="Q2268" t="s">
        <v>7322</v>
      </c>
      <c r="R2268" t="s">
        <v>6076</v>
      </c>
      <c r="S2268" t="s">
        <v>7327</v>
      </c>
      <c r="T2268" t="s">
        <v>7336</v>
      </c>
      <c r="U2268" t="s">
        <v>422</v>
      </c>
      <c r="V2268">
        <v>1542</v>
      </c>
      <c r="W2268" t="s">
        <v>7362</v>
      </c>
      <c r="X2268" t="s">
        <v>7381</v>
      </c>
      <c r="Y2268" t="s">
        <v>7397</v>
      </c>
      <c r="Z2268" t="s">
        <v>9137</v>
      </c>
      <c r="AA2268" t="s">
        <v>10246</v>
      </c>
      <c r="AB2268" t="s">
        <v>11825</v>
      </c>
      <c r="AC2268">
        <v>200</v>
      </c>
      <c r="AD2268" t="s">
        <v>12422</v>
      </c>
      <c r="AE2268" t="s">
        <v>12434</v>
      </c>
      <c r="AF2268">
        <v>10</v>
      </c>
      <c r="AG2268">
        <v>1</v>
      </c>
      <c r="AH2268">
        <v>2</v>
      </c>
      <c r="AI2268">
        <v>159.15</v>
      </c>
      <c r="AL2268" t="s">
        <v>12460</v>
      </c>
      <c r="AM2268">
        <v>33072</v>
      </c>
      <c r="AS2268">
        <v>5.5</v>
      </c>
      <c r="AT2268" t="s">
        <v>251</v>
      </c>
      <c r="AU2268" t="s">
        <v>180</v>
      </c>
    </row>
    <row r="2269" spans="1:48">
      <c r="A2269" s="1">
        <f>HYPERLINK("https://cms.ls-nyc.org/matter/dynamic-profile/view/1881034","18-1881034")</f>
        <v>0</v>
      </c>
      <c r="B2269" t="s">
        <v>104</v>
      </c>
      <c r="C2269" t="s">
        <v>357</v>
      </c>
      <c r="D2269" t="s">
        <v>314</v>
      </c>
      <c r="E2269" t="s">
        <v>1694</v>
      </c>
      <c r="F2269" t="s">
        <v>3214</v>
      </c>
      <c r="G2269" t="s">
        <v>4161</v>
      </c>
      <c r="H2269" t="s">
        <v>5517</v>
      </c>
      <c r="I2269" t="s">
        <v>6047</v>
      </c>
      <c r="J2269">
        <v>10452</v>
      </c>
      <c r="K2269" t="s">
        <v>6074</v>
      </c>
      <c r="L2269" t="s">
        <v>6074</v>
      </c>
      <c r="M2269" t="s">
        <v>7011</v>
      </c>
      <c r="N2269" t="s">
        <v>7276</v>
      </c>
      <c r="O2269" t="s">
        <v>7308</v>
      </c>
      <c r="P2269" t="s">
        <v>7316</v>
      </c>
      <c r="Q2269" t="s">
        <v>7322</v>
      </c>
      <c r="R2269" t="s">
        <v>6076</v>
      </c>
      <c r="S2269" t="s">
        <v>7324</v>
      </c>
      <c r="T2269" t="s">
        <v>7336</v>
      </c>
      <c r="U2269" t="s">
        <v>357</v>
      </c>
      <c r="V2269">
        <v>1507</v>
      </c>
      <c r="W2269" t="s">
        <v>7363</v>
      </c>
      <c r="X2269" t="s">
        <v>7368</v>
      </c>
      <c r="Y2269" t="s">
        <v>7391</v>
      </c>
      <c r="Z2269" t="s">
        <v>9138</v>
      </c>
      <c r="AB2269" t="s">
        <v>11826</v>
      </c>
      <c r="AC2269">
        <v>122</v>
      </c>
      <c r="AD2269" t="s">
        <v>12422</v>
      </c>
      <c r="AE2269" t="s">
        <v>6110</v>
      </c>
      <c r="AF2269">
        <v>6</v>
      </c>
      <c r="AG2269">
        <v>2</v>
      </c>
      <c r="AH2269">
        <v>2</v>
      </c>
      <c r="AI2269">
        <v>159.36</v>
      </c>
      <c r="AL2269" t="s">
        <v>12460</v>
      </c>
      <c r="AM2269">
        <v>40000</v>
      </c>
      <c r="AO2269" t="s">
        <v>12846</v>
      </c>
      <c r="AP2269" t="s">
        <v>12900</v>
      </c>
      <c r="AR2269" t="s">
        <v>13013</v>
      </c>
      <c r="AS2269">
        <v>2.6</v>
      </c>
      <c r="AT2269" t="s">
        <v>287</v>
      </c>
      <c r="AU2269" t="s">
        <v>104</v>
      </c>
    </row>
    <row r="2270" spans="1:48">
      <c r="A2270" s="1">
        <f>HYPERLINK("https://cms.ls-nyc.org/matter/dynamic-profile/view/1873148","18-1873148")</f>
        <v>0</v>
      </c>
      <c r="B2270" t="s">
        <v>132</v>
      </c>
      <c r="C2270" t="s">
        <v>419</v>
      </c>
      <c r="D2270" t="s">
        <v>274</v>
      </c>
      <c r="E2270" t="s">
        <v>993</v>
      </c>
      <c r="F2270" t="s">
        <v>3072</v>
      </c>
      <c r="G2270" t="s">
        <v>4973</v>
      </c>
      <c r="H2270" t="s">
        <v>5852</v>
      </c>
      <c r="I2270" t="s">
        <v>6049</v>
      </c>
      <c r="J2270">
        <v>10034</v>
      </c>
      <c r="K2270" t="s">
        <v>6074</v>
      </c>
      <c r="L2270" t="s">
        <v>6074</v>
      </c>
      <c r="N2270" t="s">
        <v>7285</v>
      </c>
      <c r="O2270" t="s">
        <v>7306</v>
      </c>
      <c r="P2270" t="s">
        <v>7314</v>
      </c>
      <c r="Q2270" t="s">
        <v>7322</v>
      </c>
      <c r="R2270" t="s">
        <v>6076</v>
      </c>
      <c r="S2270" t="s">
        <v>7324</v>
      </c>
      <c r="U2270" t="s">
        <v>419</v>
      </c>
      <c r="V2270">
        <v>1636.08</v>
      </c>
      <c r="W2270" t="s">
        <v>7365</v>
      </c>
      <c r="X2270" t="s">
        <v>7367</v>
      </c>
      <c r="Y2270" t="s">
        <v>7386</v>
      </c>
      <c r="Z2270" t="s">
        <v>9139</v>
      </c>
      <c r="AB2270" t="s">
        <v>11827</v>
      </c>
      <c r="AC2270">
        <v>72</v>
      </c>
      <c r="AD2270" t="s">
        <v>12422</v>
      </c>
      <c r="AE2270" t="s">
        <v>6110</v>
      </c>
      <c r="AF2270">
        <v>18</v>
      </c>
      <c r="AG2270">
        <v>4</v>
      </c>
      <c r="AH2270">
        <v>0</v>
      </c>
      <c r="AI2270">
        <v>159.36</v>
      </c>
      <c r="AL2270" t="s">
        <v>12461</v>
      </c>
      <c r="AM2270">
        <v>40000</v>
      </c>
      <c r="AS2270">
        <v>2.5</v>
      </c>
      <c r="AT2270" t="s">
        <v>378</v>
      </c>
      <c r="AU2270" t="s">
        <v>13106</v>
      </c>
    </row>
    <row r="2271" spans="1:48">
      <c r="A2271" s="1">
        <f>HYPERLINK("https://cms.ls-nyc.org/matter/dynamic-profile/view/1879536","18-1879536")</f>
        <v>0</v>
      </c>
      <c r="B2271" t="s">
        <v>51</v>
      </c>
      <c r="C2271" t="s">
        <v>239</v>
      </c>
      <c r="E2271" t="s">
        <v>1695</v>
      </c>
      <c r="F2271" t="s">
        <v>3215</v>
      </c>
      <c r="G2271" t="s">
        <v>4974</v>
      </c>
      <c r="H2271">
        <v>302</v>
      </c>
      <c r="I2271" t="s">
        <v>6024</v>
      </c>
      <c r="J2271">
        <v>11692</v>
      </c>
      <c r="K2271" t="s">
        <v>6074</v>
      </c>
      <c r="L2271" t="s">
        <v>6074</v>
      </c>
      <c r="M2271" t="s">
        <v>7012</v>
      </c>
      <c r="N2271" t="s">
        <v>7276</v>
      </c>
      <c r="O2271" t="s">
        <v>7306</v>
      </c>
      <c r="Q2271" t="s">
        <v>7322</v>
      </c>
      <c r="R2271" t="s">
        <v>6076</v>
      </c>
      <c r="S2271" t="s">
        <v>7324</v>
      </c>
      <c r="T2271" t="s">
        <v>7340</v>
      </c>
      <c r="U2271" t="s">
        <v>239</v>
      </c>
      <c r="V2271">
        <v>1325</v>
      </c>
      <c r="W2271" t="s">
        <v>7361</v>
      </c>
      <c r="X2271" t="s">
        <v>7366</v>
      </c>
      <c r="Z2271" t="s">
        <v>9140</v>
      </c>
      <c r="AA2271" t="s">
        <v>10247</v>
      </c>
      <c r="AB2271" t="s">
        <v>11828</v>
      </c>
      <c r="AC2271">
        <v>8</v>
      </c>
      <c r="AD2271" t="s">
        <v>12422</v>
      </c>
      <c r="AE2271" t="s">
        <v>6110</v>
      </c>
      <c r="AF2271">
        <v>20</v>
      </c>
      <c r="AG2271">
        <v>4</v>
      </c>
      <c r="AH2271">
        <v>0</v>
      </c>
      <c r="AI2271">
        <v>159.4</v>
      </c>
      <c r="AL2271" t="s">
        <v>12460</v>
      </c>
      <c r="AM2271">
        <v>40010</v>
      </c>
      <c r="AS2271">
        <v>2</v>
      </c>
      <c r="AT2271" t="s">
        <v>258</v>
      </c>
      <c r="AU2271" t="s">
        <v>51</v>
      </c>
    </row>
    <row r="2272" spans="1:48">
      <c r="A2272" s="1">
        <f>HYPERLINK("https://cms.ls-nyc.org/matter/dynamic-profile/view/1877003","18-1877003")</f>
        <v>0</v>
      </c>
      <c r="B2272" t="s">
        <v>55</v>
      </c>
      <c r="C2272" t="s">
        <v>290</v>
      </c>
      <c r="D2272" t="s">
        <v>389</v>
      </c>
      <c r="E2272" t="s">
        <v>949</v>
      </c>
      <c r="F2272" t="s">
        <v>1432</v>
      </c>
      <c r="G2272" t="s">
        <v>4351</v>
      </c>
      <c r="H2272">
        <v>1206</v>
      </c>
      <c r="I2272" t="s">
        <v>6024</v>
      </c>
      <c r="J2272">
        <v>11692</v>
      </c>
      <c r="K2272" t="s">
        <v>6074</v>
      </c>
      <c r="L2272" t="s">
        <v>6074</v>
      </c>
      <c r="M2272" t="s">
        <v>6329</v>
      </c>
      <c r="N2272" t="s">
        <v>7281</v>
      </c>
      <c r="O2272" t="s">
        <v>7307</v>
      </c>
      <c r="P2272" t="s">
        <v>7315</v>
      </c>
      <c r="Q2272" t="s">
        <v>7322</v>
      </c>
      <c r="R2272" t="s">
        <v>6076</v>
      </c>
      <c r="S2272" t="s">
        <v>7324</v>
      </c>
      <c r="T2272" t="s">
        <v>7336</v>
      </c>
      <c r="U2272" t="s">
        <v>290</v>
      </c>
      <c r="V2272">
        <v>1500</v>
      </c>
      <c r="W2272" t="s">
        <v>7361</v>
      </c>
      <c r="X2272" t="s">
        <v>7372</v>
      </c>
      <c r="Y2272" t="s">
        <v>7395</v>
      </c>
      <c r="Z2272" t="s">
        <v>9141</v>
      </c>
      <c r="AB2272" t="s">
        <v>11829</v>
      </c>
      <c r="AC2272">
        <v>100</v>
      </c>
      <c r="AD2272" t="s">
        <v>12420</v>
      </c>
      <c r="AE2272" t="s">
        <v>12434</v>
      </c>
      <c r="AF2272">
        <v>6</v>
      </c>
      <c r="AG2272">
        <v>1</v>
      </c>
      <c r="AH2272">
        <v>0</v>
      </c>
      <c r="AI2272">
        <v>159.55</v>
      </c>
      <c r="AL2272" t="s">
        <v>12460</v>
      </c>
      <c r="AM2272">
        <v>19369.24</v>
      </c>
      <c r="AS2272">
        <v>4.35</v>
      </c>
      <c r="AT2272" t="s">
        <v>360</v>
      </c>
      <c r="AU2272" t="s">
        <v>13100</v>
      </c>
    </row>
    <row r="2273" spans="1:48">
      <c r="A2273" s="1">
        <f>HYPERLINK("https://cms.ls-nyc.org/matter/dynamic-profile/view/1890585","19-1890585")</f>
        <v>0</v>
      </c>
      <c r="B2273" t="s">
        <v>72</v>
      </c>
      <c r="C2273" t="s">
        <v>448</v>
      </c>
      <c r="E2273" t="s">
        <v>1696</v>
      </c>
      <c r="F2273" t="s">
        <v>3216</v>
      </c>
      <c r="G2273" t="s">
        <v>3701</v>
      </c>
      <c r="H2273" t="s">
        <v>5388</v>
      </c>
      <c r="I2273" t="s">
        <v>6043</v>
      </c>
      <c r="J2273">
        <v>11233</v>
      </c>
      <c r="K2273" t="s">
        <v>6074</v>
      </c>
      <c r="L2273" t="s">
        <v>6076</v>
      </c>
      <c r="N2273" t="s">
        <v>7279</v>
      </c>
      <c r="O2273" t="s">
        <v>7311</v>
      </c>
      <c r="Q2273" t="s">
        <v>7322</v>
      </c>
      <c r="R2273" t="s">
        <v>6074</v>
      </c>
      <c r="S2273" t="s">
        <v>7324</v>
      </c>
      <c r="T2273" t="s">
        <v>7336</v>
      </c>
      <c r="U2273" t="s">
        <v>287</v>
      </c>
      <c r="V2273">
        <v>1034</v>
      </c>
      <c r="W2273" t="s">
        <v>7362</v>
      </c>
      <c r="X2273" t="s">
        <v>7305</v>
      </c>
      <c r="Z2273" t="s">
        <v>9142</v>
      </c>
      <c r="AC2273">
        <v>359</v>
      </c>
      <c r="AD2273" t="s">
        <v>12422</v>
      </c>
      <c r="AE2273" t="s">
        <v>6110</v>
      </c>
      <c r="AF2273">
        <v>37</v>
      </c>
      <c r="AG2273">
        <v>2</v>
      </c>
      <c r="AH2273">
        <v>0</v>
      </c>
      <c r="AI2273">
        <v>159.67</v>
      </c>
      <c r="AL2273" t="s">
        <v>12460</v>
      </c>
      <c r="AM2273">
        <v>27000</v>
      </c>
      <c r="AN2273" t="s">
        <v>12649</v>
      </c>
      <c r="AS2273">
        <v>0</v>
      </c>
      <c r="AU2273" t="s">
        <v>180</v>
      </c>
    </row>
    <row r="2274" spans="1:48">
      <c r="A2274" s="1">
        <f>HYPERLINK("https://cms.ls-nyc.org/matter/dynamic-profile/view/1891605","19-1891605")</f>
        <v>0</v>
      </c>
      <c r="B2274" t="s">
        <v>72</v>
      </c>
      <c r="C2274" t="s">
        <v>364</v>
      </c>
      <c r="E2274" t="s">
        <v>1696</v>
      </c>
      <c r="F2274" t="s">
        <v>3216</v>
      </c>
      <c r="G2274" t="s">
        <v>3701</v>
      </c>
      <c r="H2274" t="s">
        <v>5388</v>
      </c>
      <c r="I2274" t="s">
        <v>6043</v>
      </c>
      <c r="J2274">
        <v>11233</v>
      </c>
      <c r="K2274" t="s">
        <v>6074</v>
      </c>
      <c r="L2274" t="s">
        <v>6076</v>
      </c>
      <c r="N2274" t="s">
        <v>7275</v>
      </c>
      <c r="O2274" t="s">
        <v>7307</v>
      </c>
      <c r="Q2274" t="s">
        <v>7322</v>
      </c>
      <c r="R2274" t="s">
        <v>6074</v>
      </c>
      <c r="S2274" t="s">
        <v>7324</v>
      </c>
      <c r="T2274" t="s">
        <v>7336</v>
      </c>
      <c r="U2274" t="s">
        <v>287</v>
      </c>
      <c r="V2274">
        <v>1034</v>
      </c>
      <c r="W2274" t="s">
        <v>7362</v>
      </c>
      <c r="X2274" t="s">
        <v>7305</v>
      </c>
      <c r="Z2274" t="s">
        <v>9142</v>
      </c>
      <c r="AC2274">
        <v>359</v>
      </c>
      <c r="AD2274" t="s">
        <v>12422</v>
      </c>
      <c r="AE2274" t="s">
        <v>6110</v>
      </c>
      <c r="AF2274">
        <v>37</v>
      </c>
      <c r="AG2274">
        <v>2</v>
      </c>
      <c r="AH2274">
        <v>0</v>
      </c>
      <c r="AI2274">
        <v>159.67</v>
      </c>
      <c r="AL2274" t="s">
        <v>12460</v>
      </c>
      <c r="AM2274">
        <v>27000</v>
      </c>
      <c r="AN2274" t="s">
        <v>12671</v>
      </c>
      <c r="AS2274">
        <v>0</v>
      </c>
      <c r="AU2274" t="s">
        <v>180</v>
      </c>
    </row>
    <row r="2275" spans="1:48">
      <c r="A2275" s="1">
        <f>HYPERLINK("https://cms.ls-nyc.org/matter/dynamic-profile/view/1884099","18-1884099")</f>
        <v>0</v>
      </c>
      <c r="B2275" t="s">
        <v>72</v>
      </c>
      <c r="C2275" t="s">
        <v>426</v>
      </c>
      <c r="E2275" t="s">
        <v>1697</v>
      </c>
      <c r="F2275" t="s">
        <v>3217</v>
      </c>
      <c r="G2275" t="s">
        <v>4975</v>
      </c>
      <c r="H2275">
        <v>419</v>
      </c>
      <c r="I2275" t="s">
        <v>6043</v>
      </c>
      <c r="J2275">
        <v>11239</v>
      </c>
      <c r="K2275" t="s">
        <v>6074</v>
      </c>
      <c r="L2275" t="s">
        <v>6074</v>
      </c>
      <c r="M2275" t="s">
        <v>7013</v>
      </c>
      <c r="N2275" t="s">
        <v>7276</v>
      </c>
      <c r="O2275" t="s">
        <v>7308</v>
      </c>
      <c r="Q2275" t="s">
        <v>7322</v>
      </c>
      <c r="R2275" t="s">
        <v>6076</v>
      </c>
      <c r="S2275" t="s">
        <v>7324</v>
      </c>
      <c r="T2275" t="s">
        <v>7336</v>
      </c>
      <c r="U2275" t="s">
        <v>426</v>
      </c>
      <c r="V2275">
        <v>963</v>
      </c>
      <c r="W2275" t="s">
        <v>7362</v>
      </c>
      <c r="X2275" t="s">
        <v>7368</v>
      </c>
      <c r="Z2275" t="s">
        <v>9143</v>
      </c>
      <c r="AA2275" t="s">
        <v>6110</v>
      </c>
      <c r="AB2275" t="s">
        <v>11830</v>
      </c>
      <c r="AC2275">
        <v>136</v>
      </c>
      <c r="AD2275" t="s">
        <v>12422</v>
      </c>
      <c r="AE2275" t="s">
        <v>6110</v>
      </c>
      <c r="AF2275">
        <v>2</v>
      </c>
      <c r="AG2275">
        <v>1</v>
      </c>
      <c r="AH2275">
        <v>3</v>
      </c>
      <c r="AI2275">
        <v>160</v>
      </c>
      <c r="AL2275" t="s">
        <v>12460</v>
      </c>
      <c r="AM2275">
        <v>40159</v>
      </c>
      <c r="AS2275">
        <v>8.6</v>
      </c>
      <c r="AT2275" t="s">
        <v>285</v>
      </c>
      <c r="AU2275" t="s">
        <v>72</v>
      </c>
    </row>
    <row r="2276" spans="1:48">
      <c r="A2276" s="1">
        <f>HYPERLINK("https://cms.ls-nyc.org/matter/dynamic-profile/view/1898383","19-1898383")</f>
        <v>0</v>
      </c>
      <c r="B2276" t="s">
        <v>72</v>
      </c>
      <c r="C2276" t="s">
        <v>257</v>
      </c>
      <c r="E2276" t="s">
        <v>1366</v>
      </c>
      <c r="F2276" t="s">
        <v>3218</v>
      </c>
      <c r="G2276" t="s">
        <v>4324</v>
      </c>
      <c r="H2276" t="s">
        <v>5853</v>
      </c>
      <c r="I2276" t="s">
        <v>6043</v>
      </c>
      <c r="J2276">
        <v>11233</v>
      </c>
      <c r="K2276" t="s">
        <v>6074</v>
      </c>
      <c r="L2276" t="s">
        <v>6076</v>
      </c>
      <c r="N2276" t="s">
        <v>7279</v>
      </c>
      <c r="O2276" t="s">
        <v>7311</v>
      </c>
      <c r="Q2276" t="s">
        <v>7322</v>
      </c>
      <c r="R2276" t="s">
        <v>6074</v>
      </c>
      <c r="S2276" t="s">
        <v>7324</v>
      </c>
      <c r="T2276" t="s">
        <v>7336</v>
      </c>
      <c r="U2276" t="s">
        <v>330</v>
      </c>
      <c r="V2276">
        <v>628.51</v>
      </c>
      <c r="W2276" t="s">
        <v>7362</v>
      </c>
      <c r="X2276" t="s">
        <v>7305</v>
      </c>
      <c r="Z2276" t="s">
        <v>9144</v>
      </c>
      <c r="AC2276">
        <v>359</v>
      </c>
      <c r="AD2276" t="s">
        <v>12422</v>
      </c>
      <c r="AF2276">
        <v>7</v>
      </c>
      <c r="AG2276">
        <v>1</v>
      </c>
      <c r="AH2276">
        <v>0</v>
      </c>
      <c r="AI2276">
        <v>160.13</v>
      </c>
      <c r="AL2276" t="s">
        <v>12460</v>
      </c>
      <c r="AM2276">
        <v>20000</v>
      </c>
      <c r="AN2276" t="s">
        <v>12488</v>
      </c>
      <c r="AS2276">
        <v>0</v>
      </c>
      <c r="AU2276" t="s">
        <v>180</v>
      </c>
    </row>
    <row r="2277" spans="1:48">
      <c r="A2277" s="1">
        <f>HYPERLINK("https://cms.ls-nyc.org/matter/dynamic-profile/view/1898386","19-1898386")</f>
        <v>0</v>
      </c>
      <c r="B2277" t="s">
        <v>72</v>
      </c>
      <c r="C2277" t="s">
        <v>257</v>
      </c>
      <c r="E2277" t="s">
        <v>1366</v>
      </c>
      <c r="F2277" t="s">
        <v>3218</v>
      </c>
      <c r="G2277" t="s">
        <v>4324</v>
      </c>
      <c r="H2277" t="s">
        <v>5853</v>
      </c>
      <c r="I2277" t="s">
        <v>6043</v>
      </c>
      <c r="J2277">
        <v>11233</v>
      </c>
      <c r="K2277" t="s">
        <v>6074</v>
      </c>
      <c r="L2277" t="s">
        <v>6076</v>
      </c>
      <c r="N2277" t="s">
        <v>7275</v>
      </c>
      <c r="O2277" t="s">
        <v>7307</v>
      </c>
      <c r="Q2277" t="s">
        <v>7322</v>
      </c>
      <c r="R2277" t="s">
        <v>6074</v>
      </c>
      <c r="S2277" t="s">
        <v>7324</v>
      </c>
      <c r="T2277" t="s">
        <v>7336</v>
      </c>
      <c r="U2277" t="s">
        <v>287</v>
      </c>
      <c r="V2277">
        <v>628.51</v>
      </c>
      <c r="W2277" t="s">
        <v>7362</v>
      </c>
      <c r="X2277" t="s">
        <v>7305</v>
      </c>
      <c r="Z2277" t="s">
        <v>9144</v>
      </c>
      <c r="AC2277">
        <v>359</v>
      </c>
      <c r="AD2277" t="s">
        <v>12422</v>
      </c>
      <c r="AF2277">
        <v>7</v>
      </c>
      <c r="AG2277">
        <v>1</v>
      </c>
      <c r="AH2277">
        <v>0</v>
      </c>
      <c r="AI2277">
        <v>160.13</v>
      </c>
      <c r="AL2277" t="s">
        <v>12460</v>
      </c>
      <c r="AM2277">
        <v>20000</v>
      </c>
      <c r="AN2277" t="s">
        <v>12672</v>
      </c>
      <c r="AS2277">
        <v>0</v>
      </c>
      <c r="AU2277" t="s">
        <v>180</v>
      </c>
    </row>
    <row r="2278" spans="1:48">
      <c r="A2278" s="1">
        <f>HYPERLINK("https://cms.ls-nyc.org/matter/dynamic-profile/view/1897413","19-1897413")</f>
        <v>0</v>
      </c>
      <c r="B2278" t="s">
        <v>108</v>
      </c>
      <c r="C2278" t="s">
        <v>347</v>
      </c>
      <c r="E2278" t="s">
        <v>637</v>
      </c>
      <c r="F2278" t="s">
        <v>3219</v>
      </c>
      <c r="G2278" t="s">
        <v>4976</v>
      </c>
      <c r="H2278" t="s">
        <v>5854</v>
      </c>
      <c r="I2278" t="s">
        <v>6047</v>
      </c>
      <c r="J2278">
        <v>10452</v>
      </c>
      <c r="K2278" t="s">
        <v>6074</v>
      </c>
      <c r="L2278" t="s">
        <v>6074</v>
      </c>
      <c r="M2278" t="s">
        <v>7014</v>
      </c>
      <c r="N2278" t="s">
        <v>7276</v>
      </c>
      <c r="O2278" t="s">
        <v>7306</v>
      </c>
      <c r="Q2278" t="s">
        <v>7322</v>
      </c>
      <c r="R2278" t="s">
        <v>6076</v>
      </c>
      <c r="S2278" t="s">
        <v>7324</v>
      </c>
      <c r="T2278" t="s">
        <v>7339</v>
      </c>
      <c r="U2278" t="s">
        <v>347</v>
      </c>
      <c r="V2278">
        <v>1023</v>
      </c>
      <c r="W2278" t="s">
        <v>7363</v>
      </c>
      <c r="X2278" t="s">
        <v>7367</v>
      </c>
      <c r="AB2278" t="s">
        <v>11831</v>
      </c>
      <c r="AC2278">
        <v>0</v>
      </c>
      <c r="AD2278" t="s">
        <v>12422</v>
      </c>
      <c r="AF2278">
        <v>18</v>
      </c>
      <c r="AG2278">
        <v>1</v>
      </c>
      <c r="AH2278">
        <v>0</v>
      </c>
      <c r="AI2278">
        <v>160.13</v>
      </c>
      <c r="AL2278" t="s">
        <v>12461</v>
      </c>
      <c r="AM2278">
        <v>20000</v>
      </c>
      <c r="AS2278">
        <v>1</v>
      </c>
      <c r="AT2278" t="s">
        <v>347</v>
      </c>
      <c r="AU2278" t="s">
        <v>108</v>
      </c>
      <c r="AV2278" t="s">
        <v>13145</v>
      </c>
    </row>
    <row r="2279" spans="1:48">
      <c r="A2279" s="1">
        <f>HYPERLINK("https://cms.ls-nyc.org/matter/dynamic-profile/view/1897816","19-1897816")</f>
        <v>0</v>
      </c>
      <c r="B2279" t="s">
        <v>126</v>
      </c>
      <c r="C2279" t="s">
        <v>375</v>
      </c>
      <c r="E2279" t="s">
        <v>737</v>
      </c>
      <c r="F2279" t="s">
        <v>1882</v>
      </c>
      <c r="G2279" t="s">
        <v>4479</v>
      </c>
      <c r="H2279" t="s">
        <v>5598</v>
      </c>
      <c r="I2279" t="s">
        <v>6049</v>
      </c>
      <c r="J2279">
        <v>10035</v>
      </c>
      <c r="K2279" t="s">
        <v>6074</v>
      </c>
      <c r="L2279" t="s">
        <v>6074</v>
      </c>
      <c r="N2279" t="s">
        <v>6104</v>
      </c>
      <c r="O2279" t="s">
        <v>7307</v>
      </c>
      <c r="Q2279" t="s">
        <v>7322</v>
      </c>
      <c r="R2279" t="s">
        <v>6074</v>
      </c>
      <c r="S2279" t="s">
        <v>7324</v>
      </c>
      <c r="T2279" t="s">
        <v>7336</v>
      </c>
      <c r="U2279" t="s">
        <v>375</v>
      </c>
      <c r="V2279">
        <v>552</v>
      </c>
      <c r="W2279" t="s">
        <v>7365</v>
      </c>
      <c r="X2279" t="s">
        <v>7378</v>
      </c>
      <c r="Z2279" t="s">
        <v>9145</v>
      </c>
      <c r="AC2279">
        <v>60</v>
      </c>
      <c r="AD2279" t="s">
        <v>12422</v>
      </c>
      <c r="AE2279" t="s">
        <v>12434</v>
      </c>
      <c r="AF2279">
        <v>14</v>
      </c>
      <c r="AG2279">
        <v>1</v>
      </c>
      <c r="AH2279">
        <v>0</v>
      </c>
      <c r="AI2279">
        <v>160.13</v>
      </c>
      <c r="AL2279" t="s">
        <v>12460</v>
      </c>
      <c r="AM2279">
        <v>20000</v>
      </c>
      <c r="AS2279">
        <v>0</v>
      </c>
      <c r="AU2279" t="s">
        <v>13107</v>
      </c>
    </row>
    <row r="2280" spans="1:48">
      <c r="A2280" s="1">
        <f>HYPERLINK("https://cms.ls-nyc.org/matter/dynamic-profile/view/1901004","19-1901004")</f>
        <v>0</v>
      </c>
      <c r="B2280" t="s">
        <v>175</v>
      </c>
      <c r="C2280" t="s">
        <v>382</v>
      </c>
      <c r="E2280" t="s">
        <v>1563</v>
      </c>
      <c r="F2280" t="s">
        <v>3062</v>
      </c>
      <c r="G2280" t="s">
        <v>3838</v>
      </c>
      <c r="H2280" t="s">
        <v>5373</v>
      </c>
      <c r="I2280" t="s">
        <v>6049</v>
      </c>
      <c r="J2280">
        <v>10034</v>
      </c>
      <c r="K2280" t="s">
        <v>6074</v>
      </c>
      <c r="L2280" t="s">
        <v>6075</v>
      </c>
      <c r="O2280" t="s">
        <v>7306</v>
      </c>
      <c r="Q2280" t="s">
        <v>7322</v>
      </c>
      <c r="R2280" t="s">
        <v>6076</v>
      </c>
      <c r="S2280" t="s">
        <v>7324</v>
      </c>
      <c r="U2280" t="s">
        <v>382</v>
      </c>
      <c r="V2280">
        <v>703.4</v>
      </c>
      <c r="W2280" t="s">
        <v>7365</v>
      </c>
      <c r="X2280" t="s">
        <v>7367</v>
      </c>
      <c r="Z2280" t="s">
        <v>8888</v>
      </c>
      <c r="AA2280" t="s">
        <v>10248</v>
      </c>
      <c r="AB2280" t="s">
        <v>11832</v>
      </c>
      <c r="AC2280">
        <v>67</v>
      </c>
      <c r="AD2280" t="s">
        <v>12422</v>
      </c>
      <c r="AE2280" t="s">
        <v>6110</v>
      </c>
      <c r="AF2280">
        <v>19</v>
      </c>
      <c r="AG2280">
        <v>1</v>
      </c>
      <c r="AH2280">
        <v>0</v>
      </c>
      <c r="AI2280">
        <v>160.13</v>
      </c>
      <c r="AL2280" t="s">
        <v>12460</v>
      </c>
      <c r="AM2280">
        <v>20000</v>
      </c>
      <c r="AS2280">
        <v>1.5</v>
      </c>
      <c r="AT2280" t="s">
        <v>460</v>
      </c>
      <c r="AU2280" t="s">
        <v>13106</v>
      </c>
      <c r="AV2280" t="s">
        <v>13145</v>
      </c>
    </row>
    <row r="2281" spans="1:48">
      <c r="A2281" s="1">
        <f>HYPERLINK("https://cms.ls-nyc.org/matter/dynamic-profile/view/1901211","19-1901211")</f>
        <v>0</v>
      </c>
      <c r="B2281" t="s">
        <v>199</v>
      </c>
      <c r="C2281" t="s">
        <v>496</v>
      </c>
      <c r="E2281" t="s">
        <v>1155</v>
      </c>
      <c r="F2281" t="s">
        <v>3220</v>
      </c>
      <c r="G2281" t="s">
        <v>4977</v>
      </c>
      <c r="H2281" t="s">
        <v>5354</v>
      </c>
      <c r="I2281" t="s">
        <v>6049</v>
      </c>
      <c r="J2281">
        <v>10025</v>
      </c>
      <c r="K2281" t="s">
        <v>6074</v>
      </c>
      <c r="L2281" t="s">
        <v>6075</v>
      </c>
      <c r="N2281" t="s">
        <v>6104</v>
      </c>
      <c r="O2281" t="s">
        <v>7310</v>
      </c>
      <c r="Q2281" t="s">
        <v>7322</v>
      </c>
      <c r="R2281" t="s">
        <v>6076</v>
      </c>
      <c r="S2281" t="s">
        <v>7324</v>
      </c>
      <c r="T2281" t="s">
        <v>7336</v>
      </c>
      <c r="U2281" t="s">
        <v>496</v>
      </c>
      <c r="V2281">
        <v>1650</v>
      </c>
      <c r="W2281" t="s">
        <v>7365</v>
      </c>
      <c r="X2281" t="s">
        <v>7378</v>
      </c>
      <c r="Z2281" t="s">
        <v>9146</v>
      </c>
      <c r="AB2281" t="s">
        <v>11833</v>
      </c>
      <c r="AC2281">
        <v>18</v>
      </c>
      <c r="AD2281" t="s">
        <v>6322</v>
      </c>
      <c r="AE2281" t="s">
        <v>6110</v>
      </c>
      <c r="AF2281">
        <v>2</v>
      </c>
      <c r="AG2281">
        <v>1</v>
      </c>
      <c r="AH2281">
        <v>0</v>
      </c>
      <c r="AI2281">
        <v>160.13</v>
      </c>
      <c r="AL2281" t="s">
        <v>12460</v>
      </c>
      <c r="AM2281">
        <v>20000</v>
      </c>
      <c r="AS2281">
        <v>1</v>
      </c>
      <c r="AT2281" t="s">
        <v>496</v>
      </c>
      <c r="AU2281" t="s">
        <v>13107</v>
      </c>
      <c r="AV2281" t="s">
        <v>13145</v>
      </c>
    </row>
    <row r="2282" spans="1:48">
      <c r="A2282" s="1">
        <f>HYPERLINK("https://cms.ls-nyc.org/matter/dynamic-profile/view/1881329","18-1881329")</f>
        <v>0</v>
      </c>
      <c r="B2282" t="s">
        <v>70</v>
      </c>
      <c r="C2282" t="s">
        <v>414</v>
      </c>
      <c r="D2282" t="s">
        <v>284</v>
      </c>
      <c r="E2282" t="s">
        <v>1687</v>
      </c>
      <c r="F2282" t="s">
        <v>3203</v>
      </c>
      <c r="G2282" t="s">
        <v>3698</v>
      </c>
      <c r="H2282">
        <v>26</v>
      </c>
      <c r="I2282" t="s">
        <v>6043</v>
      </c>
      <c r="J2282">
        <v>11238</v>
      </c>
      <c r="K2282" t="s">
        <v>6074</v>
      </c>
      <c r="L2282" t="s">
        <v>6074</v>
      </c>
      <c r="N2282" t="s">
        <v>6104</v>
      </c>
      <c r="O2282" t="s">
        <v>7309</v>
      </c>
      <c r="P2282" t="s">
        <v>7315</v>
      </c>
      <c r="Q2282" t="s">
        <v>7322</v>
      </c>
      <c r="S2282" t="s">
        <v>7324</v>
      </c>
      <c r="T2282" t="s">
        <v>7336</v>
      </c>
      <c r="U2282" t="s">
        <v>442</v>
      </c>
      <c r="V2282">
        <v>1116.53</v>
      </c>
      <c r="W2282" t="s">
        <v>7362</v>
      </c>
      <c r="X2282" t="s">
        <v>7368</v>
      </c>
      <c r="Y2282" t="s">
        <v>7390</v>
      </c>
      <c r="Z2282" t="s">
        <v>9122</v>
      </c>
      <c r="AA2282" t="s">
        <v>10249</v>
      </c>
      <c r="AB2282" t="s">
        <v>11812</v>
      </c>
      <c r="AC2282">
        <v>41</v>
      </c>
      <c r="AD2282" t="s">
        <v>12422</v>
      </c>
      <c r="AF2282">
        <v>15</v>
      </c>
      <c r="AG2282">
        <v>2</v>
      </c>
      <c r="AH2282">
        <v>0</v>
      </c>
      <c r="AI2282">
        <v>160.17</v>
      </c>
      <c r="AL2282" t="s">
        <v>12460</v>
      </c>
      <c r="AM2282">
        <v>26364</v>
      </c>
      <c r="AP2282" t="s">
        <v>7305</v>
      </c>
      <c r="AQ2282" t="s">
        <v>12909</v>
      </c>
      <c r="AR2282" t="s">
        <v>12954</v>
      </c>
      <c r="AS2282">
        <v>12.2</v>
      </c>
      <c r="AT2282" t="s">
        <v>284</v>
      </c>
      <c r="AU2282" t="s">
        <v>13083</v>
      </c>
    </row>
    <row r="2283" spans="1:48">
      <c r="A2283" s="1">
        <f>HYPERLINK("https://cms.ls-nyc.org/matter/dynamic-profile/view/1874442","18-1874442")</f>
        <v>0</v>
      </c>
      <c r="B2283" t="s">
        <v>70</v>
      </c>
      <c r="C2283" t="s">
        <v>236</v>
      </c>
      <c r="D2283" t="s">
        <v>333</v>
      </c>
      <c r="E2283" t="s">
        <v>1687</v>
      </c>
      <c r="F2283" t="s">
        <v>3203</v>
      </c>
      <c r="G2283" t="s">
        <v>3698</v>
      </c>
      <c r="H2283">
        <v>26</v>
      </c>
      <c r="I2283" t="s">
        <v>6043</v>
      </c>
      <c r="J2283">
        <v>11238</v>
      </c>
      <c r="K2283" t="s">
        <v>6074</v>
      </c>
      <c r="L2283" t="s">
        <v>6074</v>
      </c>
      <c r="M2283" t="s">
        <v>7015</v>
      </c>
      <c r="N2283" t="s">
        <v>7276</v>
      </c>
      <c r="O2283" t="s">
        <v>7308</v>
      </c>
      <c r="P2283" t="s">
        <v>7316</v>
      </c>
      <c r="Q2283" t="s">
        <v>7322</v>
      </c>
      <c r="S2283" t="s">
        <v>7324</v>
      </c>
      <c r="U2283" t="s">
        <v>355</v>
      </c>
      <c r="V2283">
        <v>1116.53</v>
      </c>
      <c r="W2283" t="s">
        <v>7362</v>
      </c>
      <c r="X2283" t="s">
        <v>7368</v>
      </c>
      <c r="Y2283" t="s">
        <v>7388</v>
      </c>
      <c r="Z2283" t="s">
        <v>9122</v>
      </c>
      <c r="AA2283" t="s">
        <v>10249</v>
      </c>
      <c r="AB2283" t="s">
        <v>11812</v>
      </c>
      <c r="AC2283">
        <v>41</v>
      </c>
      <c r="AD2283" t="s">
        <v>12422</v>
      </c>
      <c r="AE2283" t="s">
        <v>6110</v>
      </c>
      <c r="AF2283">
        <v>15</v>
      </c>
      <c r="AG2283">
        <v>2</v>
      </c>
      <c r="AH2283">
        <v>0</v>
      </c>
      <c r="AI2283">
        <v>160.17</v>
      </c>
      <c r="AL2283" t="s">
        <v>12460</v>
      </c>
      <c r="AM2283">
        <v>26364</v>
      </c>
      <c r="AO2283" t="s">
        <v>12846</v>
      </c>
      <c r="AP2283" t="s">
        <v>12863</v>
      </c>
      <c r="AQ2283" t="s">
        <v>12909</v>
      </c>
      <c r="AR2283" t="s">
        <v>13000</v>
      </c>
      <c r="AS2283">
        <v>10.5</v>
      </c>
      <c r="AT2283" t="s">
        <v>333</v>
      </c>
      <c r="AU2283" t="s">
        <v>13087</v>
      </c>
      <c r="AV2283" t="s">
        <v>13145</v>
      </c>
    </row>
    <row r="2284" spans="1:48">
      <c r="A2284" s="1">
        <f>HYPERLINK("https://cms.ls-nyc.org/matter/dynamic-profile/view/1888518","19-1888518")</f>
        <v>0</v>
      </c>
      <c r="B2284" t="s">
        <v>167</v>
      </c>
      <c r="C2284" t="s">
        <v>306</v>
      </c>
      <c r="E2284" t="s">
        <v>898</v>
      </c>
      <c r="F2284" t="s">
        <v>1312</v>
      </c>
      <c r="G2284" t="s">
        <v>4958</v>
      </c>
      <c r="H2284" t="s">
        <v>5348</v>
      </c>
      <c r="I2284" t="s">
        <v>6047</v>
      </c>
      <c r="J2284">
        <v>10456</v>
      </c>
      <c r="K2284" t="s">
        <v>6074</v>
      </c>
      <c r="L2284" t="s">
        <v>6074</v>
      </c>
      <c r="N2284" t="s">
        <v>6104</v>
      </c>
      <c r="O2284" t="s">
        <v>7309</v>
      </c>
      <c r="Q2284" t="s">
        <v>7322</v>
      </c>
      <c r="R2284" t="s">
        <v>6076</v>
      </c>
      <c r="S2284" t="s">
        <v>7331</v>
      </c>
      <c r="U2284" t="s">
        <v>306</v>
      </c>
      <c r="V2284">
        <v>1004.69</v>
      </c>
      <c r="W2284" t="s">
        <v>7363</v>
      </c>
      <c r="X2284" t="s">
        <v>7366</v>
      </c>
      <c r="Z2284" t="s">
        <v>9114</v>
      </c>
      <c r="AA2284" t="s">
        <v>10243</v>
      </c>
      <c r="AB2284" t="s">
        <v>11806</v>
      </c>
      <c r="AC2284">
        <v>48</v>
      </c>
      <c r="AD2284" t="s">
        <v>12422</v>
      </c>
      <c r="AE2284" t="s">
        <v>12437</v>
      </c>
      <c r="AF2284">
        <v>29</v>
      </c>
      <c r="AG2284">
        <v>2</v>
      </c>
      <c r="AH2284">
        <v>0</v>
      </c>
      <c r="AI2284">
        <v>160.45</v>
      </c>
      <c r="AL2284" t="s">
        <v>12460</v>
      </c>
      <c r="AM2284">
        <v>26410</v>
      </c>
      <c r="AS2284">
        <v>1.5</v>
      </c>
      <c r="AT2284" t="s">
        <v>234</v>
      </c>
      <c r="AU2284" t="s">
        <v>13116</v>
      </c>
    </row>
    <row r="2285" spans="1:48">
      <c r="A2285" s="1">
        <f>HYPERLINK("https://cms.ls-nyc.org/matter/dynamic-profile/view/1875523","18-1875523")</f>
        <v>0</v>
      </c>
      <c r="B2285" t="s">
        <v>161</v>
      </c>
      <c r="C2285" t="s">
        <v>480</v>
      </c>
      <c r="D2285" t="s">
        <v>250</v>
      </c>
      <c r="E2285" t="s">
        <v>1245</v>
      </c>
      <c r="F2285" t="s">
        <v>2528</v>
      </c>
      <c r="G2285" t="s">
        <v>4748</v>
      </c>
      <c r="H2285" t="s">
        <v>5354</v>
      </c>
      <c r="I2285" t="s">
        <v>6049</v>
      </c>
      <c r="J2285">
        <v>10035</v>
      </c>
      <c r="K2285" t="s">
        <v>6074</v>
      </c>
      <c r="L2285" t="s">
        <v>6074</v>
      </c>
      <c r="N2285" t="s">
        <v>6104</v>
      </c>
      <c r="O2285" t="s">
        <v>7306</v>
      </c>
      <c r="P2285" t="s">
        <v>7314</v>
      </c>
      <c r="Q2285" t="s">
        <v>7322</v>
      </c>
      <c r="R2285" t="s">
        <v>6076</v>
      </c>
      <c r="S2285" t="s">
        <v>7324</v>
      </c>
      <c r="T2285" t="s">
        <v>7336</v>
      </c>
      <c r="U2285" t="s">
        <v>391</v>
      </c>
      <c r="V2285">
        <v>1850</v>
      </c>
      <c r="W2285" t="s">
        <v>7365</v>
      </c>
      <c r="X2285" t="s">
        <v>7374</v>
      </c>
      <c r="Y2285" t="s">
        <v>7386</v>
      </c>
      <c r="Z2285" t="s">
        <v>8125</v>
      </c>
      <c r="AB2285" t="s">
        <v>11834</v>
      </c>
      <c r="AC2285">
        <v>40</v>
      </c>
      <c r="AD2285" t="s">
        <v>12422</v>
      </c>
      <c r="AE2285" t="s">
        <v>6110</v>
      </c>
      <c r="AF2285">
        <v>-1</v>
      </c>
      <c r="AG2285">
        <v>2</v>
      </c>
      <c r="AH2285">
        <v>0</v>
      </c>
      <c r="AI2285">
        <v>160.48</v>
      </c>
      <c r="AL2285" t="s">
        <v>12460</v>
      </c>
      <c r="AM2285">
        <v>26414.4</v>
      </c>
      <c r="AS2285">
        <v>1.2</v>
      </c>
      <c r="AT2285" t="s">
        <v>250</v>
      </c>
      <c r="AU2285" t="s">
        <v>13096</v>
      </c>
    </row>
    <row r="2286" spans="1:48">
      <c r="A2286" s="1">
        <f>HYPERLINK("https://cms.ls-nyc.org/matter/dynamic-profile/view/1891986","19-1891986")</f>
        <v>0</v>
      </c>
      <c r="B2286" t="s">
        <v>110</v>
      </c>
      <c r="C2286" t="s">
        <v>329</v>
      </c>
      <c r="D2286" t="s">
        <v>526</v>
      </c>
      <c r="E2286" t="s">
        <v>1022</v>
      </c>
      <c r="F2286" t="s">
        <v>2546</v>
      </c>
      <c r="G2286" t="s">
        <v>4978</v>
      </c>
      <c r="H2286" t="s">
        <v>5755</v>
      </c>
      <c r="I2286" t="s">
        <v>6047</v>
      </c>
      <c r="J2286">
        <v>10456</v>
      </c>
      <c r="K2286" t="s">
        <v>6074</v>
      </c>
      <c r="L2286" t="s">
        <v>6074</v>
      </c>
      <c r="O2286" t="s">
        <v>7306</v>
      </c>
      <c r="P2286" t="s">
        <v>7314</v>
      </c>
      <c r="Q2286" t="s">
        <v>7322</v>
      </c>
      <c r="R2286" t="s">
        <v>6076</v>
      </c>
      <c r="S2286" t="s">
        <v>7324</v>
      </c>
      <c r="U2286" t="s">
        <v>359</v>
      </c>
      <c r="V2286">
        <v>1298.95</v>
      </c>
      <c r="W2286" t="s">
        <v>7363</v>
      </c>
      <c r="X2286" t="s">
        <v>7376</v>
      </c>
      <c r="Y2286" t="s">
        <v>7386</v>
      </c>
      <c r="Z2286" t="s">
        <v>9147</v>
      </c>
      <c r="AB2286" t="s">
        <v>11835</v>
      </c>
      <c r="AC2286">
        <v>11</v>
      </c>
      <c r="AD2286" t="s">
        <v>6322</v>
      </c>
      <c r="AE2286" t="s">
        <v>12437</v>
      </c>
      <c r="AF2286">
        <v>26</v>
      </c>
      <c r="AG2286">
        <v>2</v>
      </c>
      <c r="AH2286">
        <v>0</v>
      </c>
      <c r="AI2286">
        <v>161.55</v>
      </c>
      <c r="AL2286" t="s">
        <v>12461</v>
      </c>
      <c r="AM2286">
        <v>27317.76</v>
      </c>
      <c r="AS2286">
        <v>0.1</v>
      </c>
      <c r="AT2286" t="s">
        <v>526</v>
      </c>
      <c r="AU2286" t="s">
        <v>13092</v>
      </c>
    </row>
    <row r="2287" spans="1:48">
      <c r="A2287" s="1">
        <f>HYPERLINK("https://cms.ls-nyc.org/matter/dynamic-profile/view/1890948","19-1890948")</f>
        <v>0</v>
      </c>
      <c r="B2287" t="s">
        <v>112</v>
      </c>
      <c r="C2287" t="s">
        <v>251</v>
      </c>
      <c r="E2287" t="s">
        <v>1698</v>
      </c>
      <c r="F2287" t="s">
        <v>2441</v>
      </c>
      <c r="G2287" t="s">
        <v>4979</v>
      </c>
      <c r="H2287" t="s">
        <v>5453</v>
      </c>
      <c r="I2287" t="s">
        <v>6047</v>
      </c>
      <c r="J2287">
        <v>10453</v>
      </c>
      <c r="K2287" t="s">
        <v>6074</v>
      </c>
      <c r="L2287" t="s">
        <v>6074</v>
      </c>
      <c r="N2287" t="s">
        <v>7279</v>
      </c>
      <c r="O2287" t="s">
        <v>7311</v>
      </c>
      <c r="Q2287" t="s">
        <v>7322</v>
      </c>
      <c r="R2287" t="s">
        <v>6074</v>
      </c>
      <c r="S2287" t="s">
        <v>7324</v>
      </c>
      <c r="U2287" t="s">
        <v>457</v>
      </c>
      <c r="V2287">
        <v>0</v>
      </c>
      <c r="W2287" t="s">
        <v>7363</v>
      </c>
      <c r="X2287" t="s">
        <v>7376</v>
      </c>
      <c r="Z2287" t="s">
        <v>9148</v>
      </c>
      <c r="AB2287" t="s">
        <v>11836</v>
      </c>
      <c r="AC2287">
        <v>44</v>
      </c>
      <c r="AD2287" t="s">
        <v>12422</v>
      </c>
      <c r="AE2287" t="s">
        <v>6110</v>
      </c>
      <c r="AF2287">
        <v>8</v>
      </c>
      <c r="AG2287">
        <v>1</v>
      </c>
      <c r="AH2287">
        <v>2</v>
      </c>
      <c r="AI2287">
        <v>161.75</v>
      </c>
      <c r="AL2287" t="s">
        <v>12460</v>
      </c>
      <c r="AM2287">
        <v>34502</v>
      </c>
      <c r="AS2287">
        <v>0</v>
      </c>
      <c r="AU2287" t="s">
        <v>13095</v>
      </c>
    </row>
    <row r="2288" spans="1:48">
      <c r="A2288" s="1">
        <f>HYPERLINK("https://cms.ls-nyc.org/matter/dynamic-profile/view/1890943","19-1890943")</f>
        <v>0</v>
      </c>
      <c r="B2288" t="s">
        <v>112</v>
      </c>
      <c r="C2288" t="s">
        <v>251</v>
      </c>
      <c r="E2288" t="s">
        <v>1698</v>
      </c>
      <c r="F2288" t="s">
        <v>2441</v>
      </c>
      <c r="G2288" t="s">
        <v>4979</v>
      </c>
      <c r="H2288" t="s">
        <v>5453</v>
      </c>
      <c r="I2288" t="s">
        <v>6047</v>
      </c>
      <c r="J2288">
        <v>10453</v>
      </c>
      <c r="K2288" t="s">
        <v>6074</v>
      </c>
      <c r="L2288" t="s">
        <v>6074</v>
      </c>
      <c r="M2288" t="s">
        <v>6194</v>
      </c>
      <c r="N2288" t="s">
        <v>7273</v>
      </c>
      <c r="O2288" t="s">
        <v>7308</v>
      </c>
      <c r="Q2288" t="s">
        <v>7322</v>
      </c>
      <c r="R2288" t="s">
        <v>6074</v>
      </c>
      <c r="S2288" t="s">
        <v>7324</v>
      </c>
      <c r="U2288" t="s">
        <v>457</v>
      </c>
      <c r="V2288">
        <v>0</v>
      </c>
      <c r="W2288" t="s">
        <v>7363</v>
      </c>
      <c r="X2288" t="s">
        <v>7376</v>
      </c>
      <c r="Z2288" t="s">
        <v>9148</v>
      </c>
      <c r="AB2288" t="s">
        <v>11836</v>
      </c>
      <c r="AC2288">
        <v>44</v>
      </c>
      <c r="AD2288" t="s">
        <v>12422</v>
      </c>
      <c r="AE2288" t="s">
        <v>6110</v>
      </c>
      <c r="AF2288">
        <v>8</v>
      </c>
      <c r="AG2288">
        <v>1</v>
      </c>
      <c r="AH2288">
        <v>2</v>
      </c>
      <c r="AI2288">
        <v>161.78</v>
      </c>
      <c r="AL2288" t="s">
        <v>12460</v>
      </c>
      <c r="AM2288">
        <v>34507.2</v>
      </c>
      <c r="AS2288">
        <v>0</v>
      </c>
      <c r="AU2288" t="s">
        <v>13095</v>
      </c>
    </row>
    <row r="2289" spans="1:48">
      <c r="A2289" s="1">
        <f>HYPERLINK("https://cms.ls-nyc.org/matter/dynamic-profile/view/1890939","19-1890939")</f>
        <v>0</v>
      </c>
      <c r="B2289" t="s">
        <v>112</v>
      </c>
      <c r="C2289" t="s">
        <v>251</v>
      </c>
      <c r="E2289" t="s">
        <v>1698</v>
      </c>
      <c r="F2289" t="s">
        <v>2441</v>
      </c>
      <c r="G2289" t="s">
        <v>4979</v>
      </c>
      <c r="H2289" t="s">
        <v>5453</v>
      </c>
      <c r="I2289" t="s">
        <v>6047</v>
      </c>
      <c r="J2289">
        <v>10453</v>
      </c>
      <c r="K2289" t="s">
        <v>6074</v>
      </c>
      <c r="L2289" t="s">
        <v>6074</v>
      </c>
      <c r="N2289" t="s">
        <v>6104</v>
      </c>
      <c r="O2289" t="s">
        <v>7309</v>
      </c>
      <c r="Q2289" t="s">
        <v>7322</v>
      </c>
      <c r="R2289" t="s">
        <v>6074</v>
      </c>
      <c r="S2289" t="s">
        <v>7324</v>
      </c>
      <c r="U2289" t="s">
        <v>457</v>
      </c>
      <c r="V2289">
        <v>0</v>
      </c>
      <c r="W2289" t="s">
        <v>7363</v>
      </c>
      <c r="X2289" t="s">
        <v>7376</v>
      </c>
      <c r="Z2289" t="s">
        <v>9148</v>
      </c>
      <c r="AB2289" t="s">
        <v>11836</v>
      </c>
      <c r="AC2289">
        <v>44</v>
      </c>
      <c r="AD2289" t="s">
        <v>12422</v>
      </c>
      <c r="AE2289" t="s">
        <v>6110</v>
      </c>
      <c r="AF2289">
        <v>8</v>
      </c>
      <c r="AG2289">
        <v>1</v>
      </c>
      <c r="AH2289">
        <v>2</v>
      </c>
      <c r="AI2289">
        <v>161.78</v>
      </c>
      <c r="AL2289" t="s">
        <v>12460</v>
      </c>
      <c r="AM2289">
        <v>34507.2</v>
      </c>
      <c r="AS2289">
        <v>0</v>
      </c>
      <c r="AU2289" t="s">
        <v>13095</v>
      </c>
    </row>
    <row r="2290" spans="1:48">
      <c r="A2290" s="1">
        <f>HYPERLINK("https://cms.ls-nyc.org/matter/dynamic-profile/view/1875858","18-1875858")</f>
        <v>0</v>
      </c>
      <c r="B2290" t="s">
        <v>133</v>
      </c>
      <c r="C2290" t="s">
        <v>281</v>
      </c>
      <c r="D2290" t="s">
        <v>243</v>
      </c>
      <c r="E2290" t="s">
        <v>1315</v>
      </c>
      <c r="F2290" t="s">
        <v>2395</v>
      </c>
      <c r="G2290" t="s">
        <v>4091</v>
      </c>
      <c r="H2290" t="s">
        <v>5382</v>
      </c>
      <c r="I2290" t="s">
        <v>6049</v>
      </c>
      <c r="J2290">
        <v>10033</v>
      </c>
      <c r="K2290" t="s">
        <v>6074</v>
      </c>
      <c r="L2290" t="s">
        <v>6075</v>
      </c>
      <c r="N2290" t="s">
        <v>6104</v>
      </c>
      <c r="O2290" t="s">
        <v>7306</v>
      </c>
      <c r="P2290" t="s">
        <v>7314</v>
      </c>
      <c r="Q2290" t="s">
        <v>7322</v>
      </c>
      <c r="R2290" t="s">
        <v>6076</v>
      </c>
      <c r="S2290" t="s">
        <v>7324</v>
      </c>
      <c r="U2290" t="s">
        <v>281</v>
      </c>
      <c r="V2290">
        <v>918.28</v>
      </c>
      <c r="W2290" t="s">
        <v>7365</v>
      </c>
      <c r="X2290" t="s">
        <v>7367</v>
      </c>
      <c r="Y2290" t="s">
        <v>7386</v>
      </c>
      <c r="Z2290" t="s">
        <v>9149</v>
      </c>
      <c r="AB2290" t="s">
        <v>11837</v>
      </c>
      <c r="AC2290">
        <v>39</v>
      </c>
      <c r="AD2290" t="s">
        <v>12422</v>
      </c>
      <c r="AE2290" t="s">
        <v>6110</v>
      </c>
      <c r="AF2290">
        <v>4</v>
      </c>
      <c r="AG2290">
        <v>2</v>
      </c>
      <c r="AH2290">
        <v>0</v>
      </c>
      <c r="AI2290">
        <v>161.85</v>
      </c>
      <c r="AL2290" t="s">
        <v>12461</v>
      </c>
      <c r="AM2290">
        <v>26640</v>
      </c>
      <c r="AS2290">
        <v>0.3</v>
      </c>
      <c r="AT2290" t="s">
        <v>243</v>
      </c>
      <c r="AU2290" t="s">
        <v>13106</v>
      </c>
    </row>
    <row r="2291" spans="1:48">
      <c r="A2291" s="1">
        <f>HYPERLINK("https://cms.ls-nyc.org/matter/dynamic-profile/view/1884147","18-1884147")</f>
        <v>0</v>
      </c>
      <c r="B2291" t="s">
        <v>70</v>
      </c>
      <c r="C2291" t="s">
        <v>426</v>
      </c>
      <c r="E2291" t="s">
        <v>1687</v>
      </c>
      <c r="F2291" t="s">
        <v>3203</v>
      </c>
      <c r="G2291" t="s">
        <v>3698</v>
      </c>
      <c r="H2291">
        <v>26</v>
      </c>
      <c r="I2291" t="s">
        <v>6043</v>
      </c>
      <c r="J2291">
        <v>11238</v>
      </c>
      <c r="K2291" t="s">
        <v>6074</v>
      </c>
      <c r="L2291" t="s">
        <v>6075</v>
      </c>
      <c r="M2291" t="s">
        <v>7016</v>
      </c>
      <c r="N2291" t="s">
        <v>7276</v>
      </c>
      <c r="O2291" t="s">
        <v>7308</v>
      </c>
      <c r="Q2291" t="s">
        <v>7322</v>
      </c>
      <c r="S2291" t="s">
        <v>7324</v>
      </c>
      <c r="T2291" t="s">
        <v>7336</v>
      </c>
      <c r="U2291" t="s">
        <v>426</v>
      </c>
      <c r="V2291">
        <v>1116.53</v>
      </c>
      <c r="W2291" t="s">
        <v>7362</v>
      </c>
      <c r="X2291" t="s">
        <v>7368</v>
      </c>
      <c r="Z2291" t="s">
        <v>9122</v>
      </c>
      <c r="AA2291" t="s">
        <v>10249</v>
      </c>
      <c r="AB2291" t="s">
        <v>11812</v>
      </c>
      <c r="AC2291">
        <v>41</v>
      </c>
      <c r="AD2291" t="s">
        <v>12422</v>
      </c>
      <c r="AF2291">
        <v>17</v>
      </c>
      <c r="AG2291">
        <v>2</v>
      </c>
      <c r="AH2291">
        <v>0</v>
      </c>
      <c r="AI2291">
        <v>162.1</v>
      </c>
      <c r="AL2291" t="s">
        <v>12460</v>
      </c>
      <c r="AM2291">
        <v>26682</v>
      </c>
      <c r="AO2291" t="s">
        <v>12846</v>
      </c>
      <c r="AP2291" t="s">
        <v>12873</v>
      </c>
      <c r="AS2291">
        <v>16.4</v>
      </c>
      <c r="AT2291" t="s">
        <v>276</v>
      </c>
      <c r="AU2291" t="s">
        <v>13084</v>
      </c>
      <c r="AV2291" t="s">
        <v>13145</v>
      </c>
    </row>
    <row r="2292" spans="1:48">
      <c r="A2292" s="1">
        <f>HYPERLINK("https://cms.ls-nyc.org/matter/dynamic-profile/view/1877510","18-1877510")</f>
        <v>0</v>
      </c>
      <c r="B2292" t="s">
        <v>52</v>
      </c>
      <c r="C2292" t="s">
        <v>372</v>
      </c>
      <c r="E2292" t="s">
        <v>951</v>
      </c>
      <c r="F2292" t="s">
        <v>2360</v>
      </c>
      <c r="G2292" t="s">
        <v>4980</v>
      </c>
      <c r="H2292" t="s">
        <v>5855</v>
      </c>
      <c r="I2292" t="s">
        <v>6040</v>
      </c>
      <c r="J2292">
        <v>11354</v>
      </c>
      <c r="K2292" t="s">
        <v>6074</v>
      </c>
      <c r="L2292" t="s">
        <v>6074</v>
      </c>
      <c r="M2292" t="s">
        <v>7017</v>
      </c>
      <c r="N2292" t="s">
        <v>7274</v>
      </c>
      <c r="O2292" t="s">
        <v>7308</v>
      </c>
      <c r="Q2292" t="s">
        <v>7322</v>
      </c>
      <c r="R2292" t="s">
        <v>6074</v>
      </c>
      <c r="S2292" t="s">
        <v>7324</v>
      </c>
      <c r="T2292" t="s">
        <v>7336</v>
      </c>
      <c r="U2292" t="s">
        <v>383</v>
      </c>
      <c r="V2292">
        <v>1281</v>
      </c>
      <c r="W2292" t="s">
        <v>7361</v>
      </c>
      <c r="X2292" t="s">
        <v>7366</v>
      </c>
      <c r="Z2292" t="s">
        <v>9150</v>
      </c>
      <c r="AA2292" t="s">
        <v>10250</v>
      </c>
      <c r="AB2292" t="s">
        <v>11838</v>
      </c>
      <c r="AC2292">
        <v>100</v>
      </c>
      <c r="AD2292" t="s">
        <v>12422</v>
      </c>
      <c r="AE2292" t="s">
        <v>6110</v>
      </c>
      <c r="AF2292">
        <v>8</v>
      </c>
      <c r="AG2292">
        <v>2</v>
      </c>
      <c r="AH2292">
        <v>0</v>
      </c>
      <c r="AI2292">
        <v>162.65</v>
      </c>
      <c r="AL2292" t="s">
        <v>12461</v>
      </c>
      <c r="AM2292">
        <v>26772</v>
      </c>
      <c r="AS2292">
        <v>56.5</v>
      </c>
      <c r="AT2292" t="s">
        <v>496</v>
      </c>
      <c r="AU2292" t="s">
        <v>51</v>
      </c>
    </row>
    <row r="2293" spans="1:48">
      <c r="A2293" s="1">
        <f>HYPERLINK("https://cms.ls-nyc.org/matter/dynamic-profile/view/1900420","19-1900420")</f>
        <v>0</v>
      </c>
      <c r="B2293" t="s">
        <v>83</v>
      </c>
      <c r="C2293" t="s">
        <v>241</v>
      </c>
      <c r="E2293" t="s">
        <v>881</v>
      </c>
      <c r="F2293" t="s">
        <v>1316</v>
      </c>
      <c r="G2293" t="s">
        <v>4209</v>
      </c>
      <c r="H2293" t="s">
        <v>5465</v>
      </c>
      <c r="I2293" t="s">
        <v>6043</v>
      </c>
      <c r="J2293">
        <v>11226</v>
      </c>
      <c r="K2293" t="s">
        <v>6075</v>
      </c>
      <c r="L2293" t="s">
        <v>6075</v>
      </c>
      <c r="O2293" t="s">
        <v>7308</v>
      </c>
      <c r="Q2293" t="s">
        <v>7322</v>
      </c>
      <c r="R2293" t="s">
        <v>6074</v>
      </c>
      <c r="S2293" t="s">
        <v>7324</v>
      </c>
      <c r="U2293" t="s">
        <v>241</v>
      </c>
      <c r="V2293">
        <v>1107</v>
      </c>
      <c r="W2293" t="s">
        <v>7362</v>
      </c>
      <c r="Z2293" t="s">
        <v>9151</v>
      </c>
      <c r="AB2293" t="s">
        <v>11839</v>
      </c>
      <c r="AC2293">
        <v>0</v>
      </c>
      <c r="AF2293">
        <v>18</v>
      </c>
      <c r="AG2293">
        <v>2</v>
      </c>
      <c r="AH2293">
        <v>0</v>
      </c>
      <c r="AI2293">
        <v>162.67</v>
      </c>
      <c r="AL2293" t="s">
        <v>12465</v>
      </c>
      <c r="AM2293">
        <v>27508</v>
      </c>
      <c r="AS2293">
        <v>0</v>
      </c>
      <c r="AU2293" t="s">
        <v>88</v>
      </c>
    </row>
    <row r="2294" spans="1:48">
      <c r="A2294" s="1">
        <f>HYPERLINK("https://cms.ls-nyc.org/matter/dynamic-profile/view/1873907","18-1873907")</f>
        <v>0</v>
      </c>
      <c r="B2294" t="s">
        <v>51</v>
      </c>
      <c r="C2294" t="s">
        <v>231</v>
      </c>
      <c r="D2294" t="s">
        <v>390</v>
      </c>
      <c r="E2294" t="s">
        <v>1699</v>
      </c>
      <c r="F2294" t="s">
        <v>2727</v>
      </c>
      <c r="G2294" t="s">
        <v>4981</v>
      </c>
      <c r="H2294" t="s">
        <v>5465</v>
      </c>
      <c r="I2294" t="s">
        <v>6025</v>
      </c>
      <c r="J2294">
        <v>11691</v>
      </c>
      <c r="K2294" t="s">
        <v>6074</v>
      </c>
      <c r="L2294" t="s">
        <v>6074</v>
      </c>
      <c r="M2294" t="s">
        <v>7018</v>
      </c>
      <c r="N2294" t="s">
        <v>7276</v>
      </c>
      <c r="O2294" t="s">
        <v>7306</v>
      </c>
      <c r="P2294" t="s">
        <v>7314</v>
      </c>
      <c r="Q2294" t="s">
        <v>7322</v>
      </c>
      <c r="R2294" t="s">
        <v>6076</v>
      </c>
      <c r="S2294" t="s">
        <v>7324</v>
      </c>
      <c r="T2294" t="s">
        <v>7338</v>
      </c>
      <c r="U2294" t="s">
        <v>231</v>
      </c>
      <c r="V2294">
        <v>1625</v>
      </c>
      <c r="W2294" t="s">
        <v>7361</v>
      </c>
      <c r="X2294" t="s">
        <v>7366</v>
      </c>
      <c r="Y2294" t="s">
        <v>7386</v>
      </c>
      <c r="Z2294" t="s">
        <v>9152</v>
      </c>
      <c r="AA2294" t="s">
        <v>10251</v>
      </c>
      <c r="AB2294" t="s">
        <v>11840</v>
      </c>
      <c r="AC2294">
        <v>65</v>
      </c>
      <c r="AD2294" t="s">
        <v>12422</v>
      </c>
      <c r="AE2294" t="s">
        <v>6110</v>
      </c>
      <c r="AF2294">
        <v>1</v>
      </c>
      <c r="AG2294">
        <v>1</v>
      </c>
      <c r="AH2294">
        <v>1</v>
      </c>
      <c r="AI2294">
        <v>162.82</v>
      </c>
      <c r="AL2294" t="s">
        <v>12460</v>
      </c>
      <c r="AM2294">
        <v>26800</v>
      </c>
      <c r="AS2294">
        <v>1.5</v>
      </c>
      <c r="AT2294" t="s">
        <v>384</v>
      </c>
      <c r="AU2294" t="s">
        <v>51</v>
      </c>
      <c r="AV2294" t="s">
        <v>13145</v>
      </c>
    </row>
    <row r="2295" spans="1:48">
      <c r="A2295" s="1">
        <f>HYPERLINK("https://cms.ls-nyc.org/matter/dynamic-profile/view/1882252","18-1882252")</f>
        <v>0</v>
      </c>
      <c r="B2295" t="s">
        <v>71</v>
      </c>
      <c r="C2295" t="s">
        <v>431</v>
      </c>
      <c r="D2295" t="s">
        <v>367</v>
      </c>
      <c r="E2295" t="s">
        <v>795</v>
      </c>
      <c r="F2295" t="s">
        <v>2133</v>
      </c>
      <c r="G2295" t="s">
        <v>4156</v>
      </c>
      <c r="H2295" t="s">
        <v>5495</v>
      </c>
      <c r="I2295" t="s">
        <v>6043</v>
      </c>
      <c r="J2295">
        <v>11239</v>
      </c>
      <c r="K2295" t="s">
        <v>6074</v>
      </c>
      <c r="L2295" t="s">
        <v>6074</v>
      </c>
      <c r="M2295" t="s">
        <v>7019</v>
      </c>
      <c r="N2295" t="s">
        <v>7276</v>
      </c>
      <c r="O2295" t="s">
        <v>7308</v>
      </c>
      <c r="P2295" t="s">
        <v>7317</v>
      </c>
      <c r="Q2295" t="s">
        <v>7322</v>
      </c>
      <c r="R2295" t="s">
        <v>6076</v>
      </c>
      <c r="S2295" t="s">
        <v>7324</v>
      </c>
      <c r="T2295" t="s">
        <v>7336</v>
      </c>
      <c r="U2295" t="s">
        <v>431</v>
      </c>
      <c r="V2295">
        <v>1300</v>
      </c>
      <c r="W2295" t="s">
        <v>7362</v>
      </c>
      <c r="X2295" t="s">
        <v>7374</v>
      </c>
      <c r="Y2295" t="s">
        <v>7386</v>
      </c>
      <c r="Z2295" t="s">
        <v>9153</v>
      </c>
      <c r="AA2295" t="s">
        <v>10252</v>
      </c>
      <c r="AB2295" t="s">
        <v>11841</v>
      </c>
      <c r="AC2295">
        <v>1164</v>
      </c>
      <c r="AD2295" t="s">
        <v>12429</v>
      </c>
      <c r="AE2295" t="s">
        <v>12439</v>
      </c>
      <c r="AF2295">
        <v>27</v>
      </c>
      <c r="AG2295">
        <v>1</v>
      </c>
      <c r="AH2295">
        <v>0</v>
      </c>
      <c r="AI2295">
        <v>163.1</v>
      </c>
      <c r="AL2295" t="s">
        <v>12460</v>
      </c>
      <c r="AM2295">
        <v>19800</v>
      </c>
      <c r="AS2295">
        <v>22</v>
      </c>
      <c r="AT2295" t="s">
        <v>367</v>
      </c>
      <c r="AU2295" t="s">
        <v>69</v>
      </c>
    </row>
    <row r="2296" spans="1:48">
      <c r="A2296" s="1">
        <f>HYPERLINK("https://cms.ls-nyc.org/matter/dynamic-profile/view/1888349","19-1888349")</f>
        <v>0</v>
      </c>
      <c r="B2296" t="s">
        <v>86</v>
      </c>
      <c r="C2296" t="s">
        <v>292</v>
      </c>
      <c r="D2296" t="s">
        <v>557</v>
      </c>
      <c r="E2296" t="s">
        <v>795</v>
      </c>
      <c r="F2296" t="s">
        <v>2133</v>
      </c>
      <c r="G2296" t="s">
        <v>4156</v>
      </c>
      <c r="H2296" t="s">
        <v>5495</v>
      </c>
      <c r="I2296" t="s">
        <v>6043</v>
      </c>
      <c r="J2296">
        <v>11239</v>
      </c>
      <c r="K2296" t="s">
        <v>6074</v>
      </c>
      <c r="L2296" t="s">
        <v>6074</v>
      </c>
      <c r="M2296" t="s">
        <v>7019</v>
      </c>
      <c r="N2296" t="s">
        <v>7276</v>
      </c>
      <c r="O2296" t="s">
        <v>7311</v>
      </c>
      <c r="P2296" t="s">
        <v>7321</v>
      </c>
      <c r="Q2296" t="s">
        <v>7322</v>
      </c>
      <c r="R2296" t="s">
        <v>6076</v>
      </c>
      <c r="S2296" t="s">
        <v>7327</v>
      </c>
      <c r="T2296" t="s">
        <v>7336</v>
      </c>
      <c r="U2296" t="s">
        <v>431</v>
      </c>
      <c r="V2296">
        <v>1300</v>
      </c>
      <c r="W2296" t="s">
        <v>7362</v>
      </c>
      <c r="X2296" t="s">
        <v>7374</v>
      </c>
      <c r="Y2296" t="s">
        <v>7397</v>
      </c>
      <c r="Z2296" t="s">
        <v>9153</v>
      </c>
      <c r="AA2296" t="s">
        <v>10253</v>
      </c>
      <c r="AB2296" t="s">
        <v>11841</v>
      </c>
      <c r="AC2296">
        <v>1164</v>
      </c>
      <c r="AD2296" t="s">
        <v>12429</v>
      </c>
      <c r="AE2296" t="s">
        <v>12439</v>
      </c>
      <c r="AF2296">
        <v>27</v>
      </c>
      <c r="AG2296">
        <v>1</v>
      </c>
      <c r="AH2296">
        <v>0</v>
      </c>
      <c r="AI2296">
        <v>163.1</v>
      </c>
      <c r="AL2296" t="s">
        <v>12460</v>
      </c>
      <c r="AM2296">
        <v>19800</v>
      </c>
      <c r="AS2296">
        <v>7.5</v>
      </c>
      <c r="AT2296" t="s">
        <v>557</v>
      </c>
      <c r="AU2296" t="s">
        <v>180</v>
      </c>
    </row>
    <row r="2297" spans="1:48">
      <c r="A2297" s="1">
        <f>HYPERLINK("https://cms.ls-nyc.org/matter/dynamic-profile/view/1879905","18-1879905")</f>
        <v>0</v>
      </c>
      <c r="B2297" t="s">
        <v>133</v>
      </c>
      <c r="C2297" t="s">
        <v>271</v>
      </c>
      <c r="E2297" t="s">
        <v>1700</v>
      </c>
      <c r="F2297" t="s">
        <v>2122</v>
      </c>
      <c r="G2297" t="s">
        <v>4128</v>
      </c>
      <c r="H2297" t="s">
        <v>5363</v>
      </c>
      <c r="I2297" t="s">
        <v>6049</v>
      </c>
      <c r="J2297">
        <v>10040</v>
      </c>
      <c r="K2297" t="s">
        <v>6074</v>
      </c>
      <c r="L2297" t="s">
        <v>6076</v>
      </c>
      <c r="N2297" t="s">
        <v>7279</v>
      </c>
      <c r="O2297" t="s">
        <v>7311</v>
      </c>
      <c r="Q2297" t="s">
        <v>7322</v>
      </c>
      <c r="R2297" t="s">
        <v>6074</v>
      </c>
      <c r="S2297" t="s">
        <v>7324</v>
      </c>
      <c r="U2297" t="s">
        <v>271</v>
      </c>
      <c r="V2297">
        <v>1585</v>
      </c>
      <c r="W2297" t="s">
        <v>7365</v>
      </c>
      <c r="X2297" t="s">
        <v>7368</v>
      </c>
      <c r="Z2297" t="s">
        <v>9154</v>
      </c>
      <c r="AC2297">
        <v>88</v>
      </c>
      <c r="AD2297" t="s">
        <v>12422</v>
      </c>
      <c r="AF2297">
        <v>20</v>
      </c>
      <c r="AG2297">
        <v>3</v>
      </c>
      <c r="AH2297">
        <v>2</v>
      </c>
      <c r="AI2297">
        <v>163.15</v>
      </c>
      <c r="AL2297" t="s">
        <v>12460</v>
      </c>
      <c r="AM2297">
        <v>48000</v>
      </c>
      <c r="AS2297">
        <v>0</v>
      </c>
      <c r="AU2297" t="s">
        <v>13106</v>
      </c>
    </row>
    <row r="2298" spans="1:48">
      <c r="A2298" s="1">
        <f>HYPERLINK("https://cms.ls-nyc.org/matter/dynamic-profile/view/1900722","19-1900722")</f>
        <v>0</v>
      </c>
      <c r="B2298" t="s">
        <v>89</v>
      </c>
      <c r="C2298" t="s">
        <v>381</v>
      </c>
      <c r="E2298" t="s">
        <v>637</v>
      </c>
      <c r="F2298" t="s">
        <v>2173</v>
      </c>
      <c r="G2298" t="s">
        <v>4982</v>
      </c>
      <c r="H2298" t="s">
        <v>5471</v>
      </c>
      <c r="I2298" t="s">
        <v>6043</v>
      </c>
      <c r="J2298">
        <v>11213</v>
      </c>
      <c r="K2298" t="s">
        <v>6074</v>
      </c>
      <c r="L2298" t="s">
        <v>6075</v>
      </c>
      <c r="N2298" t="s">
        <v>6104</v>
      </c>
      <c r="O2298" t="s">
        <v>7309</v>
      </c>
      <c r="Q2298" t="s">
        <v>7322</v>
      </c>
      <c r="R2298" t="s">
        <v>6074</v>
      </c>
      <c r="S2298" t="s">
        <v>7324</v>
      </c>
      <c r="T2298" t="s">
        <v>7336</v>
      </c>
      <c r="U2298" t="s">
        <v>263</v>
      </c>
      <c r="V2298">
        <v>905.59</v>
      </c>
      <c r="W2298" t="s">
        <v>7362</v>
      </c>
      <c r="X2298" t="s">
        <v>7376</v>
      </c>
      <c r="Z2298" t="s">
        <v>9155</v>
      </c>
      <c r="AB2298" t="s">
        <v>11842</v>
      </c>
      <c r="AC2298">
        <v>34</v>
      </c>
      <c r="AD2298" t="s">
        <v>12422</v>
      </c>
      <c r="AE2298" t="s">
        <v>6110</v>
      </c>
      <c r="AF2298">
        <v>25</v>
      </c>
      <c r="AG2298">
        <v>2</v>
      </c>
      <c r="AH2298">
        <v>0</v>
      </c>
      <c r="AI2298">
        <v>163.22</v>
      </c>
      <c r="AL2298" t="s">
        <v>12461</v>
      </c>
      <c r="AM2298">
        <v>27600</v>
      </c>
      <c r="AN2298" t="s">
        <v>12673</v>
      </c>
      <c r="AS2298">
        <v>0</v>
      </c>
      <c r="AU2298" t="s">
        <v>218</v>
      </c>
      <c r="AV2298" t="s">
        <v>13145</v>
      </c>
    </row>
    <row r="2299" spans="1:48">
      <c r="A2299" s="1">
        <f>HYPERLINK("https://cms.ls-nyc.org/matter/dynamic-profile/view/1895811","19-1895811")</f>
        <v>0</v>
      </c>
      <c r="B2299" t="s">
        <v>54</v>
      </c>
      <c r="C2299" t="s">
        <v>315</v>
      </c>
      <c r="E2299" t="s">
        <v>1701</v>
      </c>
      <c r="F2299" t="s">
        <v>3221</v>
      </c>
      <c r="G2299" t="s">
        <v>3900</v>
      </c>
      <c r="H2299" t="s">
        <v>5856</v>
      </c>
      <c r="I2299" t="s">
        <v>6025</v>
      </c>
      <c r="J2299">
        <v>11691</v>
      </c>
      <c r="K2299" t="s">
        <v>6074</v>
      </c>
      <c r="L2299" t="s">
        <v>6074</v>
      </c>
      <c r="N2299" t="s">
        <v>7279</v>
      </c>
      <c r="O2299" t="s">
        <v>7311</v>
      </c>
      <c r="Q2299" t="s">
        <v>7322</v>
      </c>
      <c r="R2299" t="s">
        <v>6074</v>
      </c>
      <c r="S2299" t="s">
        <v>7324</v>
      </c>
      <c r="U2299" t="s">
        <v>315</v>
      </c>
      <c r="V2299">
        <v>637</v>
      </c>
      <c r="W2299" t="s">
        <v>7361</v>
      </c>
      <c r="X2299" t="s">
        <v>7366</v>
      </c>
      <c r="Z2299" t="s">
        <v>9156</v>
      </c>
      <c r="AB2299" t="s">
        <v>11843</v>
      </c>
      <c r="AC2299">
        <v>43</v>
      </c>
      <c r="AF2299">
        <v>10</v>
      </c>
      <c r="AG2299">
        <v>1</v>
      </c>
      <c r="AH2299">
        <v>0</v>
      </c>
      <c r="AI2299">
        <v>163.33</v>
      </c>
      <c r="AL2299" t="s">
        <v>12460</v>
      </c>
      <c r="AM2299">
        <v>20400</v>
      </c>
      <c r="AS2299">
        <v>0</v>
      </c>
      <c r="AU2299" t="s">
        <v>13078</v>
      </c>
    </row>
    <row r="2300" spans="1:48">
      <c r="A2300" s="1">
        <f>HYPERLINK("https://cms.ls-nyc.org/matter/dynamic-profile/view/1895817","19-1895817")</f>
        <v>0</v>
      </c>
      <c r="B2300" t="s">
        <v>54</v>
      </c>
      <c r="C2300" t="s">
        <v>315</v>
      </c>
      <c r="E2300" t="s">
        <v>1701</v>
      </c>
      <c r="F2300" t="s">
        <v>3221</v>
      </c>
      <c r="G2300" t="s">
        <v>3900</v>
      </c>
      <c r="H2300" t="s">
        <v>5856</v>
      </c>
      <c r="I2300" t="s">
        <v>6025</v>
      </c>
      <c r="J2300">
        <v>11691</v>
      </c>
      <c r="K2300" t="s">
        <v>6074</v>
      </c>
      <c r="L2300" t="s">
        <v>6074</v>
      </c>
      <c r="N2300" t="s">
        <v>7278</v>
      </c>
      <c r="O2300" t="s">
        <v>7307</v>
      </c>
      <c r="Q2300" t="s">
        <v>7322</v>
      </c>
      <c r="R2300" t="s">
        <v>6074</v>
      </c>
      <c r="S2300" t="s">
        <v>7324</v>
      </c>
      <c r="U2300" t="s">
        <v>315</v>
      </c>
      <c r="V2300">
        <v>637</v>
      </c>
      <c r="W2300" t="s">
        <v>7361</v>
      </c>
      <c r="Z2300" t="s">
        <v>9156</v>
      </c>
      <c r="AB2300" t="s">
        <v>11843</v>
      </c>
      <c r="AC2300">
        <v>43</v>
      </c>
      <c r="AF2300">
        <v>10</v>
      </c>
      <c r="AG2300">
        <v>1</v>
      </c>
      <c r="AH2300">
        <v>0</v>
      </c>
      <c r="AI2300">
        <v>163.33</v>
      </c>
      <c r="AL2300" t="s">
        <v>12460</v>
      </c>
      <c r="AM2300">
        <v>20400</v>
      </c>
      <c r="AS2300">
        <v>0</v>
      </c>
      <c r="AU2300" t="s">
        <v>13078</v>
      </c>
    </row>
    <row r="2301" spans="1:48">
      <c r="A2301" s="1">
        <f>HYPERLINK("https://cms.ls-nyc.org/matter/dynamic-profile/view/1898780","19-1898780")</f>
        <v>0</v>
      </c>
      <c r="B2301" t="s">
        <v>69</v>
      </c>
      <c r="C2301" t="s">
        <v>309</v>
      </c>
      <c r="E2301" t="s">
        <v>1702</v>
      </c>
      <c r="F2301" t="s">
        <v>2122</v>
      </c>
      <c r="G2301" t="s">
        <v>4983</v>
      </c>
      <c r="H2301" t="s">
        <v>5857</v>
      </c>
      <c r="I2301" t="s">
        <v>6043</v>
      </c>
      <c r="J2301">
        <v>11225</v>
      </c>
      <c r="K2301" t="s">
        <v>6075</v>
      </c>
      <c r="L2301" t="s">
        <v>6075</v>
      </c>
      <c r="Q2301" t="s">
        <v>7322</v>
      </c>
      <c r="S2301" t="s">
        <v>7324</v>
      </c>
      <c r="U2301" t="s">
        <v>309</v>
      </c>
      <c r="V2301">
        <v>0</v>
      </c>
      <c r="W2301" t="s">
        <v>7362</v>
      </c>
      <c r="Z2301" t="s">
        <v>9157</v>
      </c>
      <c r="AB2301" t="s">
        <v>11844</v>
      </c>
      <c r="AC2301">
        <v>0</v>
      </c>
      <c r="AF2301">
        <v>0</v>
      </c>
      <c r="AG2301">
        <v>1</v>
      </c>
      <c r="AH2301">
        <v>0</v>
      </c>
      <c r="AI2301">
        <v>163.33</v>
      </c>
      <c r="AL2301" t="s">
        <v>12460</v>
      </c>
      <c r="AM2301">
        <v>20400</v>
      </c>
      <c r="AS2301">
        <v>1</v>
      </c>
      <c r="AT2301" t="s">
        <v>317</v>
      </c>
      <c r="AU2301" t="s">
        <v>69</v>
      </c>
    </row>
    <row r="2302" spans="1:48">
      <c r="A2302" s="1">
        <f>HYPERLINK("https://cms.ls-nyc.org/matter/dynamic-profile/view/1885062","18-1885062")</f>
        <v>0</v>
      </c>
      <c r="B2302" t="s">
        <v>83</v>
      </c>
      <c r="C2302" t="s">
        <v>428</v>
      </c>
      <c r="E2302" t="s">
        <v>1703</v>
      </c>
      <c r="F2302" t="s">
        <v>1277</v>
      </c>
      <c r="G2302" t="s">
        <v>4650</v>
      </c>
      <c r="I2302" t="s">
        <v>6043</v>
      </c>
      <c r="J2302">
        <v>11226</v>
      </c>
      <c r="K2302" t="s">
        <v>6074</v>
      </c>
      <c r="L2302" t="s">
        <v>6074</v>
      </c>
      <c r="M2302" t="s">
        <v>6932</v>
      </c>
      <c r="N2302" t="s">
        <v>7279</v>
      </c>
      <c r="O2302" t="s">
        <v>7310</v>
      </c>
      <c r="Q2302" t="s">
        <v>7322</v>
      </c>
      <c r="R2302" t="s">
        <v>6074</v>
      </c>
      <c r="S2302" t="s">
        <v>7324</v>
      </c>
      <c r="U2302" t="s">
        <v>434</v>
      </c>
      <c r="V2302">
        <v>1295</v>
      </c>
      <c r="W2302" t="s">
        <v>7362</v>
      </c>
      <c r="X2302" t="s">
        <v>7376</v>
      </c>
      <c r="Z2302" t="s">
        <v>9158</v>
      </c>
      <c r="AC2302">
        <v>48</v>
      </c>
      <c r="AD2302" t="s">
        <v>12422</v>
      </c>
      <c r="AF2302">
        <v>10</v>
      </c>
      <c r="AG2302">
        <v>2</v>
      </c>
      <c r="AH2302">
        <v>2</v>
      </c>
      <c r="AI2302">
        <v>163.35</v>
      </c>
      <c r="AL2302" t="s">
        <v>12460</v>
      </c>
      <c r="AM2302">
        <v>41000</v>
      </c>
      <c r="AS2302">
        <v>1.1</v>
      </c>
      <c r="AT2302" t="s">
        <v>410</v>
      </c>
      <c r="AU2302" t="s">
        <v>88</v>
      </c>
    </row>
    <row r="2303" spans="1:48">
      <c r="A2303" s="1">
        <f>HYPERLINK("https://cms.ls-nyc.org/matter/dynamic-profile/view/1891823","19-1891823")</f>
        <v>0</v>
      </c>
      <c r="B2303" t="s">
        <v>117</v>
      </c>
      <c r="C2303" t="s">
        <v>395</v>
      </c>
      <c r="E2303" t="s">
        <v>582</v>
      </c>
      <c r="F2303" t="s">
        <v>3222</v>
      </c>
      <c r="G2303" t="s">
        <v>4984</v>
      </c>
      <c r="I2303" t="s">
        <v>6048</v>
      </c>
      <c r="J2303">
        <v>10305</v>
      </c>
      <c r="K2303" t="s">
        <v>6074</v>
      </c>
      <c r="L2303" t="s">
        <v>6074</v>
      </c>
      <c r="M2303" t="s">
        <v>7020</v>
      </c>
      <c r="N2303" t="s">
        <v>7276</v>
      </c>
      <c r="O2303" t="s">
        <v>7308</v>
      </c>
      <c r="Q2303" t="s">
        <v>7322</v>
      </c>
      <c r="R2303" t="s">
        <v>6076</v>
      </c>
      <c r="S2303" t="s">
        <v>7324</v>
      </c>
      <c r="T2303" t="s">
        <v>7336</v>
      </c>
      <c r="U2303" t="s">
        <v>395</v>
      </c>
      <c r="V2303">
        <v>1300</v>
      </c>
      <c r="W2303" t="s">
        <v>7364</v>
      </c>
      <c r="X2303" t="s">
        <v>7368</v>
      </c>
      <c r="Z2303" t="s">
        <v>9159</v>
      </c>
      <c r="AB2303" t="s">
        <v>11845</v>
      </c>
      <c r="AC2303">
        <v>1</v>
      </c>
      <c r="AD2303" t="s">
        <v>12419</v>
      </c>
      <c r="AE2303" t="s">
        <v>6110</v>
      </c>
      <c r="AF2303">
        <v>1</v>
      </c>
      <c r="AG2303">
        <v>1</v>
      </c>
      <c r="AH2303">
        <v>3</v>
      </c>
      <c r="AI2303">
        <v>163.68</v>
      </c>
      <c r="AL2303" t="s">
        <v>12460</v>
      </c>
      <c r="AM2303">
        <v>42148</v>
      </c>
      <c r="AS2303">
        <v>13.95</v>
      </c>
      <c r="AT2303" t="s">
        <v>460</v>
      </c>
      <c r="AU2303" t="s">
        <v>13103</v>
      </c>
    </row>
    <row r="2304" spans="1:48">
      <c r="A2304" s="1">
        <f>HYPERLINK("https://cms.ls-nyc.org/matter/dynamic-profile/view/1874705","18-1874705")</f>
        <v>0</v>
      </c>
      <c r="B2304" t="s">
        <v>139</v>
      </c>
      <c r="C2304" t="s">
        <v>378</v>
      </c>
      <c r="D2304" t="s">
        <v>253</v>
      </c>
      <c r="E2304" t="s">
        <v>1073</v>
      </c>
      <c r="F2304" t="s">
        <v>2133</v>
      </c>
      <c r="G2304" t="s">
        <v>4985</v>
      </c>
      <c r="H2304">
        <v>48</v>
      </c>
      <c r="I2304" t="s">
        <v>6049</v>
      </c>
      <c r="J2304">
        <v>10032</v>
      </c>
      <c r="K2304" t="s">
        <v>6074</v>
      </c>
      <c r="L2304" t="s">
        <v>6074</v>
      </c>
      <c r="N2304" t="s">
        <v>6104</v>
      </c>
      <c r="O2304" t="s">
        <v>7309</v>
      </c>
      <c r="P2304" t="s">
        <v>7314</v>
      </c>
      <c r="Q2304" t="s">
        <v>7322</v>
      </c>
      <c r="R2304" t="s">
        <v>6076</v>
      </c>
      <c r="S2304" t="s">
        <v>7324</v>
      </c>
      <c r="U2304" t="s">
        <v>378</v>
      </c>
      <c r="V2304">
        <v>419.6</v>
      </c>
      <c r="W2304" t="s">
        <v>7365</v>
      </c>
      <c r="X2304" t="s">
        <v>7367</v>
      </c>
      <c r="Y2304" t="s">
        <v>7386</v>
      </c>
      <c r="Z2304" t="s">
        <v>9160</v>
      </c>
      <c r="AB2304" t="s">
        <v>11846</v>
      </c>
      <c r="AC2304">
        <v>71</v>
      </c>
      <c r="AD2304" t="s">
        <v>12425</v>
      </c>
      <c r="AE2304" t="s">
        <v>6110</v>
      </c>
      <c r="AF2304">
        <v>56</v>
      </c>
      <c r="AG2304">
        <v>1</v>
      </c>
      <c r="AH2304">
        <v>0</v>
      </c>
      <c r="AI2304">
        <v>163.69</v>
      </c>
      <c r="AL2304" t="s">
        <v>12460</v>
      </c>
      <c r="AM2304">
        <v>19872</v>
      </c>
      <c r="AS2304">
        <v>1.5</v>
      </c>
      <c r="AT2304" t="s">
        <v>253</v>
      </c>
      <c r="AU2304" t="s">
        <v>13106</v>
      </c>
    </row>
    <row r="2305" spans="1:48">
      <c r="A2305" s="1">
        <f>HYPERLINK("https://cms.ls-nyc.org/matter/dynamic-profile/view/1869551","18-1869551")</f>
        <v>0</v>
      </c>
      <c r="B2305" t="s">
        <v>113</v>
      </c>
      <c r="C2305" t="s">
        <v>398</v>
      </c>
      <c r="E2305" t="s">
        <v>1704</v>
      </c>
      <c r="F2305" t="s">
        <v>3223</v>
      </c>
      <c r="G2305" t="s">
        <v>4986</v>
      </c>
      <c r="H2305" t="s">
        <v>5417</v>
      </c>
      <c r="I2305" t="s">
        <v>6047</v>
      </c>
      <c r="J2305">
        <v>10462</v>
      </c>
      <c r="K2305" t="s">
        <v>6074</v>
      </c>
      <c r="L2305" t="s">
        <v>6074</v>
      </c>
      <c r="M2305" t="s">
        <v>7021</v>
      </c>
      <c r="N2305" t="s">
        <v>7276</v>
      </c>
      <c r="O2305" t="s">
        <v>7308</v>
      </c>
      <c r="Q2305" t="s">
        <v>7322</v>
      </c>
      <c r="R2305" t="s">
        <v>6076</v>
      </c>
      <c r="S2305" t="s">
        <v>7324</v>
      </c>
      <c r="T2305" t="s">
        <v>7336</v>
      </c>
      <c r="U2305" t="s">
        <v>467</v>
      </c>
      <c r="V2305">
        <v>1100</v>
      </c>
      <c r="W2305" t="s">
        <v>7363</v>
      </c>
      <c r="X2305" t="s">
        <v>7373</v>
      </c>
      <c r="Z2305" t="s">
        <v>9161</v>
      </c>
      <c r="AA2305" t="s">
        <v>10254</v>
      </c>
      <c r="AB2305" t="s">
        <v>11847</v>
      </c>
      <c r="AC2305">
        <v>10</v>
      </c>
      <c r="AD2305" t="s">
        <v>12422</v>
      </c>
      <c r="AE2305" t="s">
        <v>6110</v>
      </c>
      <c r="AF2305">
        <v>4</v>
      </c>
      <c r="AG2305">
        <v>1</v>
      </c>
      <c r="AH2305">
        <v>0</v>
      </c>
      <c r="AI2305">
        <v>163.75</v>
      </c>
      <c r="AL2305" t="s">
        <v>12460</v>
      </c>
      <c r="AM2305">
        <v>19879.08</v>
      </c>
      <c r="AS2305">
        <v>24.75</v>
      </c>
      <c r="AT2305" t="s">
        <v>329</v>
      </c>
      <c r="AU2305" t="s">
        <v>13092</v>
      </c>
    </row>
    <row r="2306" spans="1:48">
      <c r="A2306" s="1">
        <f>HYPERLINK("https://cms.ls-nyc.org/matter/dynamic-profile/view/1872412","18-1872412")</f>
        <v>0</v>
      </c>
      <c r="B2306" t="s">
        <v>77</v>
      </c>
      <c r="C2306" t="s">
        <v>394</v>
      </c>
      <c r="D2306" t="s">
        <v>344</v>
      </c>
      <c r="E2306" t="s">
        <v>1705</v>
      </c>
      <c r="F2306" t="s">
        <v>3224</v>
      </c>
      <c r="G2306" t="s">
        <v>4987</v>
      </c>
      <c r="H2306">
        <v>3</v>
      </c>
      <c r="I2306" t="s">
        <v>6043</v>
      </c>
      <c r="J2306">
        <v>11233</v>
      </c>
      <c r="K2306" t="s">
        <v>6074</v>
      </c>
      <c r="L2306" t="s">
        <v>6074</v>
      </c>
      <c r="M2306" t="s">
        <v>7022</v>
      </c>
      <c r="N2306" t="s">
        <v>7276</v>
      </c>
      <c r="O2306" t="s">
        <v>7306</v>
      </c>
      <c r="P2306" t="s">
        <v>7314</v>
      </c>
      <c r="Q2306" t="s">
        <v>7322</v>
      </c>
      <c r="R2306" t="s">
        <v>6074</v>
      </c>
      <c r="S2306" t="s">
        <v>7324</v>
      </c>
      <c r="U2306" t="s">
        <v>394</v>
      </c>
      <c r="V2306">
        <v>1750</v>
      </c>
      <c r="W2306" t="s">
        <v>7362</v>
      </c>
      <c r="Y2306" t="s">
        <v>7386</v>
      </c>
      <c r="Z2306" t="s">
        <v>9162</v>
      </c>
      <c r="AA2306" t="s">
        <v>10255</v>
      </c>
      <c r="AB2306" t="s">
        <v>11848</v>
      </c>
      <c r="AC2306">
        <v>6</v>
      </c>
      <c r="AD2306" t="s">
        <v>12422</v>
      </c>
      <c r="AE2306" t="s">
        <v>6110</v>
      </c>
      <c r="AF2306">
        <v>1</v>
      </c>
      <c r="AG2306">
        <v>2</v>
      </c>
      <c r="AH2306">
        <v>0</v>
      </c>
      <c r="AI2306">
        <v>164.03</v>
      </c>
      <c r="AL2306" t="s">
        <v>12460</v>
      </c>
      <c r="AM2306">
        <v>27000</v>
      </c>
      <c r="AS2306">
        <v>2.5</v>
      </c>
      <c r="AT2306" t="s">
        <v>237</v>
      </c>
      <c r="AU2306" t="s">
        <v>218</v>
      </c>
    </row>
    <row r="2307" spans="1:48">
      <c r="A2307" s="1">
        <f>HYPERLINK("https://cms.ls-nyc.org/matter/dynamic-profile/view/1881226","18-1881226")</f>
        <v>0</v>
      </c>
      <c r="B2307" t="s">
        <v>130</v>
      </c>
      <c r="C2307" t="s">
        <v>240</v>
      </c>
      <c r="E2307" t="s">
        <v>1706</v>
      </c>
      <c r="F2307" t="s">
        <v>3225</v>
      </c>
      <c r="G2307" t="s">
        <v>4635</v>
      </c>
      <c r="H2307" t="s">
        <v>5363</v>
      </c>
      <c r="I2307" t="s">
        <v>6049</v>
      </c>
      <c r="J2307">
        <v>10040</v>
      </c>
      <c r="K2307" t="s">
        <v>6074</v>
      </c>
      <c r="L2307" t="s">
        <v>6074</v>
      </c>
      <c r="N2307" t="s">
        <v>7273</v>
      </c>
      <c r="O2307" t="s">
        <v>7306</v>
      </c>
      <c r="Q2307" t="s">
        <v>7322</v>
      </c>
      <c r="R2307" t="s">
        <v>6074</v>
      </c>
      <c r="S2307" t="s">
        <v>7324</v>
      </c>
      <c r="U2307" t="s">
        <v>240</v>
      </c>
      <c r="V2307">
        <v>1000</v>
      </c>
      <c r="W2307" t="s">
        <v>7365</v>
      </c>
      <c r="X2307" t="s">
        <v>7367</v>
      </c>
      <c r="Z2307" t="s">
        <v>9163</v>
      </c>
      <c r="AC2307">
        <v>42</v>
      </c>
      <c r="AD2307" t="s">
        <v>12422</v>
      </c>
      <c r="AE2307" t="s">
        <v>6110</v>
      </c>
      <c r="AF2307">
        <v>1</v>
      </c>
      <c r="AG2307">
        <v>2</v>
      </c>
      <c r="AH2307">
        <v>0</v>
      </c>
      <c r="AI2307">
        <v>164.03</v>
      </c>
      <c r="AJ2307" t="s">
        <v>12446</v>
      </c>
      <c r="AK2307" t="s">
        <v>12458</v>
      </c>
      <c r="AL2307" t="s">
        <v>12460</v>
      </c>
      <c r="AM2307">
        <v>27000</v>
      </c>
      <c r="AS2307">
        <v>0</v>
      </c>
      <c r="AU2307" t="s">
        <v>13106</v>
      </c>
    </row>
    <row r="2308" spans="1:48">
      <c r="A2308" s="1">
        <f>HYPERLINK("https://cms.ls-nyc.org/matter/dynamic-profile/view/1880682","18-1880682")</f>
        <v>0</v>
      </c>
      <c r="B2308" t="s">
        <v>87</v>
      </c>
      <c r="C2308" t="s">
        <v>256</v>
      </c>
      <c r="E2308" t="s">
        <v>1476</v>
      </c>
      <c r="F2308" t="s">
        <v>3226</v>
      </c>
      <c r="G2308" t="s">
        <v>3732</v>
      </c>
      <c r="H2308" t="s">
        <v>5492</v>
      </c>
      <c r="I2308" t="s">
        <v>6043</v>
      </c>
      <c r="J2308">
        <v>11221</v>
      </c>
      <c r="K2308" t="s">
        <v>6074</v>
      </c>
      <c r="L2308" t="s">
        <v>6074</v>
      </c>
      <c r="M2308" t="s">
        <v>6146</v>
      </c>
      <c r="N2308" t="s">
        <v>7273</v>
      </c>
      <c r="O2308" t="s">
        <v>7308</v>
      </c>
      <c r="Q2308" t="s">
        <v>7322</v>
      </c>
      <c r="S2308" t="s">
        <v>7324</v>
      </c>
      <c r="U2308" t="s">
        <v>256</v>
      </c>
      <c r="V2308">
        <v>750</v>
      </c>
      <c r="W2308" t="s">
        <v>7362</v>
      </c>
      <c r="X2308" t="s">
        <v>7368</v>
      </c>
      <c r="Z2308" t="s">
        <v>9164</v>
      </c>
      <c r="AB2308" t="s">
        <v>11849</v>
      </c>
      <c r="AC2308">
        <v>7</v>
      </c>
      <c r="AE2308" t="s">
        <v>6110</v>
      </c>
      <c r="AF2308">
        <v>23</v>
      </c>
      <c r="AG2308">
        <v>1</v>
      </c>
      <c r="AH2308">
        <v>0</v>
      </c>
      <c r="AI2308">
        <v>164.05</v>
      </c>
      <c r="AL2308" t="s">
        <v>12460</v>
      </c>
      <c r="AM2308">
        <v>19916</v>
      </c>
      <c r="AS2308">
        <v>0</v>
      </c>
      <c r="AU2308" t="s">
        <v>13083</v>
      </c>
    </row>
    <row r="2309" spans="1:48">
      <c r="A2309" s="1">
        <f>HYPERLINK("https://cms.ls-nyc.org/matter/dynamic-profile/view/1899297","19-1899297")</f>
        <v>0</v>
      </c>
      <c r="B2309" t="s">
        <v>66</v>
      </c>
      <c r="C2309" t="s">
        <v>363</v>
      </c>
      <c r="D2309" t="s">
        <v>470</v>
      </c>
      <c r="E2309" t="s">
        <v>1707</v>
      </c>
      <c r="F2309" t="s">
        <v>3227</v>
      </c>
      <c r="G2309" t="s">
        <v>4226</v>
      </c>
      <c r="I2309" t="s">
        <v>6030</v>
      </c>
      <c r="J2309">
        <v>11421</v>
      </c>
      <c r="K2309" t="s">
        <v>6074</v>
      </c>
      <c r="L2309" t="s">
        <v>6075</v>
      </c>
      <c r="M2309" t="s">
        <v>7023</v>
      </c>
      <c r="N2309" t="s">
        <v>7274</v>
      </c>
      <c r="O2309" t="s">
        <v>7306</v>
      </c>
      <c r="P2309" t="s">
        <v>7314</v>
      </c>
      <c r="Q2309" t="s">
        <v>7322</v>
      </c>
      <c r="R2309" t="s">
        <v>6076</v>
      </c>
      <c r="S2309" t="s">
        <v>7324</v>
      </c>
      <c r="T2309" t="s">
        <v>7336</v>
      </c>
      <c r="U2309" t="s">
        <v>363</v>
      </c>
      <c r="V2309">
        <v>1350</v>
      </c>
      <c r="W2309" t="s">
        <v>7361</v>
      </c>
      <c r="X2309" t="s">
        <v>7366</v>
      </c>
      <c r="Y2309" t="s">
        <v>7386</v>
      </c>
      <c r="Z2309" t="s">
        <v>9165</v>
      </c>
      <c r="AB2309" t="s">
        <v>11850</v>
      </c>
      <c r="AC2309">
        <v>3</v>
      </c>
      <c r="AD2309" t="s">
        <v>12419</v>
      </c>
      <c r="AE2309" t="s">
        <v>6110</v>
      </c>
      <c r="AF2309">
        <v>1</v>
      </c>
      <c r="AG2309">
        <v>3</v>
      </c>
      <c r="AH2309">
        <v>0</v>
      </c>
      <c r="AI2309">
        <v>164.09</v>
      </c>
      <c r="AL2309" t="s">
        <v>12461</v>
      </c>
      <c r="AM2309">
        <v>35000</v>
      </c>
      <c r="AS2309">
        <v>1.05</v>
      </c>
      <c r="AT2309" t="s">
        <v>501</v>
      </c>
      <c r="AU2309" t="s">
        <v>66</v>
      </c>
      <c r="AV2309" t="s">
        <v>13145</v>
      </c>
    </row>
    <row r="2310" spans="1:48">
      <c r="A2310" s="1">
        <f>HYPERLINK("https://cms.ls-nyc.org/matter/dynamic-profile/view/1889697","19-1889697")</f>
        <v>0</v>
      </c>
      <c r="B2310" t="s">
        <v>101</v>
      </c>
      <c r="C2310" t="s">
        <v>365</v>
      </c>
      <c r="E2310" t="s">
        <v>783</v>
      </c>
      <c r="F2310" t="s">
        <v>3228</v>
      </c>
      <c r="G2310" t="s">
        <v>3939</v>
      </c>
      <c r="H2310" t="s">
        <v>5425</v>
      </c>
      <c r="I2310" t="s">
        <v>6047</v>
      </c>
      <c r="J2310">
        <v>10456</v>
      </c>
      <c r="K2310" t="s">
        <v>6074</v>
      </c>
      <c r="L2310" t="s">
        <v>6074</v>
      </c>
      <c r="N2310" t="s">
        <v>7279</v>
      </c>
      <c r="O2310" t="s">
        <v>7311</v>
      </c>
      <c r="Q2310" t="s">
        <v>7322</v>
      </c>
      <c r="R2310" t="s">
        <v>6074</v>
      </c>
      <c r="S2310" t="s">
        <v>7324</v>
      </c>
      <c r="U2310" t="s">
        <v>457</v>
      </c>
      <c r="V2310">
        <v>1268.04</v>
      </c>
      <c r="W2310" t="s">
        <v>7363</v>
      </c>
      <c r="X2310" t="s">
        <v>7376</v>
      </c>
      <c r="Z2310" t="s">
        <v>9166</v>
      </c>
      <c r="AB2310" t="s">
        <v>11851</v>
      </c>
      <c r="AC2310">
        <v>131</v>
      </c>
      <c r="AD2310" t="s">
        <v>12422</v>
      </c>
      <c r="AE2310" t="s">
        <v>6110</v>
      </c>
      <c r="AF2310">
        <v>21</v>
      </c>
      <c r="AG2310">
        <v>3</v>
      </c>
      <c r="AH2310">
        <v>0</v>
      </c>
      <c r="AI2310">
        <v>164.09</v>
      </c>
      <c r="AL2310" t="s">
        <v>12461</v>
      </c>
      <c r="AM2310">
        <v>35000</v>
      </c>
      <c r="AS2310">
        <v>0</v>
      </c>
      <c r="AU2310" t="s">
        <v>13095</v>
      </c>
    </row>
    <row r="2311" spans="1:48">
      <c r="A2311" s="1">
        <f>HYPERLINK("https://cms.ls-nyc.org/matter/dynamic-profile/view/1889816","19-1889816")</f>
        <v>0</v>
      </c>
      <c r="B2311" t="s">
        <v>117</v>
      </c>
      <c r="C2311" t="s">
        <v>420</v>
      </c>
      <c r="E2311" t="s">
        <v>582</v>
      </c>
      <c r="F2311" t="s">
        <v>2052</v>
      </c>
      <c r="G2311" t="s">
        <v>4988</v>
      </c>
      <c r="H2311" t="s">
        <v>5357</v>
      </c>
      <c r="I2311" t="s">
        <v>6048</v>
      </c>
      <c r="J2311">
        <v>10301</v>
      </c>
      <c r="K2311" t="s">
        <v>6074</v>
      </c>
      <c r="L2311" t="s">
        <v>6074</v>
      </c>
      <c r="M2311" t="s">
        <v>7024</v>
      </c>
      <c r="N2311" t="s">
        <v>7276</v>
      </c>
      <c r="O2311" t="s">
        <v>7308</v>
      </c>
      <c r="Q2311" t="s">
        <v>7322</v>
      </c>
      <c r="R2311" t="s">
        <v>6076</v>
      </c>
      <c r="S2311" t="s">
        <v>7324</v>
      </c>
      <c r="T2311" t="s">
        <v>7336</v>
      </c>
      <c r="U2311" t="s">
        <v>420</v>
      </c>
      <c r="V2311">
        <v>1550</v>
      </c>
      <c r="W2311" t="s">
        <v>7364</v>
      </c>
      <c r="X2311" t="s">
        <v>7382</v>
      </c>
      <c r="Z2311" t="s">
        <v>9167</v>
      </c>
      <c r="AB2311" t="s">
        <v>11852</v>
      </c>
      <c r="AC2311">
        <v>80</v>
      </c>
      <c r="AD2311" t="s">
        <v>12422</v>
      </c>
      <c r="AE2311" t="s">
        <v>6110</v>
      </c>
      <c r="AF2311">
        <v>1</v>
      </c>
      <c r="AG2311">
        <v>1</v>
      </c>
      <c r="AH2311">
        <v>2</v>
      </c>
      <c r="AI2311">
        <v>164.09</v>
      </c>
      <c r="AL2311" t="s">
        <v>12460</v>
      </c>
      <c r="AM2311">
        <v>35000</v>
      </c>
      <c r="AO2311" t="s">
        <v>12846</v>
      </c>
      <c r="AP2311" t="s">
        <v>7305</v>
      </c>
      <c r="AQ2311" t="s">
        <v>12910</v>
      </c>
      <c r="AR2311" t="s">
        <v>13012</v>
      </c>
      <c r="AS2311">
        <v>7.2</v>
      </c>
      <c r="AT2311" t="s">
        <v>423</v>
      </c>
      <c r="AU2311" t="s">
        <v>13102</v>
      </c>
    </row>
    <row r="2312" spans="1:48">
      <c r="A2312" s="1">
        <f>HYPERLINK("https://cms.ls-nyc.org/matter/dynamic-profile/view/1874586","18-1874586")</f>
        <v>0</v>
      </c>
      <c r="B2312" t="s">
        <v>52</v>
      </c>
      <c r="C2312" t="s">
        <v>237</v>
      </c>
      <c r="D2312" t="s">
        <v>361</v>
      </c>
      <c r="E2312" t="s">
        <v>1708</v>
      </c>
      <c r="F2312" t="s">
        <v>2528</v>
      </c>
      <c r="G2312" t="s">
        <v>3650</v>
      </c>
      <c r="H2312">
        <v>402</v>
      </c>
      <c r="I2312" t="s">
        <v>6024</v>
      </c>
      <c r="J2312">
        <v>11692</v>
      </c>
      <c r="K2312" t="s">
        <v>6074</v>
      </c>
      <c r="L2312" t="s">
        <v>6074</v>
      </c>
      <c r="M2312" t="s">
        <v>7025</v>
      </c>
      <c r="N2312" t="s">
        <v>7276</v>
      </c>
      <c r="O2312" t="s">
        <v>7308</v>
      </c>
      <c r="P2312" t="s">
        <v>7316</v>
      </c>
      <c r="Q2312" t="s">
        <v>7322</v>
      </c>
      <c r="R2312" t="s">
        <v>6076</v>
      </c>
      <c r="S2312" t="s">
        <v>7324</v>
      </c>
      <c r="T2312" t="s">
        <v>7338</v>
      </c>
      <c r="U2312" t="s">
        <v>237</v>
      </c>
      <c r="V2312">
        <v>2300</v>
      </c>
      <c r="W2312" t="s">
        <v>7361</v>
      </c>
      <c r="X2312" t="s">
        <v>7366</v>
      </c>
      <c r="Y2312" t="s">
        <v>7388</v>
      </c>
      <c r="Z2312" t="s">
        <v>9168</v>
      </c>
      <c r="AA2312" t="s">
        <v>9856</v>
      </c>
      <c r="AB2312" t="s">
        <v>11853</v>
      </c>
      <c r="AC2312">
        <v>8</v>
      </c>
      <c r="AD2312" t="s">
        <v>12423</v>
      </c>
      <c r="AE2312" t="s">
        <v>12434</v>
      </c>
      <c r="AF2312">
        <v>2</v>
      </c>
      <c r="AG2312">
        <v>3</v>
      </c>
      <c r="AH2312">
        <v>1</v>
      </c>
      <c r="AI2312">
        <v>164.18</v>
      </c>
      <c r="AL2312" t="s">
        <v>12460</v>
      </c>
      <c r="AM2312">
        <v>41210</v>
      </c>
      <c r="AO2312" t="s">
        <v>12850</v>
      </c>
      <c r="AP2312" t="s">
        <v>12858</v>
      </c>
      <c r="AQ2312" t="s">
        <v>12909</v>
      </c>
      <c r="AR2312" t="s">
        <v>13040</v>
      </c>
      <c r="AS2312">
        <v>29.65</v>
      </c>
      <c r="AT2312" t="s">
        <v>337</v>
      </c>
      <c r="AU2312" t="s">
        <v>189</v>
      </c>
    </row>
    <row r="2313" spans="1:48">
      <c r="A2313" s="1">
        <f>HYPERLINK("https://cms.ls-nyc.org/matter/dynamic-profile/view/1875714","18-1875714")</f>
        <v>0</v>
      </c>
      <c r="B2313" t="s">
        <v>60</v>
      </c>
      <c r="C2313" t="s">
        <v>353</v>
      </c>
      <c r="D2313" t="s">
        <v>353</v>
      </c>
      <c r="E2313" t="s">
        <v>760</v>
      </c>
      <c r="F2313" t="s">
        <v>3229</v>
      </c>
      <c r="G2313" t="s">
        <v>4989</v>
      </c>
      <c r="H2313" t="s">
        <v>5390</v>
      </c>
      <c r="I2313" t="s">
        <v>6037</v>
      </c>
      <c r="J2313">
        <v>11372</v>
      </c>
      <c r="K2313" t="s">
        <v>6074</v>
      </c>
      <c r="L2313" t="s">
        <v>6074</v>
      </c>
      <c r="M2313" t="s">
        <v>6329</v>
      </c>
      <c r="N2313" t="s">
        <v>6104</v>
      </c>
      <c r="O2313" t="s">
        <v>7306</v>
      </c>
      <c r="P2313" t="s">
        <v>7314</v>
      </c>
      <c r="Q2313" t="s">
        <v>7323</v>
      </c>
      <c r="R2313" t="s">
        <v>6076</v>
      </c>
      <c r="S2313" t="s">
        <v>7324</v>
      </c>
      <c r="T2313" t="s">
        <v>7336</v>
      </c>
      <c r="U2313" t="s">
        <v>353</v>
      </c>
      <c r="V2313">
        <v>1117.52</v>
      </c>
      <c r="W2313" t="s">
        <v>7361</v>
      </c>
      <c r="X2313" t="s">
        <v>7369</v>
      </c>
      <c r="Y2313" t="s">
        <v>7386</v>
      </c>
      <c r="Z2313" t="s">
        <v>9169</v>
      </c>
      <c r="AA2313" t="s">
        <v>6101</v>
      </c>
      <c r="AB2313" t="s">
        <v>9856</v>
      </c>
      <c r="AC2313">
        <v>20</v>
      </c>
      <c r="AD2313" t="s">
        <v>12419</v>
      </c>
      <c r="AE2313" t="s">
        <v>6110</v>
      </c>
      <c r="AF2313">
        <v>1</v>
      </c>
      <c r="AG2313">
        <v>1</v>
      </c>
      <c r="AH2313">
        <v>1</v>
      </c>
      <c r="AI2313">
        <v>164.28</v>
      </c>
      <c r="AJ2313" t="s">
        <v>12443</v>
      </c>
      <c r="AK2313" t="s">
        <v>12455</v>
      </c>
      <c r="AL2313" t="s">
        <v>12461</v>
      </c>
      <c r="AM2313">
        <v>27040</v>
      </c>
      <c r="AS2313">
        <v>1.9</v>
      </c>
      <c r="AT2313" t="s">
        <v>353</v>
      </c>
      <c r="AU2313" t="s">
        <v>60</v>
      </c>
    </row>
    <row r="2314" spans="1:48">
      <c r="A2314" s="1">
        <f>HYPERLINK("https://cms.ls-nyc.org/matter/dynamic-profile/view/1885588","18-1885588")</f>
        <v>0</v>
      </c>
      <c r="B2314" t="s">
        <v>102</v>
      </c>
      <c r="C2314" t="s">
        <v>250</v>
      </c>
      <c r="E2314" t="s">
        <v>1709</v>
      </c>
      <c r="F2314" t="s">
        <v>646</v>
      </c>
      <c r="G2314" t="s">
        <v>3779</v>
      </c>
      <c r="H2314" t="s">
        <v>5858</v>
      </c>
      <c r="I2314" t="s">
        <v>6047</v>
      </c>
      <c r="J2314">
        <v>10460</v>
      </c>
      <c r="K2314" t="s">
        <v>6074</v>
      </c>
      <c r="L2314" t="s">
        <v>6074</v>
      </c>
      <c r="M2314" t="s">
        <v>6182</v>
      </c>
      <c r="N2314" t="s">
        <v>7273</v>
      </c>
      <c r="O2314" t="s">
        <v>7308</v>
      </c>
      <c r="Q2314" t="s">
        <v>7322</v>
      </c>
      <c r="R2314" t="s">
        <v>6074</v>
      </c>
      <c r="S2314" t="s">
        <v>7324</v>
      </c>
      <c r="U2314" t="s">
        <v>457</v>
      </c>
      <c r="V2314">
        <v>485</v>
      </c>
      <c r="W2314" t="s">
        <v>7363</v>
      </c>
      <c r="X2314" t="s">
        <v>7376</v>
      </c>
      <c r="Z2314" t="s">
        <v>9170</v>
      </c>
      <c r="AB2314" t="s">
        <v>11854</v>
      </c>
      <c r="AC2314">
        <v>169</v>
      </c>
      <c r="AE2314" t="s">
        <v>12434</v>
      </c>
      <c r="AF2314">
        <v>12</v>
      </c>
      <c r="AG2314">
        <v>1</v>
      </c>
      <c r="AH2314">
        <v>1</v>
      </c>
      <c r="AI2314">
        <v>164.28</v>
      </c>
      <c r="AL2314" t="s">
        <v>12460</v>
      </c>
      <c r="AM2314">
        <v>27040</v>
      </c>
      <c r="AS2314">
        <v>1.6</v>
      </c>
      <c r="AT2314" t="s">
        <v>460</v>
      </c>
      <c r="AU2314" t="s">
        <v>13095</v>
      </c>
    </row>
    <row r="2315" spans="1:48">
      <c r="A2315" s="1">
        <f>HYPERLINK("https://cms.ls-nyc.org/matter/dynamic-profile/view/1887430","19-1887430")</f>
        <v>0</v>
      </c>
      <c r="B2315" t="s">
        <v>113</v>
      </c>
      <c r="C2315" t="s">
        <v>340</v>
      </c>
      <c r="E2315" t="s">
        <v>1709</v>
      </c>
      <c r="F2315" t="s">
        <v>646</v>
      </c>
      <c r="G2315" t="s">
        <v>3779</v>
      </c>
      <c r="H2315" t="s">
        <v>5858</v>
      </c>
      <c r="I2315" t="s">
        <v>6047</v>
      </c>
      <c r="J2315">
        <v>10460</v>
      </c>
      <c r="K2315" t="s">
        <v>6074</v>
      </c>
      <c r="L2315" t="s">
        <v>6074</v>
      </c>
      <c r="M2315" t="s">
        <v>7026</v>
      </c>
      <c r="N2315" t="s">
        <v>7276</v>
      </c>
      <c r="O2315" t="s">
        <v>7308</v>
      </c>
      <c r="Q2315" t="s">
        <v>7322</v>
      </c>
      <c r="S2315" t="s">
        <v>7324</v>
      </c>
      <c r="T2315" t="s">
        <v>7338</v>
      </c>
      <c r="U2315" t="s">
        <v>339</v>
      </c>
      <c r="V2315">
        <v>485</v>
      </c>
      <c r="W2315" t="s">
        <v>7363</v>
      </c>
      <c r="X2315" t="s">
        <v>7376</v>
      </c>
      <c r="Z2315" t="s">
        <v>9170</v>
      </c>
      <c r="AB2315" t="s">
        <v>11854</v>
      </c>
      <c r="AC2315">
        <v>169</v>
      </c>
      <c r="AE2315" t="s">
        <v>12434</v>
      </c>
      <c r="AF2315">
        <v>12</v>
      </c>
      <c r="AG2315">
        <v>1</v>
      </c>
      <c r="AH2315">
        <v>1</v>
      </c>
      <c r="AI2315">
        <v>164.28</v>
      </c>
      <c r="AL2315" t="s">
        <v>12460</v>
      </c>
      <c r="AM2315">
        <v>27040</v>
      </c>
      <c r="AS2315">
        <v>50.6</v>
      </c>
      <c r="AT2315" t="s">
        <v>564</v>
      </c>
      <c r="AU2315" t="s">
        <v>13095</v>
      </c>
    </row>
    <row r="2316" spans="1:48">
      <c r="A2316" s="1">
        <f>HYPERLINK("https://cms.ls-nyc.org/matter/dynamic-profile/view/1877362","18-1877362")</f>
        <v>0</v>
      </c>
      <c r="B2316" t="s">
        <v>161</v>
      </c>
      <c r="C2316" t="s">
        <v>409</v>
      </c>
      <c r="D2316" t="s">
        <v>250</v>
      </c>
      <c r="E2316" t="s">
        <v>737</v>
      </c>
      <c r="F2316" t="s">
        <v>2059</v>
      </c>
      <c r="G2316" t="s">
        <v>4990</v>
      </c>
      <c r="H2316" t="s">
        <v>5859</v>
      </c>
      <c r="I2316" t="s">
        <v>6049</v>
      </c>
      <c r="J2316">
        <v>10035</v>
      </c>
      <c r="K2316" t="s">
        <v>6074</v>
      </c>
      <c r="L2316" t="s">
        <v>6074</v>
      </c>
      <c r="M2316" t="s">
        <v>6204</v>
      </c>
      <c r="N2316" t="s">
        <v>7281</v>
      </c>
      <c r="O2316" t="s">
        <v>7306</v>
      </c>
      <c r="P2316" t="s">
        <v>7314</v>
      </c>
      <c r="Q2316" t="s">
        <v>7322</v>
      </c>
      <c r="R2316" t="s">
        <v>6076</v>
      </c>
      <c r="S2316" t="s">
        <v>7324</v>
      </c>
      <c r="T2316" t="s">
        <v>7336</v>
      </c>
      <c r="U2316" t="s">
        <v>483</v>
      </c>
      <c r="V2316">
        <v>3272</v>
      </c>
      <c r="W2316" t="s">
        <v>7365</v>
      </c>
      <c r="X2316" t="s">
        <v>7378</v>
      </c>
      <c r="Y2316" t="s">
        <v>7386</v>
      </c>
      <c r="Z2316" t="s">
        <v>9171</v>
      </c>
      <c r="AB2316" t="s">
        <v>11855</v>
      </c>
      <c r="AC2316">
        <v>448</v>
      </c>
      <c r="AD2316" t="s">
        <v>12422</v>
      </c>
      <c r="AE2316" t="s">
        <v>6110</v>
      </c>
      <c r="AF2316">
        <v>-1</v>
      </c>
      <c r="AG2316">
        <v>1</v>
      </c>
      <c r="AH2316">
        <v>1</v>
      </c>
      <c r="AI2316">
        <v>164.28</v>
      </c>
      <c r="AL2316" t="s">
        <v>12461</v>
      </c>
      <c r="AM2316">
        <v>27040</v>
      </c>
      <c r="AS2316">
        <v>0.6</v>
      </c>
      <c r="AT2316" t="s">
        <v>250</v>
      </c>
      <c r="AU2316" t="s">
        <v>13090</v>
      </c>
    </row>
    <row r="2317" spans="1:48">
      <c r="A2317" s="1">
        <f>HYPERLINK("https://cms.ls-nyc.org/matter/dynamic-profile/view/1878536","18-1878536")</f>
        <v>0</v>
      </c>
      <c r="B2317" t="s">
        <v>92</v>
      </c>
      <c r="C2317" t="s">
        <v>451</v>
      </c>
      <c r="D2317" t="s">
        <v>324</v>
      </c>
      <c r="E2317" t="s">
        <v>1710</v>
      </c>
      <c r="F2317" t="s">
        <v>3230</v>
      </c>
      <c r="G2317" t="s">
        <v>4991</v>
      </c>
      <c r="H2317" t="s">
        <v>5385</v>
      </c>
      <c r="I2317" t="s">
        <v>6043</v>
      </c>
      <c r="J2317">
        <v>11233</v>
      </c>
      <c r="K2317" t="s">
        <v>6074</v>
      </c>
      <c r="L2317" t="s">
        <v>6074</v>
      </c>
      <c r="M2317" t="s">
        <v>7027</v>
      </c>
      <c r="N2317" t="s">
        <v>7279</v>
      </c>
      <c r="O2317" t="s">
        <v>7311</v>
      </c>
      <c r="P2317" t="s">
        <v>7321</v>
      </c>
      <c r="Q2317" t="s">
        <v>7322</v>
      </c>
      <c r="R2317" t="s">
        <v>6074</v>
      </c>
      <c r="S2317" t="s">
        <v>7324</v>
      </c>
      <c r="U2317" t="s">
        <v>465</v>
      </c>
      <c r="V2317">
        <v>0</v>
      </c>
      <c r="W2317" t="s">
        <v>7362</v>
      </c>
      <c r="X2317" t="s">
        <v>7370</v>
      </c>
      <c r="Y2317" t="s">
        <v>7394</v>
      </c>
      <c r="Z2317" t="s">
        <v>9172</v>
      </c>
      <c r="AB2317" t="s">
        <v>9856</v>
      </c>
      <c r="AC2317">
        <v>7</v>
      </c>
      <c r="AD2317" t="s">
        <v>12422</v>
      </c>
      <c r="AF2317">
        <v>0</v>
      </c>
      <c r="AG2317">
        <v>1</v>
      </c>
      <c r="AH2317">
        <v>0</v>
      </c>
      <c r="AI2317">
        <v>164.74</v>
      </c>
      <c r="AL2317" t="s">
        <v>12460</v>
      </c>
      <c r="AM2317">
        <v>20000</v>
      </c>
      <c r="AS2317">
        <v>1.8</v>
      </c>
      <c r="AT2317" t="s">
        <v>417</v>
      </c>
      <c r="AU2317" t="s">
        <v>177</v>
      </c>
      <c r="AV2317" t="s">
        <v>13145</v>
      </c>
    </row>
    <row r="2318" spans="1:48">
      <c r="A2318" s="1">
        <f>HYPERLINK("https://cms.ls-nyc.org/matter/dynamic-profile/view/1877043","18-1877043")</f>
        <v>0</v>
      </c>
      <c r="B2318" t="s">
        <v>101</v>
      </c>
      <c r="C2318" t="s">
        <v>281</v>
      </c>
      <c r="D2318" t="s">
        <v>555</v>
      </c>
      <c r="E2318" t="s">
        <v>637</v>
      </c>
      <c r="F2318" t="s">
        <v>2318</v>
      </c>
      <c r="G2318" t="s">
        <v>4992</v>
      </c>
      <c r="H2318" t="s">
        <v>5860</v>
      </c>
      <c r="I2318" t="s">
        <v>6047</v>
      </c>
      <c r="J2318">
        <v>10457</v>
      </c>
      <c r="K2318" t="s">
        <v>6074</v>
      </c>
      <c r="L2318" t="s">
        <v>6074</v>
      </c>
      <c r="N2318" t="s">
        <v>7276</v>
      </c>
      <c r="O2318" t="s">
        <v>7306</v>
      </c>
      <c r="P2318" t="s">
        <v>7314</v>
      </c>
      <c r="Q2318" t="s">
        <v>7322</v>
      </c>
      <c r="R2318" t="s">
        <v>6076</v>
      </c>
      <c r="S2318" t="s">
        <v>7324</v>
      </c>
      <c r="T2318" t="s">
        <v>7336</v>
      </c>
      <c r="U2318" t="s">
        <v>355</v>
      </c>
      <c r="V2318">
        <v>1476.04</v>
      </c>
      <c r="W2318" t="s">
        <v>7363</v>
      </c>
      <c r="X2318" t="s">
        <v>7376</v>
      </c>
      <c r="Y2318" t="s">
        <v>7386</v>
      </c>
      <c r="Z2318" t="s">
        <v>9173</v>
      </c>
      <c r="AB2318" t="s">
        <v>11856</v>
      </c>
      <c r="AC2318">
        <v>333</v>
      </c>
      <c r="AD2318" t="s">
        <v>12422</v>
      </c>
      <c r="AE2318" t="s">
        <v>6110</v>
      </c>
      <c r="AF2318">
        <v>7</v>
      </c>
      <c r="AG2318">
        <v>5</v>
      </c>
      <c r="AH2318">
        <v>1</v>
      </c>
      <c r="AI2318">
        <v>164.74</v>
      </c>
      <c r="AL2318" t="s">
        <v>12461</v>
      </c>
      <c r="AM2318">
        <v>55584</v>
      </c>
      <c r="AS2318">
        <v>0.1</v>
      </c>
      <c r="AT2318" t="s">
        <v>555</v>
      </c>
      <c r="AU2318" t="s">
        <v>13095</v>
      </c>
    </row>
    <row r="2319" spans="1:48">
      <c r="A2319" s="1">
        <f>HYPERLINK("https://cms.ls-nyc.org/matter/dynamic-profile/view/1888303","19-1888303")</f>
        <v>0</v>
      </c>
      <c r="B2319" t="s">
        <v>102</v>
      </c>
      <c r="C2319" t="s">
        <v>292</v>
      </c>
      <c r="E2319" t="s">
        <v>1244</v>
      </c>
      <c r="F2319" t="s">
        <v>3231</v>
      </c>
      <c r="G2319" t="s">
        <v>3802</v>
      </c>
      <c r="H2319" t="s">
        <v>5861</v>
      </c>
      <c r="I2319" t="s">
        <v>6047</v>
      </c>
      <c r="J2319">
        <v>10453</v>
      </c>
      <c r="K2319" t="s">
        <v>6074</v>
      </c>
      <c r="L2319" t="s">
        <v>6074</v>
      </c>
      <c r="M2319" t="s">
        <v>7028</v>
      </c>
      <c r="N2319" t="s">
        <v>7276</v>
      </c>
      <c r="O2319" t="s">
        <v>7308</v>
      </c>
      <c r="Q2319" t="s">
        <v>7322</v>
      </c>
      <c r="R2319" t="s">
        <v>6076</v>
      </c>
      <c r="S2319" t="s">
        <v>7324</v>
      </c>
      <c r="U2319" t="s">
        <v>343</v>
      </c>
      <c r="V2319">
        <v>1366.88</v>
      </c>
      <c r="W2319" t="s">
        <v>7363</v>
      </c>
      <c r="X2319" t="s">
        <v>7370</v>
      </c>
      <c r="Z2319" t="s">
        <v>9174</v>
      </c>
      <c r="AB2319" t="s">
        <v>11857</v>
      </c>
      <c r="AC2319">
        <v>99</v>
      </c>
      <c r="AD2319" t="s">
        <v>12422</v>
      </c>
      <c r="AE2319" t="s">
        <v>6110</v>
      </c>
      <c r="AF2319">
        <v>2</v>
      </c>
      <c r="AG2319">
        <v>1</v>
      </c>
      <c r="AH2319">
        <v>0</v>
      </c>
      <c r="AI2319">
        <v>164.74</v>
      </c>
      <c r="AL2319" t="s">
        <v>12460</v>
      </c>
      <c r="AM2319">
        <v>20000</v>
      </c>
      <c r="AN2319" t="s">
        <v>12674</v>
      </c>
      <c r="AS2319">
        <v>1</v>
      </c>
      <c r="AT2319" t="s">
        <v>302</v>
      </c>
      <c r="AU2319" t="s">
        <v>13099</v>
      </c>
    </row>
    <row r="2320" spans="1:48">
      <c r="A2320" s="1">
        <f>HYPERLINK("https://cms.ls-nyc.org/matter/dynamic-profile/view/1897797","19-1897797")</f>
        <v>0</v>
      </c>
      <c r="B2320" t="s">
        <v>132</v>
      </c>
      <c r="C2320" t="s">
        <v>263</v>
      </c>
      <c r="E2320" t="s">
        <v>701</v>
      </c>
      <c r="F2320" t="s">
        <v>2083</v>
      </c>
      <c r="G2320" t="s">
        <v>4873</v>
      </c>
      <c r="H2320" t="s">
        <v>5398</v>
      </c>
      <c r="I2320" t="s">
        <v>6049</v>
      </c>
      <c r="J2320">
        <v>10034</v>
      </c>
      <c r="K2320" t="s">
        <v>6074</v>
      </c>
      <c r="L2320" t="s">
        <v>6074</v>
      </c>
      <c r="M2320" t="s">
        <v>7029</v>
      </c>
      <c r="N2320" t="s">
        <v>7276</v>
      </c>
      <c r="O2320" t="s">
        <v>7306</v>
      </c>
      <c r="Q2320" t="s">
        <v>7322</v>
      </c>
      <c r="R2320" t="s">
        <v>6076</v>
      </c>
      <c r="S2320" t="s">
        <v>7324</v>
      </c>
      <c r="U2320" t="s">
        <v>263</v>
      </c>
      <c r="V2320">
        <v>1281</v>
      </c>
      <c r="W2320" t="s">
        <v>7365</v>
      </c>
      <c r="X2320" t="s">
        <v>7368</v>
      </c>
      <c r="Z2320" t="s">
        <v>8989</v>
      </c>
      <c r="AB2320" t="s">
        <v>11688</v>
      </c>
      <c r="AC2320">
        <v>100</v>
      </c>
      <c r="AD2320" t="s">
        <v>12422</v>
      </c>
      <c r="AE2320" t="s">
        <v>12441</v>
      </c>
      <c r="AF2320">
        <v>10</v>
      </c>
      <c r="AG2320">
        <v>1</v>
      </c>
      <c r="AH2320">
        <v>0</v>
      </c>
      <c r="AI2320">
        <v>165.25</v>
      </c>
      <c r="AL2320" t="s">
        <v>12460</v>
      </c>
      <c r="AM2320">
        <v>20640</v>
      </c>
      <c r="AS2320">
        <v>2.35</v>
      </c>
      <c r="AT2320" t="s">
        <v>257</v>
      </c>
      <c r="AU2320" t="s">
        <v>13106</v>
      </c>
    </row>
    <row r="2321" spans="1:48">
      <c r="A2321" s="1">
        <f>HYPERLINK("https://cms.ls-nyc.org/matter/dynamic-profile/view/1895312","19-1895312")</f>
        <v>0</v>
      </c>
      <c r="B2321" t="s">
        <v>78</v>
      </c>
      <c r="C2321" t="s">
        <v>247</v>
      </c>
      <c r="E2321" t="s">
        <v>966</v>
      </c>
      <c r="F2321" t="s">
        <v>3232</v>
      </c>
      <c r="G2321" t="s">
        <v>4993</v>
      </c>
      <c r="H2321" t="s">
        <v>5372</v>
      </c>
      <c r="I2321" t="s">
        <v>6043</v>
      </c>
      <c r="J2321">
        <v>11212</v>
      </c>
      <c r="K2321" t="s">
        <v>6074</v>
      </c>
      <c r="L2321" t="s">
        <v>6074</v>
      </c>
      <c r="N2321" t="s">
        <v>7287</v>
      </c>
      <c r="O2321" t="s">
        <v>7308</v>
      </c>
      <c r="Q2321" t="s">
        <v>7322</v>
      </c>
      <c r="R2321" t="s">
        <v>6074</v>
      </c>
      <c r="S2321" t="s">
        <v>7324</v>
      </c>
      <c r="U2321" t="s">
        <v>247</v>
      </c>
      <c r="V2321">
        <v>625.95</v>
      </c>
      <c r="W2321" t="s">
        <v>7362</v>
      </c>
      <c r="X2321" t="s">
        <v>7375</v>
      </c>
      <c r="Z2321" t="s">
        <v>9175</v>
      </c>
      <c r="AB2321" t="s">
        <v>11858</v>
      </c>
      <c r="AC2321">
        <v>8</v>
      </c>
      <c r="AD2321" t="s">
        <v>12422</v>
      </c>
      <c r="AE2321" t="s">
        <v>6110</v>
      </c>
      <c r="AF2321">
        <v>22</v>
      </c>
      <c r="AG2321">
        <v>2</v>
      </c>
      <c r="AH2321">
        <v>0</v>
      </c>
      <c r="AI2321">
        <v>165.58</v>
      </c>
      <c r="AL2321" t="s">
        <v>12460</v>
      </c>
      <c r="AM2321">
        <v>28000</v>
      </c>
      <c r="AN2321" t="s">
        <v>12675</v>
      </c>
      <c r="AS2321">
        <v>0</v>
      </c>
      <c r="AU2321" t="s">
        <v>218</v>
      </c>
    </row>
    <row r="2322" spans="1:48">
      <c r="A2322" s="1">
        <f>HYPERLINK("https://cms.ls-nyc.org/matter/dynamic-profile/view/1883464","18-1883464")</f>
        <v>0</v>
      </c>
      <c r="B2322" t="s">
        <v>99</v>
      </c>
      <c r="C2322" t="s">
        <v>320</v>
      </c>
      <c r="D2322" t="s">
        <v>472</v>
      </c>
      <c r="E2322" t="s">
        <v>1168</v>
      </c>
      <c r="F2322" t="s">
        <v>2704</v>
      </c>
      <c r="G2322" t="s">
        <v>4994</v>
      </c>
      <c r="H2322" t="s">
        <v>5436</v>
      </c>
      <c r="I2322" t="s">
        <v>6047</v>
      </c>
      <c r="J2322">
        <v>10457</v>
      </c>
      <c r="K2322" t="s">
        <v>6074</v>
      </c>
      <c r="L2322" t="s">
        <v>6074</v>
      </c>
      <c r="M2322" t="s">
        <v>6110</v>
      </c>
      <c r="N2322" t="s">
        <v>7278</v>
      </c>
      <c r="O2322" t="s">
        <v>7306</v>
      </c>
      <c r="P2322" t="s">
        <v>7314</v>
      </c>
      <c r="Q2322" t="s">
        <v>7322</v>
      </c>
      <c r="R2322" t="s">
        <v>6076</v>
      </c>
      <c r="S2322" t="s">
        <v>7324</v>
      </c>
      <c r="T2322" t="s">
        <v>7336</v>
      </c>
      <c r="U2322" t="s">
        <v>320</v>
      </c>
      <c r="V2322">
        <v>595</v>
      </c>
      <c r="W2322" t="s">
        <v>7363</v>
      </c>
      <c r="X2322" t="s">
        <v>7367</v>
      </c>
      <c r="Y2322" t="s">
        <v>7386</v>
      </c>
      <c r="Z2322" t="s">
        <v>9176</v>
      </c>
      <c r="AB2322" t="s">
        <v>11859</v>
      </c>
      <c r="AC2322">
        <v>43</v>
      </c>
      <c r="AD2322" t="s">
        <v>12425</v>
      </c>
      <c r="AE2322" t="s">
        <v>6110</v>
      </c>
      <c r="AF2322">
        <v>15</v>
      </c>
      <c r="AG2322">
        <v>3</v>
      </c>
      <c r="AH2322">
        <v>4</v>
      </c>
      <c r="AI2322">
        <v>165.72</v>
      </c>
      <c r="AL2322" t="s">
        <v>12460</v>
      </c>
      <c r="AM2322">
        <v>63072</v>
      </c>
      <c r="AN2322" t="s">
        <v>12517</v>
      </c>
      <c r="AS2322">
        <v>2.5</v>
      </c>
      <c r="AT2322" t="s">
        <v>410</v>
      </c>
      <c r="AU2322" t="s">
        <v>13081</v>
      </c>
    </row>
    <row r="2323" spans="1:48">
      <c r="A2323" s="1">
        <f>HYPERLINK("https://cms.ls-nyc.org/matter/dynamic-profile/view/1900670","19-1900670")</f>
        <v>0</v>
      </c>
      <c r="B2323" t="s">
        <v>63</v>
      </c>
      <c r="C2323" t="s">
        <v>260</v>
      </c>
      <c r="E2323" t="s">
        <v>1711</v>
      </c>
      <c r="F2323" t="s">
        <v>3233</v>
      </c>
      <c r="G2323" t="s">
        <v>4995</v>
      </c>
      <c r="I2323" t="s">
        <v>6057</v>
      </c>
      <c r="J2323">
        <v>11411</v>
      </c>
      <c r="K2323" t="s">
        <v>6074</v>
      </c>
      <c r="L2323" t="s">
        <v>6075</v>
      </c>
      <c r="M2323" t="s">
        <v>7030</v>
      </c>
      <c r="N2323" t="s">
        <v>7274</v>
      </c>
      <c r="O2323" t="s">
        <v>7310</v>
      </c>
      <c r="Q2323" t="s">
        <v>7322</v>
      </c>
      <c r="R2323" t="s">
        <v>6076</v>
      </c>
      <c r="S2323" t="s">
        <v>7324</v>
      </c>
      <c r="U2323" t="s">
        <v>260</v>
      </c>
      <c r="V2323">
        <v>1500</v>
      </c>
      <c r="W2323" t="s">
        <v>7361</v>
      </c>
      <c r="Z2323" t="s">
        <v>9177</v>
      </c>
      <c r="AB2323" t="s">
        <v>11860</v>
      </c>
      <c r="AC2323">
        <v>0</v>
      </c>
      <c r="AF2323">
        <v>2</v>
      </c>
      <c r="AG2323">
        <v>4</v>
      </c>
      <c r="AH2323">
        <v>1</v>
      </c>
      <c r="AI2323">
        <v>165.73</v>
      </c>
      <c r="AL2323" t="s">
        <v>12460</v>
      </c>
      <c r="AM2323">
        <v>50000</v>
      </c>
      <c r="AS2323">
        <v>1</v>
      </c>
      <c r="AT2323" t="s">
        <v>260</v>
      </c>
      <c r="AU2323" t="s">
        <v>13078</v>
      </c>
    </row>
    <row r="2324" spans="1:48">
      <c r="A2324" s="1">
        <f>HYPERLINK("https://cms.ls-nyc.org/matter/dynamic-profile/view/1881235","18-1881235")</f>
        <v>0</v>
      </c>
      <c r="B2324" t="s">
        <v>130</v>
      </c>
      <c r="C2324" t="s">
        <v>240</v>
      </c>
      <c r="E2324" t="s">
        <v>1712</v>
      </c>
      <c r="F2324" t="s">
        <v>3234</v>
      </c>
      <c r="G2324" t="s">
        <v>4635</v>
      </c>
      <c r="H2324" t="s">
        <v>5411</v>
      </c>
      <c r="I2324" t="s">
        <v>6049</v>
      </c>
      <c r="J2324">
        <v>10040</v>
      </c>
      <c r="K2324" t="s">
        <v>6074</v>
      </c>
      <c r="L2324" t="s">
        <v>6074</v>
      </c>
      <c r="N2324" t="s">
        <v>7273</v>
      </c>
      <c r="O2324" t="s">
        <v>7306</v>
      </c>
      <c r="Q2324" t="s">
        <v>7322</v>
      </c>
      <c r="R2324" t="s">
        <v>6074</v>
      </c>
      <c r="S2324" t="s">
        <v>7324</v>
      </c>
      <c r="U2324" t="s">
        <v>240</v>
      </c>
      <c r="V2324">
        <v>2000</v>
      </c>
      <c r="W2324" t="s">
        <v>7365</v>
      </c>
      <c r="X2324" t="s">
        <v>7367</v>
      </c>
      <c r="Z2324" t="s">
        <v>9178</v>
      </c>
      <c r="AB2324" t="s">
        <v>11861</v>
      </c>
      <c r="AC2324">
        <v>42</v>
      </c>
      <c r="AD2324" t="s">
        <v>12422</v>
      </c>
      <c r="AE2324" t="s">
        <v>6110</v>
      </c>
      <c r="AF2324">
        <v>2</v>
      </c>
      <c r="AG2324">
        <v>2</v>
      </c>
      <c r="AH2324">
        <v>0</v>
      </c>
      <c r="AI2324">
        <v>166.46</v>
      </c>
      <c r="AJ2324" t="s">
        <v>12446</v>
      </c>
      <c r="AK2324" t="s">
        <v>12458</v>
      </c>
      <c r="AL2324" t="s">
        <v>12460</v>
      </c>
      <c r="AM2324">
        <v>27400</v>
      </c>
      <c r="AS2324">
        <v>0</v>
      </c>
      <c r="AU2324" t="s">
        <v>13106</v>
      </c>
    </row>
    <row r="2325" spans="1:48">
      <c r="A2325" s="1">
        <f>HYPERLINK("https://cms.ls-nyc.org/matter/dynamic-profile/view/1895385","19-1895385")</f>
        <v>0</v>
      </c>
      <c r="B2325" t="s">
        <v>174</v>
      </c>
      <c r="C2325" t="s">
        <v>247</v>
      </c>
      <c r="E2325" t="s">
        <v>1713</v>
      </c>
      <c r="F2325" t="s">
        <v>3235</v>
      </c>
      <c r="G2325" t="s">
        <v>4354</v>
      </c>
      <c r="H2325" t="s">
        <v>5364</v>
      </c>
      <c r="I2325" t="s">
        <v>6043</v>
      </c>
      <c r="J2325">
        <v>11221</v>
      </c>
      <c r="K2325" t="s">
        <v>6076</v>
      </c>
      <c r="L2325" t="s">
        <v>6076</v>
      </c>
      <c r="N2325" t="s">
        <v>7279</v>
      </c>
      <c r="O2325" t="s">
        <v>7308</v>
      </c>
      <c r="Q2325" t="s">
        <v>7322</v>
      </c>
      <c r="R2325" t="s">
        <v>6074</v>
      </c>
      <c r="S2325" t="s">
        <v>7324</v>
      </c>
      <c r="U2325" t="s">
        <v>247</v>
      </c>
      <c r="V2325">
        <v>763</v>
      </c>
      <c r="W2325" t="s">
        <v>7362</v>
      </c>
      <c r="X2325" t="s">
        <v>7375</v>
      </c>
      <c r="Z2325" t="s">
        <v>9179</v>
      </c>
      <c r="AB2325" t="s">
        <v>11862</v>
      </c>
      <c r="AC2325">
        <v>12</v>
      </c>
      <c r="AD2325" t="s">
        <v>12422</v>
      </c>
      <c r="AE2325" t="s">
        <v>6110</v>
      </c>
      <c r="AF2325">
        <v>10</v>
      </c>
      <c r="AG2325">
        <v>1</v>
      </c>
      <c r="AH2325">
        <v>0</v>
      </c>
      <c r="AI2325">
        <v>166.53</v>
      </c>
      <c r="AL2325" t="s">
        <v>12460</v>
      </c>
      <c r="AM2325">
        <v>20800</v>
      </c>
      <c r="AS2325">
        <v>2</v>
      </c>
      <c r="AT2325" t="s">
        <v>501</v>
      </c>
      <c r="AU2325" t="s">
        <v>218</v>
      </c>
    </row>
    <row r="2326" spans="1:48">
      <c r="A2326" s="1">
        <f>HYPERLINK("https://cms.ls-nyc.org/matter/dynamic-profile/view/1890689","19-1890689")</f>
        <v>0</v>
      </c>
      <c r="B2326" t="s">
        <v>128</v>
      </c>
      <c r="C2326" t="s">
        <v>420</v>
      </c>
      <c r="E2326" t="s">
        <v>966</v>
      </c>
      <c r="F2326" t="s">
        <v>2486</v>
      </c>
      <c r="G2326" t="s">
        <v>4996</v>
      </c>
      <c r="H2326" t="s">
        <v>5395</v>
      </c>
      <c r="I2326" t="s">
        <v>6049</v>
      </c>
      <c r="J2326">
        <v>10034</v>
      </c>
      <c r="K2326" t="s">
        <v>6074</v>
      </c>
      <c r="L2326" t="s">
        <v>6074</v>
      </c>
      <c r="O2326" t="s">
        <v>7306</v>
      </c>
      <c r="Q2326" t="s">
        <v>7322</v>
      </c>
      <c r="R2326" t="s">
        <v>6076</v>
      </c>
      <c r="S2326" t="s">
        <v>7324</v>
      </c>
      <c r="U2326" t="s">
        <v>420</v>
      </c>
      <c r="V2326">
        <v>1125.59</v>
      </c>
      <c r="W2326" t="s">
        <v>7365</v>
      </c>
      <c r="X2326" t="s">
        <v>7367</v>
      </c>
      <c r="Z2326" t="s">
        <v>9180</v>
      </c>
      <c r="AB2326" t="s">
        <v>11863</v>
      </c>
      <c r="AC2326">
        <v>59</v>
      </c>
      <c r="AD2326" t="s">
        <v>12422</v>
      </c>
      <c r="AE2326" t="s">
        <v>6110</v>
      </c>
      <c r="AF2326">
        <v>33</v>
      </c>
      <c r="AG2326">
        <v>1</v>
      </c>
      <c r="AH2326">
        <v>0</v>
      </c>
      <c r="AI2326">
        <v>166.53</v>
      </c>
      <c r="AL2326" t="s">
        <v>12461</v>
      </c>
      <c r="AM2326">
        <v>20800</v>
      </c>
      <c r="AS2326">
        <v>1.4</v>
      </c>
      <c r="AT2326" t="s">
        <v>420</v>
      </c>
      <c r="AU2326" t="s">
        <v>13106</v>
      </c>
      <c r="AV2326" t="s">
        <v>13145</v>
      </c>
    </row>
    <row r="2327" spans="1:48">
      <c r="A2327" s="1">
        <f>HYPERLINK("https://cms.ls-nyc.org/matter/dynamic-profile/view/1873214","18-1873214")</f>
        <v>0</v>
      </c>
      <c r="B2327" t="s">
        <v>119</v>
      </c>
      <c r="C2327" t="s">
        <v>471</v>
      </c>
      <c r="D2327" t="s">
        <v>563</v>
      </c>
      <c r="E2327" t="s">
        <v>1714</v>
      </c>
      <c r="F2327" t="s">
        <v>3236</v>
      </c>
      <c r="G2327" t="s">
        <v>4034</v>
      </c>
      <c r="H2327" t="s">
        <v>5481</v>
      </c>
      <c r="I2327" t="s">
        <v>6048</v>
      </c>
      <c r="J2327">
        <v>10304</v>
      </c>
      <c r="K2327" t="s">
        <v>6074</v>
      </c>
      <c r="L2327" t="s">
        <v>6074</v>
      </c>
      <c r="M2327" t="s">
        <v>7031</v>
      </c>
      <c r="N2327" t="s">
        <v>7276</v>
      </c>
      <c r="O2327" t="s">
        <v>7308</v>
      </c>
      <c r="P2327" t="s">
        <v>7316</v>
      </c>
      <c r="Q2327" t="s">
        <v>7322</v>
      </c>
      <c r="R2327" t="s">
        <v>6076</v>
      </c>
      <c r="S2327" t="s">
        <v>7324</v>
      </c>
      <c r="T2327" t="s">
        <v>7336</v>
      </c>
      <c r="U2327" t="s">
        <v>471</v>
      </c>
      <c r="V2327">
        <v>1307.97</v>
      </c>
      <c r="W2327" t="s">
        <v>7364</v>
      </c>
      <c r="X2327" t="s">
        <v>7368</v>
      </c>
      <c r="Y2327" t="s">
        <v>7388</v>
      </c>
      <c r="Z2327" t="s">
        <v>9181</v>
      </c>
      <c r="AB2327" t="s">
        <v>11864</v>
      </c>
      <c r="AC2327">
        <v>85</v>
      </c>
      <c r="AD2327" t="s">
        <v>12422</v>
      </c>
      <c r="AE2327" t="s">
        <v>6110</v>
      </c>
      <c r="AF2327">
        <v>6</v>
      </c>
      <c r="AG2327">
        <v>2</v>
      </c>
      <c r="AH2327">
        <v>0</v>
      </c>
      <c r="AI2327">
        <v>166.71</v>
      </c>
      <c r="AL2327" t="s">
        <v>12460</v>
      </c>
      <c r="AM2327">
        <v>27441.2</v>
      </c>
      <c r="AO2327" t="s">
        <v>12846</v>
      </c>
      <c r="AP2327" t="s">
        <v>12870</v>
      </c>
      <c r="AQ2327" t="s">
        <v>12909</v>
      </c>
      <c r="AR2327" t="s">
        <v>13041</v>
      </c>
      <c r="AS2327">
        <v>14.6</v>
      </c>
      <c r="AT2327" t="s">
        <v>272</v>
      </c>
      <c r="AU2327" t="s">
        <v>210</v>
      </c>
    </row>
    <row r="2328" spans="1:48">
      <c r="A2328" s="1">
        <f>HYPERLINK("https://cms.ls-nyc.org/matter/dynamic-profile/view/1890637","19-1890637")</f>
        <v>0</v>
      </c>
      <c r="B2328" t="s">
        <v>72</v>
      </c>
      <c r="C2328" t="s">
        <v>448</v>
      </c>
      <c r="E2328" t="s">
        <v>630</v>
      </c>
      <c r="F2328" t="s">
        <v>3237</v>
      </c>
      <c r="G2328" t="s">
        <v>3701</v>
      </c>
      <c r="H2328" t="s">
        <v>5725</v>
      </c>
      <c r="I2328" t="s">
        <v>6043</v>
      </c>
      <c r="J2328">
        <v>11233</v>
      </c>
      <c r="K2328" t="s">
        <v>6074</v>
      </c>
      <c r="L2328" t="s">
        <v>6076</v>
      </c>
      <c r="N2328" t="s">
        <v>7279</v>
      </c>
      <c r="O2328" t="s">
        <v>7311</v>
      </c>
      <c r="Q2328" t="s">
        <v>7322</v>
      </c>
      <c r="R2328" t="s">
        <v>6074</v>
      </c>
      <c r="S2328" t="s">
        <v>7324</v>
      </c>
      <c r="T2328" t="s">
        <v>7336</v>
      </c>
      <c r="U2328" t="s">
        <v>330</v>
      </c>
      <c r="V2328">
        <v>1148.69</v>
      </c>
      <c r="W2328" t="s">
        <v>7362</v>
      </c>
      <c r="X2328" t="s">
        <v>7305</v>
      </c>
      <c r="Z2328" t="s">
        <v>9182</v>
      </c>
      <c r="AC2328">
        <v>359</v>
      </c>
      <c r="AD2328" t="s">
        <v>12422</v>
      </c>
      <c r="AE2328" t="s">
        <v>6110</v>
      </c>
      <c r="AF2328">
        <v>34</v>
      </c>
      <c r="AG2328">
        <v>1</v>
      </c>
      <c r="AH2328">
        <v>0</v>
      </c>
      <c r="AI2328">
        <v>166.73</v>
      </c>
      <c r="AL2328" t="s">
        <v>12460</v>
      </c>
      <c r="AM2328">
        <v>20824.62</v>
      </c>
      <c r="AN2328" t="s">
        <v>12488</v>
      </c>
      <c r="AS2328">
        <v>0</v>
      </c>
      <c r="AU2328" t="s">
        <v>180</v>
      </c>
    </row>
    <row r="2329" spans="1:48">
      <c r="A2329" s="1">
        <f>HYPERLINK("https://cms.ls-nyc.org/matter/dynamic-profile/view/1891624","19-1891624")</f>
        <v>0</v>
      </c>
      <c r="B2329" t="s">
        <v>72</v>
      </c>
      <c r="C2329" t="s">
        <v>364</v>
      </c>
      <c r="E2329" t="s">
        <v>630</v>
      </c>
      <c r="F2329" t="s">
        <v>3237</v>
      </c>
      <c r="G2329" t="s">
        <v>3701</v>
      </c>
      <c r="H2329" t="s">
        <v>5725</v>
      </c>
      <c r="I2329" t="s">
        <v>6043</v>
      </c>
      <c r="J2329">
        <v>11233</v>
      </c>
      <c r="K2329" t="s">
        <v>6074</v>
      </c>
      <c r="L2329" t="s">
        <v>6076</v>
      </c>
      <c r="N2329" t="s">
        <v>7275</v>
      </c>
      <c r="O2329" t="s">
        <v>7307</v>
      </c>
      <c r="Q2329" t="s">
        <v>7322</v>
      </c>
      <c r="R2329" t="s">
        <v>6074</v>
      </c>
      <c r="S2329" t="s">
        <v>7324</v>
      </c>
      <c r="T2329" t="s">
        <v>7336</v>
      </c>
      <c r="U2329" t="s">
        <v>287</v>
      </c>
      <c r="V2329">
        <v>1148.69</v>
      </c>
      <c r="W2329" t="s">
        <v>7362</v>
      </c>
      <c r="X2329" t="s">
        <v>7305</v>
      </c>
      <c r="Z2329" t="s">
        <v>9182</v>
      </c>
      <c r="AC2329">
        <v>359</v>
      </c>
      <c r="AD2329" t="s">
        <v>12422</v>
      </c>
      <c r="AE2329" t="s">
        <v>6110</v>
      </c>
      <c r="AF2329">
        <v>34</v>
      </c>
      <c r="AG2329">
        <v>1</v>
      </c>
      <c r="AH2329">
        <v>0</v>
      </c>
      <c r="AI2329">
        <v>166.73</v>
      </c>
      <c r="AL2329" t="s">
        <v>12460</v>
      </c>
      <c r="AM2329">
        <v>20824.62</v>
      </c>
      <c r="AN2329" t="s">
        <v>12676</v>
      </c>
      <c r="AS2329">
        <v>0</v>
      </c>
      <c r="AU2329" t="s">
        <v>180</v>
      </c>
    </row>
    <row r="2330" spans="1:48">
      <c r="A2330" s="1">
        <f>HYPERLINK("https://cms.ls-nyc.org/matter/dynamic-profile/view/1895803","19-1895803")</f>
        <v>0</v>
      </c>
      <c r="B2330" t="s">
        <v>54</v>
      </c>
      <c r="C2330" t="s">
        <v>315</v>
      </c>
      <c r="E2330" t="s">
        <v>567</v>
      </c>
      <c r="F2330" t="s">
        <v>2436</v>
      </c>
      <c r="G2330" t="s">
        <v>4997</v>
      </c>
      <c r="I2330" t="s">
        <v>6025</v>
      </c>
      <c r="J2330">
        <v>11691</v>
      </c>
      <c r="K2330" t="s">
        <v>6074</v>
      </c>
      <c r="L2330" t="s">
        <v>6074</v>
      </c>
      <c r="N2330" t="s">
        <v>7278</v>
      </c>
      <c r="O2330" t="s">
        <v>7311</v>
      </c>
      <c r="Q2330" t="s">
        <v>7322</v>
      </c>
      <c r="R2330" t="s">
        <v>6074</v>
      </c>
      <c r="S2330" t="s">
        <v>7324</v>
      </c>
      <c r="U2330" t="s">
        <v>315</v>
      </c>
      <c r="V2330">
        <v>475</v>
      </c>
      <c r="W2330" t="s">
        <v>7361</v>
      </c>
      <c r="Z2330" t="s">
        <v>9183</v>
      </c>
      <c r="AB2330" t="s">
        <v>11865</v>
      </c>
      <c r="AC2330">
        <v>43</v>
      </c>
      <c r="AF2330">
        <v>4</v>
      </c>
      <c r="AG2330">
        <v>2</v>
      </c>
      <c r="AH2330">
        <v>0</v>
      </c>
      <c r="AI2330">
        <v>166.77</v>
      </c>
      <c r="AL2330" t="s">
        <v>12460</v>
      </c>
      <c r="AM2330">
        <v>28200</v>
      </c>
      <c r="AS2330">
        <v>0</v>
      </c>
      <c r="AU2330" t="s">
        <v>13078</v>
      </c>
    </row>
    <row r="2331" spans="1:48">
      <c r="A2331" s="1">
        <f>HYPERLINK("https://cms.ls-nyc.org/matter/dynamic-profile/view/1895808","19-1895808")</f>
        <v>0</v>
      </c>
      <c r="B2331" t="s">
        <v>54</v>
      </c>
      <c r="C2331" t="s">
        <v>315</v>
      </c>
      <c r="E2331" t="s">
        <v>567</v>
      </c>
      <c r="F2331" t="s">
        <v>2436</v>
      </c>
      <c r="G2331" t="s">
        <v>4997</v>
      </c>
      <c r="H2331">
        <v>4</v>
      </c>
      <c r="I2331" t="s">
        <v>6025</v>
      </c>
      <c r="J2331">
        <v>11691</v>
      </c>
      <c r="K2331" t="s">
        <v>6074</v>
      </c>
      <c r="L2331" t="s">
        <v>6074</v>
      </c>
      <c r="N2331" t="s">
        <v>7278</v>
      </c>
      <c r="O2331" t="s">
        <v>7307</v>
      </c>
      <c r="Q2331" t="s">
        <v>7322</v>
      </c>
      <c r="R2331" t="s">
        <v>6074</v>
      </c>
      <c r="S2331" t="s">
        <v>7324</v>
      </c>
      <c r="U2331" t="s">
        <v>315</v>
      </c>
      <c r="V2331">
        <v>475</v>
      </c>
      <c r="W2331" t="s">
        <v>7361</v>
      </c>
      <c r="X2331" t="s">
        <v>7375</v>
      </c>
      <c r="Z2331" t="s">
        <v>9183</v>
      </c>
      <c r="AB2331" t="s">
        <v>11865</v>
      </c>
      <c r="AC2331">
        <v>43</v>
      </c>
      <c r="AF2331">
        <v>4</v>
      </c>
      <c r="AG2331">
        <v>2</v>
      </c>
      <c r="AH2331">
        <v>0</v>
      </c>
      <c r="AI2331">
        <v>166.77</v>
      </c>
      <c r="AL2331" t="s">
        <v>12460</v>
      </c>
      <c r="AM2331">
        <v>28200</v>
      </c>
      <c r="AS2331">
        <v>0</v>
      </c>
      <c r="AU2331" t="s">
        <v>13078</v>
      </c>
    </row>
    <row r="2332" spans="1:48">
      <c r="A2332" s="1">
        <f>HYPERLINK("https://cms.ls-nyc.org/matter/dynamic-profile/view/1892495","19-1892495")</f>
        <v>0</v>
      </c>
      <c r="B2332" t="s">
        <v>148</v>
      </c>
      <c r="C2332" t="s">
        <v>277</v>
      </c>
      <c r="E2332" t="s">
        <v>1715</v>
      </c>
      <c r="F2332" t="s">
        <v>3238</v>
      </c>
      <c r="G2332" t="s">
        <v>4998</v>
      </c>
      <c r="H2332" t="s">
        <v>5436</v>
      </c>
      <c r="I2332" t="s">
        <v>6043</v>
      </c>
      <c r="J2332">
        <v>11213</v>
      </c>
      <c r="K2332" t="s">
        <v>6074</v>
      </c>
      <c r="L2332" t="s">
        <v>6074</v>
      </c>
      <c r="M2332" t="s">
        <v>6104</v>
      </c>
      <c r="O2332" t="s">
        <v>7306</v>
      </c>
      <c r="Q2332" t="s">
        <v>7322</v>
      </c>
      <c r="R2332" t="s">
        <v>6076</v>
      </c>
      <c r="S2332" t="s">
        <v>7324</v>
      </c>
      <c r="U2332" t="s">
        <v>337</v>
      </c>
      <c r="V2332">
        <v>0</v>
      </c>
      <c r="W2332" t="s">
        <v>7362</v>
      </c>
      <c r="X2332" t="s">
        <v>7305</v>
      </c>
      <c r="Z2332" t="s">
        <v>9184</v>
      </c>
      <c r="AC2332">
        <v>6</v>
      </c>
      <c r="AD2332" t="s">
        <v>12422</v>
      </c>
      <c r="AE2332" t="s">
        <v>6110</v>
      </c>
      <c r="AF2332">
        <v>0</v>
      </c>
      <c r="AG2332">
        <v>3</v>
      </c>
      <c r="AH2332">
        <v>0</v>
      </c>
      <c r="AI2332">
        <v>166.9</v>
      </c>
      <c r="AL2332" t="s">
        <v>12460</v>
      </c>
      <c r="AM2332">
        <v>35600</v>
      </c>
      <c r="AS2332">
        <v>0</v>
      </c>
      <c r="AU2332" t="s">
        <v>180</v>
      </c>
    </row>
    <row r="2333" spans="1:48">
      <c r="A2333" s="1">
        <f>HYPERLINK("https://cms.ls-nyc.org/matter/dynamic-profile/view/1897550","19-1897550")</f>
        <v>0</v>
      </c>
      <c r="B2333" t="s">
        <v>126</v>
      </c>
      <c r="C2333" t="s">
        <v>424</v>
      </c>
      <c r="E2333" t="s">
        <v>760</v>
      </c>
      <c r="F2333" t="s">
        <v>2083</v>
      </c>
      <c r="G2333" t="s">
        <v>4479</v>
      </c>
      <c r="H2333" t="s">
        <v>5390</v>
      </c>
      <c r="I2333" t="s">
        <v>6049</v>
      </c>
      <c r="J2333">
        <v>10035</v>
      </c>
      <c r="K2333" t="s">
        <v>6074</v>
      </c>
      <c r="L2333" t="s">
        <v>6074</v>
      </c>
      <c r="N2333" t="s">
        <v>6104</v>
      </c>
      <c r="O2333" t="s">
        <v>7307</v>
      </c>
      <c r="Q2333" t="s">
        <v>7322</v>
      </c>
      <c r="R2333" t="s">
        <v>6074</v>
      </c>
      <c r="S2333" t="s">
        <v>7324</v>
      </c>
      <c r="T2333" t="s">
        <v>7336</v>
      </c>
      <c r="U2333" t="s">
        <v>279</v>
      </c>
      <c r="V2333">
        <v>1051</v>
      </c>
      <c r="W2333" t="s">
        <v>7365</v>
      </c>
      <c r="X2333" t="s">
        <v>7378</v>
      </c>
      <c r="Z2333" t="s">
        <v>9185</v>
      </c>
      <c r="AB2333" t="s">
        <v>11866</v>
      </c>
      <c r="AC2333">
        <v>60</v>
      </c>
      <c r="AD2333" t="s">
        <v>12422</v>
      </c>
      <c r="AE2333" t="s">
        <v>6110</v>
      </c>
      <c r="AF2333">
        <v>14</v>
      </c>
      <c r="AG2333">
        <v>3</v>
      </c>
      <c r="AH2333">
        <v>1</v>
      </c>
      <c r="AI2333">
        <v>166.99</v>
      </c>
      <c r="AL2333" t="s">
        <v>12460</v>
      </c>
      <c r="AM2333">
        <v>43000</v>
      </c>
      <c r="AS2333">
        <v>0</v>
      </c>
      <c r="AU2333" t="s">
        <v>13107</v>
      </c>
    </row>
    <row r="2334" spans="1:48">
      <c r="A2334" s="1">
        <f>HYPERLINK("https://cms.ls-nyc.org/matter/dynamic-profile/view/1895463","19-1895463")</f>
        <v>0</v>
      </c>
      <c r="B2334" t="s">
        <v>78</v>
      </c>
      <c r="C2334" t="s">
        <v>457</v>
      </c>
      <c r="E2334" t="s">
        <v>828</v>
      </c>
      <c r="F2334" t="s">
        <v>3239</v>
      </c>
      <c r="G2334" t="s">
        <v>3866</v>
      </c>
      <c r="H2334" t="s">
        <v>5372</v>
      </c>
      <c r="I2334" t="s">
        <v>6043</v>
      </c>
      <c r="J2334">
        <v>11206</v>
      </c>
      <c r="K2334" t="s">
        <v>6074</v>
      </c>
      <c r="L2334" t="s">
        <v>6074</v>
      </c>
      <c r="M2334" t="s">
        <v>6806</v>
      </c>
      <c r="N2334" t="s">
        <v>7279</v>
      </c>
      <c r="O2334" t="s">
        <v>7309</v>
      </c>
      <c r="Q2334" t="s">
        <v>7322</v>
      </c>
      <c r="R2334" t="s">
        <v>6074</v>
      </c>
      <c r="S2334" t="s">
        <v>7324</v>
      </c>
      <c r="U2334" t="s">
        <v>405</v>
      </c>
      <c r="V2334">
        <v>872.36</v>
      </c>
      <c r="W2334" t="s">
        <v>7362</v>
      </c>
      <c r="X2334" t="s">
        <v>7375</v>
      </c>
      <c r="Z2334" t="s">
        <v>9186</v>
      </c>
      <c r="AB2334" t="s">
        <v>11867</v>
      </c>
      <c r="AC2334">
        <v>8</v>
      </c>
      <c r="AE2334" t="s">
        <v>6110</v>
      </c>
      <c r="AF2334">
        <v>0</v>
      </c>
      <c r="AG2334">
        <v>1</v>
      </c>
      <c r="AH2334">
        <v>0</v>
      </c>
      <c r="AI2334">
        <v>167.17</v>
      </c>
      <c r="AL2334" t="s">
        <v>12460</v>
      </c>
      <c r="AM2334">
        <v>20880</v>
      </c>
      <c r="AN2334" t="s">
        <v>12677</v>
      </c>
      <c r="AS2334">
        <v>0.1</v>
      </c>
      <c r="AT2334" t="s">
        <v>324</v>
      </c>
      <c r="AU2334" t="s">
        <v>180</v>
      </c>
      <c r="AV2334" t="s">
        <v>13145</v>
      </c>
    </row>
    <row r="2335" spans="1:48">
      <c r="A2335" s="1">
        <f>HYPERLINK("https://cms.ls-nyc.org/matter/dynamic-profile/view/1895477","19-1895477")</f>
        <v>0</v>
      </c>
      <c r="B2335" t="s">
        <v>78</v>
      </c>
      <c r="C2335" t="s">
        <v>457</v>
      </c>
      <c r="E2335" t="s">
        <v>828</v>
      </c>
      <c r="F2335" t="s">
        <v>3239</v>
      </c>
      <c r="G2335" t="s">
        <v>3866</v>
      </c>
      <c r="H2335" t="s">
        <v>5372</v>
      </c>
      <c r="I2335" t="s">
        <v>6043</v>
      </c>
      <c r="J2335">
        <v>11206</v>
      </c>
      <c r="K2335" t="s">
        <v>6074</v>
      </c>
      <c r="L2335" t="s">
        <v>6074</v>
      </c>
      <c r="M2335" t="s">
        <v>6081</v>
      </c>
      <c r="N2335" t="s">
        <v>6104</v>
      </c>
      <c r="O2335" t="s">
        <v>7307</v>
      </c>
      <c r="Q2335" t="s">
        <v>7322</v>
      </c>
      <c r="R2335" t="s">
        <v>6074</v>
      </c>
      <c r="S2335" t="s">
        <v>7324</v>
      </c>
      <c r="U2335" t="s">
        <v>247</v>
      </c>
      <c r="V2335">
        <v>872.36</v>
      </c>
      <c r="W2335" t="s">
        <v>7362</v>
      </c>
      <c r="X2335" t="s">
        <v>7375</v>
      </c>
      <c r="Z2335" t="s">
        <v>9186</v>
      </c>
      <c r="AB2335" t="s">
        <v>11867</v>
      </c>
      <c r="AC2335">
        <v>8</v>
      </c>
      <c r="AD2335" t="s">
        <v>12422</v>
      </c>
      <c r="AE2335" t="s">
        <v>6110</v>
      </c>
      <c r="AF2335">
        <v>0</v>
      </c>
      <c r="AG2335">
        <v>1</v>
      </c>
      <c r="AH2335">
        <v>0</v>
      </c>
      <c r="AI2335">
        <v>167.17</v>
      </c>
      <c r="AL2335" t="s">
        <v>12460</v>
      </c>
      <c r="AM2335">
        <v>20880</v>
      </c>
      <c r="AN2335" t="s">
        <v>12677</v>
      </c>
      <c r="AS2335">
        <v>0.1</v>
      </c>
      <c r="AT2335" t="s">
        <v>381</v>
      </c>
      <c r="AU2335" t="s">
        <v>180</v>
      </c>
    </row>
    <row r="2336" spans="1:48">
      <c r="A2336" s="1">
        <f>HYPERLINK("https://cms.ls-nyc.org/matter/dynamic-profile/view/1871927","18-1871927")</f>
        <v>0</v>
      </c>
      <c r="B2336" t="s">
        <v>96</v>
      </c>
      <c r="C2336" t="s">
        <v>388</v>
      </c>
      <c r="D2336" t="s">
        <v>409</v>
      </c>
      <c r="E2336" t="s">
        <v>636</v>
      </c>
      <c r="F2336" t="s">
        <v>3240</v>
      </c>
      <c r="G2336" t="s">
        <v>4999</v>
      </c>
      <c r="H2336" t="s">
        <v>5398</v>
      </c>
      <c r="I2336" t="s">
        <v>6047</v>
      </c>
      <c r="J2336">
        <v>10468</v>
      </c>
      <c r="K2336" t="s">
        <v>6074</v>
      </c>
      <c r="L2336" t="s">
        <v>6074</v>
      </c>
      <c r="N2336" t="s">
        <v>7276</v>
      </c>
      <c r="O2336" t="s">
        <v>7306</v>
      </c>
      <c r="P2336" t="s">
        <v>7314</v>
      </c>
      <c r="Q2336" t="s">
        <v>7322</v>
      </c>
      <c r="R2336" t="s">
        <v>6076</v>
      </c>
      <c r="S2336" t="s">
        <v>7324</v>
      </c>
      <c r="T2336" t="s">
        <v>7336</v>
      </c>
      <c r="U2336" t="s">
        <v>388</v>
      </c>
      <c r="V2336">
        <v>1227</v>
      </c>
      <c r="W2336" t="s">
        <v>7363</v>
      </c>
      <c r="X2336" t="s">
        <v>7376</v>
      </c>
      <c r="Y2336" t="s">
        <v>7386</v>
      </c>
      <c r="Z2336" t="s">
        <v>7673</v>
      </c>
      <c r="AB2336" t="s">
        <v>11868</v>
      </c>
      <c r="AC2336">
        <v>0</v>
      </c>
      <c r="AD2336" t="s">
        <v>6322</v>
      </c>
      <c r="AE2336" t="s">
        <v>6110</v>
      </c>
      <c r="AF2336">
        <v>16</v>
      </c>
      <c r="AG2336">
        <v>1</v>
      </c>
      <c r="AH2336">
        <v>1</v>
      </c>
      <c r="AI2336">
        <v>167.22</v>
      </c>
      <c r="AL2336" t="s">
        <v>12460</v>
      </c>
      <c r="AM2336">
        <v>27524</v>
      </c>
      <c r="AS2336">
        <v>0.6</v>
      </c>
      <c r="AT2336" t="s">
        <v>409</v>
      </c>
      <c r="AU2336" t="s">
        <v>13092</v>
      </c>
    </row>
    <row r="2337" spans="1:48">
      <c r="A2337" s="1">
        <f>HYPERLINK("https://cms.ls-nyc.org/matter/dynamic-profile/view/1882015","18-1882015")</f>
        <v>0</v>
      </c>
      <c r="B2337" t="s">
        <v>128</v>
      </c>
      <c r="C2337" t="s">
        <v>350</v>
      </c>
      <c r="E2337" t="s">
        <v>1716</v>
      </c>
      <c r="F2337" t="s">
        <v>3241</v>
      </c>
      <c r="G2337" t="s">
        <v>5000</v>
      </c>
      <c r="H2337">
        <v>106</v>
      </c>
      <c r="I2337" t="s">
        <v>6049</v>
      </c>
      <c r="J2337">
        <v>10034</v>
      </c>
      <c r="K2337" t="s">
        <v>6074</v>
      </c>
      <c r="L2337" t="s">
        <v>6074</v>
      </c>
      <c r="N2337" t="s">
        <v>7283</v>
      </c>
      <c r="O2337" t="s">
        <v>7309</v>
      </c>
      <c r="Q2337" t="s">
        <v>7322</v>
      </c>
      <c r="R2337" t="s">
        <v>6076</v>
      </c>
      <c r="S2337" t="s">
        <v>7324</v>
      </c>
      <c r="U2337" t="s">
        <v>350</v>
      </c>
      <c r="V2337">
        <v>1092</v>
      </c>
      <c r="W2337" t="s">
        <v>7365</v>
      </c>
      <c r="X2337" t="s">
        <v>7368</v>
      </c>
      <c r="Z2337" t="s">
        <v>9187</v>
      </c>
      <c r="AB2337" t="s">
        <v>11869</v>
      </c>
      <c r="AC2337">
        <v>88</v>
      </c>
      <c r="AD2337" t="s">
        <v>12422</v>
      </c>
      <c r="AE2337" t="s">
        <v>6110</v>
      </c>
      <c r="AF2337">
        <v>9</v>
      </c>
      <c r="AG2337">
        <v>3</v>
      </c>
      <c r="AH2337">
        <v>0</v>
      </c>
      <c r="AI2337">
        <v>167.47</v>
      </c>
      <c r="AL2337" t="s">
        <v>12460</v>
      </c>
      <c r="AM2337">
        <v>34800</v>
      </c>
      <c r="AS2337">
        <v>9.5</v>
      </c>
      <c r="AT2337" t="s">
        <v>423</v>
      </c>
      <c r="AU2337" t="s">
        <v>13106</v>
      </c>
    </row>
    <row r="2338" spans="1:48">
      <c r="A2338" s="1">
        <f>HYPERLINK("https://cms.ls-nyc.org/matter/dynamic-profile/view/1876512","18-1876512")</f>
        <v>0</v>
      </c>
      <c r="B2338" t="s">
        <v>89</v>
      </c>
      <c r="C2338" t="s">
        <v>401</v>
      </c>
      <c r="E2338" t="s">
        <v>637</v>
      </c>
      <c r="F2338" t="s">
        <v>2173</v>
      </c>
      <c r="G2338" t="s">
        <v>4982</v>
      </c>
      <c r="H2338" t="s">
        <v>5471</v>
      </c>
      <c r="I2338" t="s">
        <v>6043</v>
      </c>
      <c r="J2338">
        <v>11213</v>
      </c>
      <c r="K2338" t="s">
        <v>6074</v>
      </c>
      <c r="L2338" t="s">
        <v>6074</v>
      </c>
      <c r="M2338" t="s">
        <v>7032</v>
      </c>
      <c r="N2338" t="s">
        <v>7273</v>
      </c>
      <c r="O2338" t="s">
        <v>7308</v>
      </c>
      <c r="Q2338" t="s">
        <v>7322</v>
      </c>
      <c r="R2338" t="s">
        <v>6074</v>
      </c>
      <c r="S2338" t="s">
        <v>7324</v>
      </c>
      <c r="U2338" t="s">
        <v>253</v>
      </c>
      <c r="V2338">
        <v>905.59</v>
      </c>
      <c r="W2338" t="s">
        <v>7362</v>
      </c>
      <c r="X2338" t="s">
        <v>7376</v>
      </c>
      <c r="Z2338" t="s">
        <v>9155</v>
      </c>
      <c r="AB2338" t="s">
        <v>11842</v>
      </c>
      <c r="AC2338">
        <v>34</v>
      </c>
      <c r="AD2338" t="s">
        <v>12422</v>
      </c>
      <c r="AE2338" t="s">
        <v>6110</v>
      </c>
      <c r="AF2338">
        <v>25</v>
      </c>
      <c r="AG2338">
        <v>2</v>
      </c>
      <c r="AH2338">
        <v>0</v>
      </c>
      <c r="AI2338">
        <v>167.68</v>
      </c>
      <c r="AL2338" t="s">
        <v>12461</v>
      </c>
      <c r="AM2338">
        <v>27600</v>
      </c>
      <c r="AN2338" t="s">
        <v>12505</v>
      </c>
      <c r="AS2338">
        <v>0.1</v>
      </c>
      <c r="AT2338" t="s">
        <v>260</v>
      </c>
      <c r="AU2338" t="s">
        <v>218</v>
      </c>
      <c r="AV2338" t="s">
        <v>13145</v>
      </c>
    </row>
    <row r="2339" spans="1:48">
      <c r="A2339" s="1">
        <f>HYPERLINK("https://cms.ls-nyc.org/matter/dynamic-profile/view/1884560","18-1884560")</f>
        <v>0</v>
      </c>
      <c r="B2339" t="s">
        <v>103</v>
      </c>
      <c r="C2339" t="s">
        <v>239</v>
      </c>
      <c r="E2339" t="s">
        <v>699</v>
      </c>
      <c r="F2339" t="s">
        <v>2356</v>
      </c>
      <c r="G2339" t="s">
        <v>3810</v>
      </c>
      <c r="H2339" t="s">
        <v>5862</v>
      </c>
      <c r="I2339" t="s">
        <v>6047</v>
      </c>
      <c r="J2339">
        <v>10451</v>
      </c>
      <c r="K2339" t="s">
        <v>6074</v>
      </c>
      <c r="L2339" t="s">
        <v>6074</v>
      </c>
      <c r="M2339" t="s">
        <v>6201</v>
      </c>
      <c r="N2339" t="s">
        <v>7273</v>
      </c>
      <c r="O2339" t="s">
        <v>7308</v>
      </c>
      <c r="Q2339" t="s">
        <v>7322</v>
      </c>
      <c r="R2339" t="s">
        <v>6074</v>
      </c>
      <c r="S2339" t="s">
        <v>7324</v>
      </c>
      <c r="U2339" t="s">
        <v>472</v>
      </c>
      <c r="V2339">
        <v>1570</v>
      </c>
      <c r="W2339" t="s">
        <v>7363</v>
      </c>
      <c r="X2339" t="s">
        <v>7376</v>
      </c>
      <c r="Z2339" t="s">
        <v>9188</v>
      </c>
      <c r="AB2339" t="s">
        <v>11870</v>
      </c>
      <c r="AC2339">
        <v>100</v>
      </c>
      <c r="AD2339" t="s">
        <v>12422</v>
      </c>
      <c r="AE2339" t="s">
        <v>12434</v>
      </c>
      <c r="AF2339">
        <v>41</v>
      </c>
      <c r="AG2339">
        <v>2</v>
      </c>
      <c r="AH2339">
        <v>0</v>
      </c>
      <c r="AI2339">
        <v>167.68</v>
      </c>
      <c r="AL2339" t="s">
        <v>12461</v>
      </c>
      <c r="AM2339">
        <v>27600</v>
      </c>
      <c r="AS2339">
        <v>0</v>
      </c>
      <c r="AU2339" t="s">
        <v>13095</v>
      </c>
    </row>
    <row r="2340" spans="1:48">
      <c r="A2340" s="1">
        <f>HYPERLINK("https://cms.ls-nyc.org/matter/dynamic-profile/view/1894159","19-1894159")</f>
        <v>0</v>
      </c>
      <c r="B2340" t="s">
        <v>101</v>
      </c>
      <c r="C2340" t="s">
        <v>469</v>
      </c>
      <c r="E2340" t="s">
        <v>1717</v>
      </c>
      <c r="F2340" t="s">
        <v>2390</v>
      </c>
      <c r="G2340" t="s">
        <v>3939</v>
      </c>
      <c r="H2340" t="s">
        <v>5446</v>
      </c>
      <c r="I2340" t="s">
        <v>6047</v>
      </c>
      <c r="J2340">
        <v>10456</v>
      </c>
      <c r="K2340" t="s">
        <v>6074</v>
      </c>
      <c r="L2340" t="s">
        <v>6074</v>
      </c>
      <c r="N2340" t="s">
        <v>7279</v>
      </c>
      <c r="O2340" t="s">
        <v>7311</v>
      </c>
      <c r="Q2340" t="s">
        <v>7322</v>
      </c>
      <c r="R2340" t="s">
        <v>6074</v>
      </c>
      <c r="S2340" t="s">
        <v>7324</v>
      </c>
      <c r="U2340" t="s">
        <v>457</v>
      </c>
      <c r="V2340">
        <v>1404.38</v>
      </c>
      <c r="W2340" t="s">
        <v>7363</v>
      </c>
      <c r="X2340" t="s">
        <v>7376</v>
      </c>
      <c r="Z2340" t="s">
        <v>9189</v>
      </c>
      <c r="AB2340" t="s">
        <v>11871</v>
      </c>
      <c r="AC2340">
        <v>131</v>
      </c>
      <c r="AD2340" t="s">
        <v>12422</v>
      </c>
      <c r="AE2340" t="s">
        <v>6110</v>
      </c>
      <c r="AF2340">
        <v>4</v>
      </c>
      <c r="AG2340">
        <v>1</v>
      </c>
      <c r="AH2340">
        <v>1</v>
      </c>
      <c r="AI2340">
        <v>167.9</v>
      </c>
      <c r="AL2340" t="s">
        <v>12461</v>
      </c>
      <c r="AM2340">
        <v>28392</v>
      </c>
      <c r="AS2340">
        <v>0</v>
      </c>
      <c r="AU2340" t="s">
        <v>13099</v>
      </c>
    </row>
    <row r="2341" spans="1:48">
      <c r="A2341" s="1">
        <f>HYPERLINK("https://cms.ls-nyc.org/matter/dynamic-profile/view/1880323","18-1880323")</f>
        <v>0</v>
      </c>
      <c r="B2341" t="s">
        <v>69</v>
      </c>
      <c r="C2341" t="s">
        <v>354</v>
      </c>
      <c r="D2341" t="s">
        <v>413</v>
      </c>
      <c r="E2341" t="s">
        <v>619</v>
      </c>
      <c r="F2341" t="s">
        <v>3242</v>
      </c>
      <c r="G2341" t="s">
        <v>5001</v>
      </c>
      <c r="H2341" t="s">
        <v>5495</v>
      </c>
      <c r="I2341" t="s">
        <v>6043</v>
      </c>
      <c r="J2341">
        <v>11217</v>
      </c>
      <c r="K2341" t="s">
        <v>6076</v>
      </c>
      <c r="L2341" t="s">
        <v>6076</v>
      </c>
      <c r="O2341" t="s">
        <v>7306</v>
      </c>
      <c r="P2341" t="s">
        <v>7314</v>
      </c>
      <c r="Q2341" t="s">
        <v>7322</v>
      </c>
      <c r="S2341" t="s">
        <v>7324</v>
      </c>
      <c r="U2341" t="s">
        <v>354</v>
      </c>
      <c r="V2341">
        <v>1489</v>
      </c>
      <c r="W2341" t="s">
        <v>7362</v>
      </c>
      <c r="Y2341" t="s">
        <v>7386</v>
      </c>
      <c r="Z2341" t="s">
        <v>9190</v>
      </c>
      <c r="AB2341" t="s">
        <v>11872</v>
      </c>
      <c r="AC2341">
        <v>212</v>
      </c>
      <c r="AF2341">
        <v>5</v>
      </c>
      <c r="AG2341">
        <v>1</v>
      </c>
      <c r="AH2341">
        <v>0</v>
      </c>
      <c r="AI2341">
        <v>168.04</v>
      </c>
      <c r="AL2341" t="s">
        <v>12460</v>
      </c>
      <c r="AM2341">
        <v>20400</v>
      </c>
      <c r="AS2341">
        <v>3.7</v>
      </c>
      <c r="AT2341" t="s">
        <v>413</v>
      </c>
      <c r="AU2341" t="s">
        <v>69</v>
      </c>
    </row>
    <row r="2342" spans="1:48">
      <c r="A2342" s="1">
        <f>HYPERLINK("https://cms.ls-nyc.org/matter/dynamic-profile/view/1891682","19-1891682")</f>
        <v>0</v>
      </c>
      <c r="B2342" t="s">
        <v>96</v>
      </c>
      <c r="C2342" t="s">
        <v>452</v>
      </c>
      <c r="E2342" t="s">
        <v>1718</v>
      </c>
      <c r="F2342" t="s">
        <v>646</v>
      </c>
      <c r="G2342" t="s">
        <v>3792</v>
      </c>
      <c r="H2342" t="s">
        <v>5672</v>
      </c>
      <c r="I2342" t="s">
        <v>6047</v>
      </c>
      <c r="J2342">
        <v>10453</v>
      </c>
      <c r="K2342" t="s">
        <v>6074</v>
      </c>
      <c r="L2342" t="s">
        <v>6074</v>
      </c>
      <c r="M2342" t="s">
        <v>6259</v>
      </c>
      <c r="N2342" t="s">
        <v>7273</v>
      </c>
      <c r="O2342" t="s">
        <v>7308</v>
      </c>
      <c r="Q2342" t="s">
        <v>7322</v>
      </c>
      <c r="R2342" t="s">
        <v>6074</v>
      </c>
      <c r="S2342" t="s">
        <v>7324</v>
      </c>
      <c r="U2342" t="s">
        <v>457</v>
      </c>
      <c r="V2342">
        <v>1175</v>
      </c>
      <c r="W2342" t="s">
        <v>7363</v>
      </c>
      <c r="X2342" t="s">
        <v>7376</v>
      </c>
      <c r="Z2342" t="s">
        <v>9191</v>
      </c>
      <c r="AB2342" t="s">
        <v>11873</v>
      </c>
      <c r="AC2342">
        <v>170</v>
      </c>
      <c r="AD2342" t="s">
        <v>12422</v>
      </c>
      <c r="AF2342">
        <v>30</v>
      </c>
      <c r="AG2342">
        <v>1</v>
      </c>
      <c r="AH2342">
        <v>0</v>
      </c>
      <c r="AI2342">
        <v>168.04</v>
      </c>
      <c r="AL2342" t="s">
        <v>12460</v>
      </c>
      <c r="AM2342">
        <v>20400</v>
      </c>
      <c r="AS2342">
        <v>0</v>
      </c>
      <c r="AU2342" t="s">
        <v>13113</v>
      </c>
    </row>
    <row r="2343" spans="1:48">
      <c r="A2343" s="1">
        <f>HYPERLINK("https://cms.ls-nyc.org/matter/dynamic-profile/view/1872225","18-1872225")</f>
        <v>0</v>
      </c>
      <c r="B2343" t="s">
        <v>117</v>
      </c>
      <c r="C2343" t="s">
        <v>497</v>
      </c>
      <c r="D2343" t="s">
        <v>373</v>
      </c>
      <c r="E2343" t="s">
        <v>716</v>
      </c>
      <c r="F2343" t="s">
        <v>3243</v>
      </c>
      <c r="G2343" t="s">
        <v>5002</v>
      </c>
      <c r="H2343">
        <v>1</v>
      </c>
      <c r="I2343" t="s">
        <v>6048</v>
      </c>
      <c r="J2343">
        <v>10301</v>
      </c>
      <c r="K2343" t="s">
        <v>6074</v>
      </c>
      <c r="L2343" t="s">
        <v>6074</v>
      </c>
      <c r="M2343" t="s">
        <v>7033</v>
      </c>
      <c r="N2343" t="s">
        <v>7276</v>
      </c>
      <c r="O2343" t="s">
        <v>7308</v>
      </c>
      <c r="P2343" t="s">
        <v>7316</v>
      </c>
      <c r="Q2343" t="s">
        <v>7322</v>
      </c>
      <c r="R2343" t="s">
        <v>6076</v>
      </c>
      <c r="S2343" t="s">
        <v>7324</v>
      </c>
      <c r="T2343" t="s">
        <v>7336</v>
      </c>
      <c r="U2343" t="s">
        <v>497</v>
      </c>
      <c r="V2343">
        <v>325</v>
      </c>
      <c r="W2343" t="s">
        <v>7364</v>
      </c>
      <c r="X2343" t="s">
        <v>7368</v>
      </c>
      <c r="Y2343" t="s">
        <v>7388</v>
      </c>
      <c r="Z2343" t="s">
        <v>9192</v>
      </c>
      <c r="AB2343" t="s">
        <v>11874</v>
      </c>
      <c r="AC2343">
        <v>4</v>
      </c>
      <c r="AD2343" t="s">
        <v>12422</v>
      </c>
      <c r="AE2343" t="s">
        <v>6110</v>
      </c>
      <c r="AF2343">
        <v>17</v>
      </c>
      <c r="AG2343">
        <v>1</v>
      </c>
      <c r="AH2343">
        <v>0</v>
      </c>
      <c r="AI2343">
        <v>168.04</v>
      </c>
      <c r="AL2343" t="s">
        <v>12460</v>
      </c>
      <c r="AM2343">
        <v>20400</v>
      </c>
      <c r="AO2343" t="s">
        <v>12846</v>
      </c>
      <c r="AP2343" t="s">
        <v>12858</v>
      </c>
      <c r="AQ2343" t="s">
        <v>12909</v>
      </c>
      <c r="AR2343" t="s">
        <v>13042</v>
      </c>
      <c r="AS2343">
        <v>9.699999999999999</v>
      </c>
      <c r="AT2343" t="s">
        <v>373</v>
      </c>
      <c r="AU2343" t="s">
        <v>117</v>
      </c>
    </row>
    <row r="2344" spans="1:48">
      <c r="A2344" s="1">
        <f>HYPERLINK("https://cms.ls-nyc.org/matter/dynamic-profile/view/1891715","19-1891715")</f>
        <v>0</v>
      </c>
      <c r="B2344" t="s">
        <v>72</v>
      </c>
      <c r="C2344" t="s">
        <v>364</v>
      </c>
      <c r="E2344" t="s">
        <v>1079</v>
      </c>
      <c r="F2344" t="s">
        <v>2142</v>
      </c>
      <c r="G2344" t="s">
        <v>3702</v>
      </c>
      <c r="H2344" t="s">
        <v>5861</v>
      </c>
      <c r="I2344" t="s">
        <v>6043</v>
      </c>
      <c r="J2344">
        <v>11233</v>
      </c>
      <c r="K2344" t="s">
        <v>6074</v>
      </c>
      <c r="L2344" t="s">
        <v>6074</v>
      </c>
      <c r="M2344" t="s">
        <v>6101</v>
      </c>
      <c r="N2344" t="s">
        <v>7275</v>
      </c>
      <c r="O2344" t="s">
        <v>7307</v>
      </c>
      <c r="Q2344" t="s">
        <v>7322</v>
      </c>
      <c r="R2344" t="s">
        <v>6074</v>
      </c>
      <c r="S2344" t="s">
        <v>7324</v>
      </c>
      <c r="T2344" t="s">
        <v>7336</v>
      </c>
      <c r="U2344" t="s">
        <v>287</v>
      </c>
      <c r="V2344">
        <v>446</v>
      </c>
      <c r="W2344" t="s">
        <v>7362</v>
      </c>
      <c r="Z2344" t="s">
        <v>7467</v>
      </c>
      <c r="AB2344" t="s">
        <v>11875</v>
      </c>
      <c r="AC2344">
        <v>359</v>
      </c>
      <c r="AD2344" t="s">
        <v>12422</v>
      </c>
      <c r="AE2344" t="s">
        <v>12434</v>
      </c>
      <c r="AF2344">
        <v>0</v>
      </c>
      <c r="AG2344">
        <v>1</v>
      </c>
      <c r="AH2344">
        <v>0</v>
      </c>
      <c r="AI2344">
        <v>168.13</v>
      </c>
      <c r="AL2344" t="s">
        <v>12460</v>
      </c>
      <c r="AM2344">
        <v>21000</v>
      </c>
      <c r="AN2344" t="s">
        <v>12678</v>
      </c>
      <c r="AS2344">
        <v>0</v>
      </c>
      <c r="AU2344" t="s">
        <v>218</v>
      </c>
    </row>
    <row r="2345" spans="1:48">
      <c r="A2345" s="1">
        <f>HYPERLINK("https://cms.ls-nyc.org/matter/dynamic-profile/view/1876857","18-1876857")</f>
        <v>0</v>
      </c>
      <c r="B2345" t="s">
        <v>101</v>
      </c>
      <c r="C2345" t="s">
        <v>378</v>
      </c>
      <c r="E2345" t="s">
        <v>783</v>
      </c>
      <c r="F2345" t="s">
        <v>3228</v>
      </c>
      <c r="G2345" t="s">
        <v>3939</v>
      </c>
      <c r="H2345" t="s">
        <v>5425</v>
      </c>
      <c r="I2345" t="s">
        <v>6047</v>
      </c>
      <c r="J2345">
        <v>10456</v>
      </c>
      <c r="K2345" t="s">
        <v>6074</v>
      </c>
      <c r="L2345" t="s">
        <v>6074</v>
      </c>
      <c r="M2345" t="s">
        <v>6305</v>
      </c>
      <c r="N2345" t="s">
        <v>7279</v>
      </c>
      <c r="O2345" t="s">
        <v>7311</v>
      </c>
      <c r="Q2345" t="s">
        <v>7322</v>
      </c>
      <c r="R2345" t="s">
        <v>6074</v>
      </c>
      <c r="S2345" t="s">
        <v>7324</v>
      </c>
      <c r="U2345" t="s">
        <v>502</v>
      </c>
      <c r="V2345">
        <v>1268.04</v>
      </c>
      <c r="W2345" t="s">
        <v>7363</v>
      </c>
      <c r="X2345" t="s">
        <v>7376</v>
      </c>
      <c r="Z2345" t="s">
        <v>9166</v>
      </c>
      <c r="AB2345" t="s">
        <v>11851</v>
      </c>
      <c r="AC2345">
        <v>131</v>
      </c>
      <c r="AD2345" t="s">
        <v>12422</v>
      </c>
      <c r="AE2345" t="s">
        <v>6110</v>
      </c>
      <c r="AF2345">
        <v>21</v>
      </c>
      <c r="AG2345">
        <v>3</v>
      </c>
      <c r="AH2345">
        <v>0</v>
      </c>
      <c r="AI2345">
        <v>168.43</v>
      </c>
      <c r="AL2345" t="s">
        <v>12461</v>
      </c>
      <c r="AM2345">
        <v>35000</v>
      </c>
      <c r="AS2345">
        <v>0</v>
      </c>
      <c r="AU2345" t="s">
        <v>13095</v>
      </c>
    </row>
    <row r="2346" spans="1:48">
      <c r="A2346" s="1">
        <f>HYPERLINK("https://cms.ls-nyc.org/matter/dynamic-profile/view/1876855","18-1876855")</f>
        <v>0</v>
      </c>
      <c r="B2346" t="s">
        <v>101</v>
      </c>
      <c r="C2346" t="s">
        <v>378</v>
      </c>
      <c r="D2346" t="s">
        <v>472</v>
      </c>
      <c r="E2346" t="s">
        <v>783</v>
      </c>
      <c r="F2346" t="s">
        <v>3228</v>
      </c>
      <c r="G2346" t="s">
        <v>3939</v>
      </c>
      <c r="H2346" t="s">
        <v>5425</v>
      </c>
      <c r="I2346" t="s">
        <v>6047</v>
      </c>
      <c r="J2346">
        <v>10456</v>
      </c>
      <c r="K2346" t="s">
        <v>6074</v>
      </c>
      <c r="L2346" t="s">
        <v>6074</v>
      </c>
      <c r="N2346" t="s">
        <v>7273</v>
      </c>
      <c r="O2346" t="s">
        <v>7306</v>
      </c>
      <c r="P2346" t="s">
        <v>7314</v>
      </c>
      <c r="Q2346" t="s">
        <v>7322</v>
      </c>
      <c r="R2346" t="s">
        <v>6074</v>
      </c>
      <c r="S2346" t="s">
        <v>7324</v>
      </c>
      <c r="U2346" t="s">
        <v>502</v>
      </c>
      <c r="V2346">
        <v>1268.04</v>
      </c>
      <c r="W2346" t="s">
        <v>7363</v>
      </c>
      <c r="X2346" t="s">
        <v>7376</v>
      </c>
      <c r="Y2346" t="s">
        <v>7386</v>
      </c>
      <c r="Z2346" t="s">
        <v>9166</v>
      </c>
      <c r="AB2346" t="s">
        <v>11851</v>
      </c>
      <c r="AC2346">
        <v>131</v>
      </c>
      <c r="AD2346" t="s">
        <v>12422</v>
      </c>
      <c r="AE2346" t="s">
        <v>6110</v>
      </c>
      <c r="AF2346">
        <v>21</v>
      </c>
      <c r="AG2346">
        <v>3</v>
      </c>
      <c r="AH2346">
        <v>0</v>
      </c>
      <c r="AI2346">
        <v>168.43</v>
      </c>
      <c r="AL2346" t="s">
        <v>12461</v>
      </c>
      <c r="AM2346">
        <v>35000</v>
      </c>
      <c r="AS2346">
        <v>0.4</v>
      </c>
      <c r="AT2346" t="s">
        <v>310</v>
      </c>
      <c r="AU2346" t="s">
        <v>13095</v>
      </c>
    </row>
    <row r="2347" spans="1:48">
      <c r="A2347" s="1">
        <f>HYPERLINK("https://cms.ls-nyc.org/matter/dynamic-profile/view/1874688","18-1874688")</f>
        <v>0</v>
      </c>
      <c r="B2347" t="s">
        <v>132</v>
      </c>
      <c r="C2347" t="s">
        <v>378</v>
      </c>
      <c r="D2347" t="s">
        <v>290</v>
      </c>
      <c r="E2347" t="s">
        <v>1719</v>
      </c>
      <c r="F2347" t="s">
        <v>2281</v>
      </c>
      <c r="G2347" t="s">
        <v>5003</v>
      </c>
      <c r="H2347" t="s">
        <v>5699</v>
      </c>
      <c r="I2347" t="s">
        <v>6049</v>
      </c>
      <c r="J2347">
        <v>10034</v>
      </c>
      <c r="K2347" t="s">
        <v>6074</v>
      </c>
      <c r="L2347" t="s">
        <v>6074</v>
      </c>
      <c r="N2347" t="s">
        <v>6104</v>
      </c>
      <c r="O2347" t="s">
        <v>7306</v>
      </c>
      <c r="P2347" t="s">
        <v>7314</v>
      </c>
      <c r="Q2347" t="s">
        <v>7322</v>
      </c>
      <c r="R2347" t="s">
        <v>6076</v>
      </c>
      <c r="S2347" t="s">
        <v>7324</v>
      </c>
      <c r="U2347" t="s">
        <v>378</v>
      </c>
      <c r="V2347">
        <v>1200</v>
      </c>
      <c r="W2347" t="s">
        <v>7365</v>
      </c>
      <c r="X2347" t="s">
        <v>7367</v>
      </c>
      <c r="Y2347" t="s">
        <v>7386</v>
      </c>
      <c r="Z2347" t="s">
        <v>9193</v>
      </c>
      <c r="AB2347" t="s">
        <v>11876</v>
      </c>
      <c r="AC2347">
        <v>0</v>
      </c>
      <c r="AD2347" t="s">
        <v>12422</v>
      </c>
      <c r="AE2347" t="s">
        <v>6110</v>
      </c>
      <c r="AF2347">
        <v>17</v>
      </c>
      <c r="AG2347">
        <v>3</v>
      </c>
      <c r="AH2347">
        <v>2</v>
      </c>
      <c r="AI2347">
        <v>168.79</v>
      </c>
      <c r="AL2347" t="s">
        <v>12460</v>
      </c>
      <c r="AM2347">
        <v>49657</v>
      </c>
      <c r="AS2347">
        <v>0.5</v>
      </c>
      <c r="AT2347" t="s">
        <v>290</v>
      </c>
      <c r="AU2347" t="s">
        <v>13106</v>
      </c>
    </row>
    <row r="2348" spans="1:48">
      <c r="A2348" s="1">
        <f>HYPERLINK("https://cms.ls-nyc.org/matter/dynamic-profile/view/1881708","18-1881708")</f>
        <v>0</v>
      </c>
      <c r="B2348" t="s">
        <v>54</v>
      </c>
      <c r="C2348" t="s">
        <v>451</v>
      </c>
      <c r="E2348" t="s">
        <v>891</v>
      </c>
      <c r="F2348" t="s">
        <v>3244</v>
      </c>
      <c r="G2348" t="s">
        <v>5004</v>
      </c>
      <c r="H2348" t="s">
        <v>5455</v>
      </c>
      <c r="I2348" t="s">
        <v>6070</v>
      </c>
      <c r="J2348">
        <v>11104</v>
      </c>
      <c r="K2348" t="s">
        <v>6074</v>
      </c>
      <c r="L2348" t="s">
        <v>6074</v>
      </c>
      <c r="M2348" t="s">
        <v>6329</v>
      </c>
      <c r="N2348" t="s">
        <v>7274</v>
      </c>
      <c r="O2348" t="s">
        <v>7308</v>
      </c>
      <c r="Q2348" t="s">
        <v>7322</v>
      </c>
      <c r="R2348" t="s">
        <v>6076</v>
      </c>
      <c r="S2348" t="s">
        <v>7324</v>
      </c>
      <c r="T2348" t="s">
        <v>7336</v>
      </c>
      <c r="U2348" t="s">
        <v>442</v>
      </c>
      <c r="V2348">
        <v>1142</v>
      </c>
      <c r="W2348" t="s">
        <v>7361</v>
      </c>
      <c r="X2348" t="s">
        <v>7366</v>
      </c>
      <c r="Z2348" t="s">
        <v>9067</v>
      </c>
      <c r="AB2348" t="s">
        <v>11877</v>
      </c>
      <c r="AC2348">
        <v>54</v>
      </c>
      <c r="AD2348" t="s">
        <v>12422</v>
      </c>
      <c r="AE2348" t="s">
        <v>6110</v>
      </c>
      <c r="AF2348">
        <v>36</v>
      </c>
      <c r="AG2348">
        <v>1</v>
      </c>
      <c r="AH2348">
        <v>0</v>
      </c>
      <c r="AI2348">
        <v>168.86</v>
      </c>
      <c r="AL2348" t="s">
        <v>12460</v>
      </c>
      <c r="AM2348">
        <v>20500</v>
      </c>
      <c r="AO2348" t="s">
        <v>12845</v>
      </c>
      <c r="AP2348" t="s">
        <v>12901</v>
      </c>
      <c r="AS2348">
        <v>15.7</v>
      </c>
      <c r="AT2348" t="s">
        <v>367</v>
      </c>
      <c r="AU2348" t="s">
        <v>51</v>
      </c>
    </row>
    <row r="2349" spans="1:48">
      <c r="A2349" s="1">
        <f>HYPERLINK("https://cms.ls-nyc.org/matter/dynamic-profile/view/1891688","19-1891688")</f>
        <v>0</v>
      </c>
      <c r="B2349" t="s">
        <v>96</v>
      </c>
      <c r="C2349" t="s">
        <v>452</v>
      </c>
      <c r="E2349" t="s">
        <v>1718</v>
      </c>
      <c r="F2349" t="s">
        <v>646</v>
      </c>
      <c r="G2349" t="s">
        <v>3792</v>
      </c>
      <c r="H2349" t="s">
        <v>5672</v>
      </c>
      <c r="I2349" t="s">
        <v>6047</v>
      </c>
      <c r="J2349">
        <v>10453</v>
      </c>
      <c r="K2349" t="s">
        <v>6074</v>
      </c>
      <c r="L2349" t="s">
        <v>6074</v>
      </c>
      <c r="N2349" t="s">
        <v>7279</v>
      </c>
      <c r="O2349" t="s">
        <v>7311</v>
      </c>
      <c r="Q2349" t="s">
        <v>7322</v>
      </c>
      <c r="R2349" t="s">
        <v>6074</v>
      </c>
      <c r="S2349" t="s">
        <v>7324</v>
      </c>
      <c r="U2349" t="s">
        <v>457</v>
      </c>
      <c r="V2349">
        <v>1175</v>
      </c>
      <c r="W2349" t="s">
        <v>7363</v>
      </c>
      <c r="X2349" t="s">
        <v>7376</v>
      </c>
      <c r="Z2349" t="s">
        <v>9191</v>
      </c>
      <c r="AB2349" t="s">
        <v>11873</v>
      </c>
      <c r="AC2349">
        <v>170</v>
      </c>
      <c r="AD2349" t="s">
        <v>12422</v>
      </c>
      <c r="AF2349">
        <v>30</v>
      </c>
      <c r="AG2349">
        <v>1</v>
      </c>
      <c r="AH2349">
        <v>0</v>
      </c>
      <c r="AI2349">
        <v>168.86</v>
      </c>
      <c r="AL2349" t="s">
        <v>12460</v>
      </c>
      <c r="AM2349">
        <v>20500</v>
      </c>
      <c r="AS2349">
        <v>0</v>
      </c>
      <c r="AU2349" t="s">
        <v>13113</v>
      </c>
    </row>
    <row r="2350" spans="1:48">
      <c r="A2350" s="1">
        <f>HYPERLINK("https://cms.ls-nyc.org/matter/dynamic-profile/view/1884940","18-1884940")</f>
        <v>0</v>
      </c>
      <c r="B2350" t="s">
        <v>113</v>
      </c>
      <c r="C2350" t="s">
        <v>269</v>
      </c>
      <c r="E2350" t="s">
        <v>1720</v>
      </c>
      <c r="F2350" t="s">
        <v>619</v>
      </c>
      <c r="G2350" t="s">
        <v>4681</v>
      </c>
      <c r="H2350" t="s">
        <v>5529</v>
      </c>
      <c r="I2350" t="s">
        <v>6047</v>
      </c>
      <c r="J2350">
        <v>10451</v>
      </c>
      <c r="K2350" t="s">
        <v>6074</v>
      </c>
      <c r="L2350" t="s">
        <v>6074</v>
      </c>
      <c r="M2350" t="s">
        <v>7034</v>
      </c>
      <c r="N2350" t="s">
        <v>7276</v>
      </c>
      <c r="O2350" t="s">
        <v>7308</v>
      </c>
      <c r="Q2350" t="s">
        <v>7322</v>
      </c>
      <c r="R2350" t="s">
        <v>6076</v>
      </c>
      <c r="S2350" t="s">
        <v>7324</v>
      </c>
      <c r="U2350" t="s">
        <v>269</v>
      </c>
      <c r="V2350">
        <v>1284.38</v>
      </c>
      <c r="W2350" t="s">
        <v>7363</v>
      </c>
      <c r="X2350" t="s">
        <v>7368</v>
      </c>
      <c r="Z2350" t="s">
        <v>9194</v>
      </c>
      <c r="AB2350" t="s">
        <v>11878</v>
      </c>
      <c r="AC2350">
        <v>0</v>
      </c>
      <c r="AD2350" t="s">
        <v>12422</v>
      </c>
      <c r="AE2350" t="s">
        <v>6110</v>
      </c>
      <c r="AF2350">
        <v>8</v>
      </c>
      <c r="AG2350">
        <v>1</v>
      </c>
      <c r="AH2350">
        <v>0</v>
      </c>
      <c r="AI2350">
        <v>168.93</v>
      </c>
      <c r="AL2350" t="s">
        <v>12460</v>
      </c>
      <c r="AM2350">
        <v>20508</v>
      </c>
      <c r="AS2350">
        <v>16.1</v>
      </c>
      <c r="AT2350" t="s">
        <v>270</v>
      </c>
      <c r="AU2350" t="s">
        <v>13095</v>
      </c>
    </row>
    <row r="2351" spans="1:48">
      <c r="A2351" s="1">
        <f>HYPERLINK("https://cms.ls-nyc.org/matter/dynamic-profile/view/1881710","18-1881710")</f>
        <v>0</v>
      </c>
      <c r="B2351" t="s">
        <v>103</v>
      </c>
      <c r="C2351" t="s">
        <v>360</v>
      </c>
      <c r="E2351" t="s">
        <v>1721</v>
      </c>
      <c r="F2351" t="s">
        <v>1977</v>
      </c>
      <c r="G2351" t="s">
        <v>3810</v>
      </c>
      <c r="H2351" t="s">
        <v>5446</v>
      </c>
      <c r="I2351" t="s">
        <v>6047</v>
      </c>
      <c r="J2351">
        <v>10451</v>
      </c>
      <c r="K2351" t="s">
        <v>6074</v>
      </c>
      <c r="L2351" t="s">
        <v>6074</v>
      </c>
      <c r="M2351" t="s">
        <v>6201</v>
      </c>
      <c r="N2351" t="s">
        <v>7273</v>
      </c>
      <c r="O2351" t="s">
        <v>7308</v>
      </c>
      <c r="Q2351" t="s">
        <v>7322</v>
      </c>
      <c r="R2351" t="s">
        <v>6074</v>
      </c>
      <c r="S2351" t="s">
        <v>7324</v>
      </c>
      <c r="U2351" t="s">
        <v>472</v>
      </c>
      <c r="V2351">
        <v>627.27</v>
      </c>
      <c r="W2351" t="s">
        <v>7363</v>
      </c>
      <c r="X2351" t="s">
        <v>7376</v>
      </c>
      <c r="Z2351" t="s">
        <v>8466</v>
      </c>
      <c r="AC2351">
        <v>100</v>
      </c>
      <c r="AD2351" t="s">
        <v>12421</v>
      </c>
      <c r="AE2351" t="s">
        <v>12434</v>
      </c>
      <c r="AF2351">
        <v>34</v>
      </c>
      <c r="AG2351">
        <v>2</v>
      </c>
      <c r="AH2351">
        <v>0</v>
      </c>
      <c r="AI2351">
        <v>169.02</v>
      </c>
      <c r="AL2351" t="s">
        <v>12461</v>
      </c>
      <c r="AM2351">
        <v>27820</v>
      </c>
      <c r="AS2351">
        <v>0</v>
      </c>
      <c r="AU2351" t="s">
        <v>13095</v>
      </c>
    </row>
    <row r="2352" spans="1:48">
      <c r="A2352" s="1">
        <f>HYPERLINK("https://cms.ls-nyc.org/matter/dynamic-profile/view/1893434","19-1893434")</f>
        <v>0</v>
      </c>
      <c r="B2352" t="s">
        <v>116</v>
      </c>
      <c r="C2352" t="s">
        <v>313</v>
      </c>
      <c r="D2352" t="s">
        <v>361</v>
      </c>
      <c r="E2352" t="s">
        <v>1722</v>
      </c>
      <c r="F2352" t="s">
        <v>1977</v>
      </c>
      <c r="G2352" t="s">
        <v>4718</v>
      </c>
      <c r="H2352" t="s">
        <v>5863</v>
      </c>
      <c r="I2352" t="s">
        <v>6047</v>
      </c>
      <c r="J2352">
        <v>10452</v>
      </c>
      <c r="K2352" t="s">
        <v>6074</v>
      </c>
      <c r="L2352" t="s">
        <v>6074</v>
      </c>
      <c r="N2352" t="s">
        <v>6104</v>
      </c>
      <c r="O2352" t="s">
        <v>7306</v>
      </c>
      <c r="P2352" t="s">
        <v>7314</v>
      </c>
      <c r="Q2352" t="s">
        <v>7322</v>
      </c>
      <c r="R2352" t="s">
        <v>6076</v>
      </c>
      <c r="S2352" t="s">
        <v>7324</v>
      </c>
      <c r="U2352" t="s">
        <v>313</v>
      </c>
      <c r="V2352">
        <v>1350</v>
      </c>
      <c r="W2352" t="s">
        <v>7363</v>
      </c>
      <c r="X2352" t="s">
        <v>7376</v>
      </c>
      <c r="Y2352" t="s">
        <v>7386</v>
      </c>
      <c r="Z2352" t="s">
        <v>9195</v>
      </c>
      <c r="AB2352" t="s">
        <v>11879</v>
      </c>
      <c r="AC2352">
        <v>0</v>
      </c>
      <c r="AD2352" t="s">
        <v>12422</v>
      </c>
      <c r="AE2352" t="s">
        <v>12441</v>
      </c>
      <c r="AF2352">
        <v>10</v>
      </c>
      <c r="AG2352">
        <v>1</v>
      </c>
      <c r="AH2352">
        <v>0</v>
      </c>
      <c r="AI2352">
        <v>169.1</v>
      </c>
      <c r="AL2352" t="s">
        <v>12461</v>
      </c>
      <c r="AM2352">
        <v>21120</v>
      </c>
      <c r="AS2352">
        <v>1</v>
      </c>
      <c r="AT2352" t="s">
        <v>332</v>
      </c>
      <c r="AU2352" t="s">
        <v>116</v>
      </c>
    </row>
    <row r="2353" spans="1:48">
      <c r="A2353" s="1">
        <f>HYPERLINK("https://cms.ls-nyc.org/matter/dynamic-profile/view/1880593","18-1880593")</f>
        <v>0</v>
      </c>
      <c r="B2353" t="s">
        <v>96</v>
      </c>
      <c r="C2353" t="s">
        <v>360</v>
      </c>
      <c r="E2353" t="s">
        <v>689</v>
      </c>
      <c r="F2353" t="s">
        <v>2236</v>
      </c>
      <c r="G2353" t="s">
        <v>4152</v>
      </c>
      <c r="H2353" t="s">
        <v>5485</v>
      </c>
      <c r="I2353" t="s">
        <v>6047</v>
      </c>
      <c r="J2353">
        <v>10456</v>
      </c>
      <c r="K2353" t="s">
        <v>6074</v>
      </c>
      <c r="L2353" t="s">
        <v>6074</v>
      </c>
      <c r="M2353" t="s">
        <v>6498</v>
      </c>
      <c r="N2353" t="s">
        <v>7279</v>
      </c>
      <c r="O2353" t="s">
        <v>7311</v>
      </c>
      <c r="Q2353" t="s">
        <v>7322</v>
      </c>
      <c r="R2353" t="s">
        <v>6074</v>
      </c>
      <c r="S2353" t="s">
        <v>7324</v>
      </c>
      <c r="U2353" t="s">
        <v>424</v>
      </c>
      <c r="V2353">
        <v>1573</v>
      </c>
      <c r="W2353" t="s">
        <v>7363</v>
      </c>
      <c r="X2353" t="s">
        <v>7376</v>
      </c>
      <c r="Z2353" t="s">
        <v>8878</v>
      </c>
      <c r="AB2353" t="s">
        <v>11582</v>
      </c>
      <c r="AC2353">
        <v>61</v>
      </c>
      <c r="AD2353" t="s">
        <v>12422</v>
      </c>
      <c r="AE2353" t="s">
        <v>6110</v>
      </c>
      <c r="AF2353">
        <v>6</v>
      </c>
      <c r="AG2353">
        <v>4</v>
      </c>
      <c r="AH2353">
        <v>1</v>
      </c>
      <c r="AI2353">
        <v>169.11</v>
      </c>
      <c r="AL2353" t="s">
        <v>12461</v>
      </c>
      <c r="AM2353">
        <v>49752</v>
      </c>
      <c r="AS2353">
        <v>0</v>
      </c>
      <c r="AU2353" t="s">
        <v>13092</v>
      </c>
    </row>
    <row r="2354" spans="1:48">
      <c r="A2354" s="1">
        <f>HYPERLINK("https://cms.ls-nyc.org/matter/dynamic-profile/view/1890363","19-1890363")</f>
        <v>0</v>
      </c>
      <c r="B2354" t="s">
        <v>128</v>
      </c>
      <c r="C2354" t="s">
        <v>330</v>
      </c>
      <c r="E2354" t="s">
        <v>1027</v>
      </c>
      <c r="F2354" t="s">
        <v>2522</v>
      </c>
      <c r="G2354" t="s">
        <v>5005</v>
      </c>
      <c r="H2354" t="s">
        <v>5355</v>
      </c>
      <c r="I2354" t="s">
        <v>6049</v>
      </c>
      <c r="J2354">
        <v>10034</v>
      </c>
      <c r="K2354" t="s">
        <v>6074</v>
      </c>
      <c r="L2354" t="s">
        <v>6074</v>
      </c>
      <c r="M2354" t="s">
        <v>7035</v>
      </c>
      <c r="N2354" t="s">
        <v>7274</v>
      </c>
      <c r="O2354" t="s">
        <v>7308</v>
      </c>
      <c r="Q2354" t="s">
        <v>7322</v>
      </c>
      <c r="R2354" t="s">
        <v>6076</v>
      </c>
      <c r="S2354" t="s">
        <v>7324</v>
      </c>
      <c r="T2354" t="s">
        <v>7336</v>
      </c>
      <c r="U2354" t="s">
        <v>330</v>
      </c>
      <c r="V2354">
        <v>1300</v>
      </c>
      <c r="W2354" t="s">
        <v>7365</v>
      </c>
      <c r="X2354" t="s">
        <v>7366</v>
      </c>
      <c r="Z2354" t="s">
        <v>9196</v>
      </c>
      <c r="AB2354" t="s">
        <v>11880</v>
      </c>
      <c r="AC2354">
        <v>259</v>
      </c>
      <c r="AD2354" t="s">
        <v>12422</v>
      </c>
      <c r="AE2354" t="s">
        <v>6110</v>
      </c>
      <c r="AF2354">
        <v>18</v>
      </c>
      <c r="AG2354">
        <v>2</v>
      </c>
      <c r="AH2354">
        <v>0</v>
      </c>
      <c r="AI2354">
        <v>169.13</v>
      </c>
      <c r="AL2354" t="s">
        <v>12461</v>
      </c>
      <c r="AM2354">
        <v>28600</v>
      </c>
      <c r="AS2354">
        <v>11.9</v>
      </c>
      <c r="AT2354" t="s">
        <v>496</v>
      </c>
      <c r="AU2354" t="s">
        <v>13107</v>
      </c>
      <c r="AV2354" t="s">
        <v>13145</v>
      </c>
    </row>
    <row r="2355" spans="1:48">
      <c r="A2355" s="1">
        <f>HYPERLINK("https://cms.ls-nyc.org/matter/dynamic-profile/view/1893044","19-1893044")</f>
        <v>0</v>
      </c>
      <c r="B2355" t="s">
        <v>71</v>
      </c>
      <c r="C2355" t="s">
        <v>332</v>
      </c>
      <c r="E2355" t="s">
        <v>985</v>
      </c>
      <c r="F2355" t="s">
        <v>3245</v>
      </c>
      <c r="G2355" t="s">
        <v>5006</v>
      </c>
      <c r="H2355">
        <v>212</v>
      </c>
      <c r="I2355" t="s">
        <v>6043</v>
      </c>
      <c r="J2355">
        <v>11208</v>
      </c>
      <c r="K2355" t="s">
        <v>6074</v>
      </c>
      <c r="L2355" t="s">
        <v>6074</v>
      </c>
      <c r="M2355" t="s">
        <v>7036</v>
      </c>
      <c r="N2355" t="s">
        <v>7276</v>
      </c>
      <c r="O2355" t="s">
        <v>7308</v>
      </c>
      <c r="Q2355" t="s">
        <v>7322</v>
      </c>
      <c r="R2355" t="s">
        <v>6076</v>
      </c>
      <c r="S2355" t="s">
        <v>7324</v>
      </c>
      <c r="T2355" t="s">
        <v>7336</v>
      </c>
      <c r="U2355" t="s">
        <v>337</v>
      </c>
      <c r="V2355">
        <v>1092</v>
      </c>
      <c r="W2355" t="s">
        <v>7362</v>
      </c>
      <c r="X2355" t="s">
        <v>7373</v>
      </c>
      <c r="Z2355" t="s">
        <v>9197</v>
      </c>
      <c r="AA2355" t="s">
        <v>10256</v>
      </c>
      <c r="AB2355" t="s">
        <v>11881</v>
      </c>
      <c r="AC2355">
        <v>323</v>
      </c>
      <c r="AD2355" t="s">
        <v>12422</v>
      </c>
      <c r="AE2355" t="s">
        <v>6110</v>
      </c>
      <c r="AF2355">
        <v>3</v>
      </c>
      <c r="AG2355">
        <v>1</v>
      </c>
      <c r="AH2355">
        <v>1</v>
      </c>
      <c r="AI2355">
        <v>169.44</v>
      </c>
      <c r="AL2355" t="s">
        <v>12460</v>
      </c>
      <c r="AM2355">
        <v>28652</v>
      </c>
      <c r="AS2355">
        <v>19.5</v>
      </c>
      <c r="AT2355" t="s">
        <v>460</v>
      </c>
      <c r="AU2355" t="s">
        <v>218</v>
      </c>
    </row>
    <row r="2356" spans="1:48">
      <c r="A2356" s="1">
        <f>HYPERLINK("https://cms.ls-nyc.org/matter/dynamic-profile/view/1894799","19-1894799")</f>
        <v>0</v>
      </c>
      <c r="B2356" t="s">
        <v>86</v>
      </c>
      <c r="C2356" t="s">
        <v>386</v>
      </c>
      <c r="E2356" t="s">
        <v>985</v>
      </c>
      <c r="F2356" t="s">
        <v>3245</v>
      </c>
      <c r="G2356" t="s">
        <v>5006</v>
      </c>
      <c r="H2356">
        <v>212</v>
      </c>
      <c r="I2356" t="s">
        <v>6043</v>
      </c>
      <c r="J2356">
        <v>11208</v>
      </c>
      <c r="K2356" t="s">
        <v>6074</v>
      </c>
      <c r="L2356" t="s">
        <v>6074</v>
      </c>
      <c r="M2356" t="s">
        <v>7036</v>
      </c>
      <c r="N2356" t="s">
        <v>7276</v>
      </c>
      <c r="O2356" t="s">
        <v>7311</v>
      </c>
      <c r="Q2356" t="s">
        <v>7322</v>
      </c>
      <c r="R2356" t="s">
        <v>6076</v>
      </c>
      <c r="S2356" t="s">
        <v>7327</v>
      </c>
      <c r="T2356" t="s">
        <v>7336</v>
      </c>
      <c r="U2356" t="s">
        <v>252</v>
      </c>
      <c r="V2356">
        <v>1092</v>
      </c>
      <c r="W2356" t="s">
        <v>7362</v>
      </c>
      <c r="X2356" t="s">
        <v>7373</v>
      </c>
      <c r="Z2356" t="s">
        <v>9197</v>
      </c>
      <c r="AA2356" t="s">
        <v>10256</v>
      </c>
      <c r="AB2356" t="s">
        <v>11881</v>
      </c>
      <c r="AC2356">
        <v>323</v>
      </c>
      <c r="AD2356" t="s">
        <v>12422</v>
      </c>
      <c r="AE2356" t="s">
        <v>6110</v>
      </c>
      <c r="AF2356">
        <v>3</v>
      </c>
      <c r="AG2356">
        <v>1</v>
      </c>
      <c r="AH2356">
        <v>1</v>
      </c>
      <c r="AI2356">
        <v>169.44</v>
      </c>
      <c r="AL2356" t="s">
        <v>12460</v>
      </c>
      <c r="AM2356">
        <v>28652</v>
      </c>
      <c r="AS2356">
        <v>12</v>
      </c>
      <c r="AT2356" t="s">
        <v>460</v>
      </c>
      <c r="AU2356" t="s">
        <v>180</v>
      </c>
    </row>
    <row r="2357" spans="1:48">
      <c r="A2357" s="1">
        <f>HYPERLINK("https://cms.ls-nyc.org/matter/dynamic-profile/view/1890376","19-1890376")</f>
        <v>0</v>
      </c>
      <c r="B2357" t="s">
        <v>120</v>
      </c>
      <c r="C2357" t="s">
        <v>448</v>
      </c>
      <c r="E2357" t="s">
        <v>1723</v>
      </c>
      <c r="F2357" t="s">
        <v>2439</v>
      </c>
      <c r="G2357" t="s">
        <v>4034</v>
      </c>
      <c r="H2357" t="s">
        <v>5465</v>
      </c>
      <c r="I2357" t="s">
        <v>6048</v>
      </c>
      <c r="J2357">
        <v>10304</v>
      </c>
      <c r="K2357" t="s">
        <v>6074</v>
      </c>
      <c r="L2357" t="s">
        <v>6075</v>
      </c>
      <c r="M2357" t="s">
        <v>7037</v>
      </c>
      <c r="N2357" t="s">
        <v>7276</v>
      </c>
      <c r="O2357" t="s">
        <v>7308</v>
      </c>
      <c r="Q2357" t="s">
        <v>7322</v>
      </c>
      <c r="R2357" t="s">
        <v>6076</v>
      </c>
      <c r="S2357" t="s">
        <v>7324</v>
      </c>
      <c r="T2357" t="s">
        <v>7336</v>
      </c>
      <c r="U2357" t="s">
        <v>448</v>
      </c>
      <c r="V2357">
        <v>480</v>
      </c>
      <c r="W2357" t="s">
        <v>7364</v>
      </c>
      <c r="X2357" t="s">
        <v>7368</v>
      </c>
      <c r="Z2357" t="s">
        <v>9198</v>
      </c>
      <c r="AB2357" t="s">
        <v>11882</v>
      </c>
      <c r="AC2357">
        <v>0</v>
      </c>
      <c r="AD2357" t="s">
        <v>12422</v>
      </c>
      <c r="AE2357" t="s">
        <v>12433</v>
      </c>
      <c r="AF2357">
        <v>3</v>
      </c>
      <c r="AG2357">
        <v>1</v>
      </c>
      <c r="AH2357">
        <v>2</v>
      </c>
      <c r="AI2357">
        <v>169.49</v>
      </c>
      <c r="AL2357" t="s">
        <v>12460</v>
      </c>
      <c r="AM2357">
        <v>36153</v>
      </c>
      <c r="AS2357">
        <v>15.3</v>
      </c>
      <c r="AT2357" t="s">
        <v>382</v>
      </c>
      <c r="AU2357" t="s">
        <v>188</v>
      </c>
      <c r="AV2357" t="s">
        <v>13145</v>
      </c>
    </row>
    <row r="2358" spans="1:48">
      <c r="A2358" s="1">
        <f>HYPERLINK("https://cms.ls-nyc.org/matter/dynamic-profile/view/1891718","19-1891718")</f>
        <v>0</v>
      </c>
      <c r="B2358" t="s">
        <v>72</v>
      </c>
      <c r="C2358" t="s">
        <v>364</v>
      </c>
      <c r="E2358" t="s">
        <v>1724</v>
      </c>
      <c r="F2358" t="s">
        <v>3246</v>
      </c>
      <c r="G2358" t="s">
        <v>3700</v>
      </c>
      <c r="H2358" t="s">
        <v>5864</v>
      </c>
      <c r="I2358" t="s">
        <v>6043</v>
      </c>
      <c r="J2358">
        <v>11233</v>
      </c>
      <c r="K2358" t="s">
        <v>6074</v>
      </c>
      <c r="L2358" t="s">
        <v>6074</v>
      </c>
      <c r="M2358" t="s">
        <v>6101</v>
      </c>
      <c r="N2358" t="s">
        <v>7275</v>
      </c>
      <c r="O2358" t="s">
        <v>7307</v>
      </c>
      <c r="Q2358" t="s">
        <v>7322</v>
      </c>
      <c r="R2358" t="s">
        <v>6074</v>
      </c>
      <c r="S2358" t="s">
        <v>7324</v>
      </c>
      <c r="T2358" t="s">
        <v>7336</v>
      </c>
      <c r="U2358" t="s">
        <v>287</v>
      </c>
      <c r="V2358">
        <v>1353.11</v>
      </c>
      <c r="W2358" t="s">
        <v>7362</v>
      </c>
      <c r="Z2358" t="s">
        <v>9199</v>
      </c>
      <c r="AB2358" t="s">
        <v>11883</v>
      </c>
      <c r="AC2358">
        <v>359</v>
      </c>
      <c r="AD2358" t="s">
        <v>12422</v>
      </c>
      <c r="AE2358" t="s">
        <v>6110</v>
      </c>
      <c r="AF2358">
        <v>24</v>
      </c>
      <c r="AG2358">
        <v>5</v>
      </c>
      <c r="AH2358">
        <v>0</v>
      </c>
      <c r="AI2358">
        <v>169.71</v>
      </c>
      <c r="AL2358" t="s">
        <v>12460</v>
      </c>
      <c r="AM2358">
        <v>51200</v>
      </c>
      <c r="AN2358" t="s">
        <v>12679</v>
      </c>
      <c r="AS2358">
        <v>0</v>
      </c>
      <c r="AU2358" t="s">
        <v>218</v>
      </c>
    </row>
    <row r="2359" spans="1:48">
      <c r="A2359" s="1">
        <f>HYPERLINK("https://cms.ls-nyc.org/matter/dynamic-profile/view/1869794","18-1869794")</f>
        <v>0</v>
      </c>
      <c r="B2359" t="s">
        <v>216</v>
      </c>
      <c r="C2359" t="s">
        <v>523</v>
      </c>
      <c r="D2359" t="s">
        <v>472</v>
      </c>
      <c r="E2359" t="s">
        <v>1725</v>
      </c>
      <c r="F2359" t="s">
        <v>3247</v>
      </c>
      <c r="G2359" t="s">
        <v>5007</v>
      </c>
      <c r="H2359">
        <v>10</v>
      </c>
      <c r="I2359" t="s">
        <v>6049</v>
      </c>
      <c r="J2359">
        <v>10009</v>
      </c>
      <c r="K2359" t="s">
        <v>6074</v>
      </c>
      <c r="L2359" t="s">
        <v>6075</v>
      </c>
      <c r="N2359" t="s">
        <v>6104</v>
      </c>
      <c r="O2359" t="s">
        <v>7306</v>
      </c>
      <c r="P2359" t="s">
        <v>7314</v>
      </c>
      <c r="Q2359" t="s">
        <v>7322</v>
      </c>
      <c r="R2359" t="s">
        <v>6076</v>
      </c>
      <c r="S2359" t="s">
        <v>7324</v>
      </c>
      <c r="U2359" t="s">
        <v>7344</v>
      </c>
      <c r="V2359">
        <v>549.4</v>
      </c>
      <c r="W2359" t="s">
        <v>7365</v>
      </c>
      <c r="X2359" t="s">
        <v>7368</v>
      </c>
      <c r="Y2359" t="s">
        <v>7386</v>
      </c>
      <c r="Z2359" t="s">
        <v>9200</v>
      </c>
      <c r="AB2359" t="s">
        <v>11884</v>
      </c>
      <c r="AC2359">
        <v>0</v>
      </c>
      <c r="AD2359" t="s">
        <v>12422</v>
      </c>
      <c r="AE2359" t="s">
        <v>6110</v>
      </c>
      <c r="AF2359">
        <v>20</v>
      </c>
      <c r="AG2359">
        <v>1</v>
      </c>
      <c r="AH2359">
        <v>0</v>
      </c>
      <c r="AI2359">
        <v>169.72</v>
      </c>
      <c r="AL2359" t="s">
        <v>12460</v>
      </c>
      <c r="AM2359">
        <v>20604</v>
      </c>
      <c r="AS2359">
        <v>3.25</v>
      </c>
      <c r="AT2359" t="s">
        <v>267</v>
      </c>
      <c r="AU2359" t="s">
        <v>13111</v>
      </c>
    </row>
    <row r="2360" spans="1:48">
      <c r="A2360" s="1">
        <f>HYPERLINK("https://cms.ls-nyc.org/matter/dynamic-profile/view/1901186","19-1901186")</f>
        <v>0</v>
      </c>
      <c r="B2360" t="s">
        <v>199</v>
      </c>
      <c r="C2360" t="s">
        <v>496</v>
      </c>
      <c r="E2360" t="s">
        <v>713</v>
      </c>
      <c r="F2360" t="s">
        <v>2175</v>
      </c>
      <c r="G2360" t="s">
        <v>5008</v>
      </c>
      <c r="H2360" t="s">
        <v>5390</v>
      </c>
      <c r="I2360" t="s">
        <v>6049</v>
      </c>
      <c r="J2360">
        <v>10036</v>
      </c>
      <c r="K2360" t="s">
        <v>6074</v>
      </c>
      <c r="L2360" t="s">
        <v>6075</v>
      </c>
      <c r="M2360" t="s">
        <v>7038</v>
      </c>
      <c r="N2360" t="s">
        <v>7276</v>
      </c>
      <c r="O2360" t="s">
        <v>7310</v>
      </c>
      <c r="Q2360" t="s">
        <v>7322</v>
      </c>
      <c r="R2360" t="s">
        <v>6076</v>
      </c>
      <c r="S2360" t="s">
        <v>7324</v>
      </c>
      <c r="U2360" t="s">
        <v>496</v>
      </c>
      <c r="V2360">
        <v>898</v>
      </c>
      <c r="W2360" t="s">
        <v>7365</v>
      </c>
      <c r="X2360" t="s">
        <v>7366</v>
      </c>
      <c r="Z2360" t="s">
        <v>9201</v>
      </c>
      <c r="AB2360" t="s">
        <v>11885</v>
      </c>
      <c r="AC2360">
        <v>0</v>
      </c>
      <c r="AD2360" t="s">
        <v>12421</v>
      </c>
      <c r="AE2360" t="s">
        <v>12434</v>
      </c>
      <c r="AF2360">
        <v>39</v>
      </c>
      <c r="AG2360">
        <v>3</v>
      </c>
      <c r="AH2360">
        <v>1</v>
      </c>
      <c r="AI2360">
        <v>169.92</v>
      </c>
      <c r="AL2360" t="s">
        <v>12460</v>
      </c>
      <c r="AM2360">
        <v>43754</v>
      </c>
      <c r="AS2360">
        <v>1</v>
      </c>
      <c r="AT2360" t="s">
        <v>496</v>
      </c>
      <c r="AU2360" t="s">
        <v>13109</v>
      </c>
      <c r="AV2360" t="s">
        <v>13145</v>
      </c>
    </row>
    <row r="2361" spans="1:48">
      <c r="A2361" s="1">
        <f>HYPERLINK("https://cms.ls-nyc.org/matter/dynamic-profile/view/1876321","18-1876321")</f>
        <v>0</v>
      </c>
      <c r="B2361" t="s">
        <v>51</v>
      </c>
      <c r="C2361" t="s">
        <v>253</v>
      </c>
      <c r="D2361" t="s">
        <v>451</v>
      </c>
      <c r="E2361" t="s">
        <v>1076</v>
      </c>
      <c r="F2361" t="s">
        <v>2174</v>
      </c>
      <c r="G2361" t="s">
        <v>5009</v>
      </c>
      <c r="I2361" t="s">
        <v>6025</v>
      </c>
      <c r="J2361">
        <v>11691</v>
      </c>
      <c r="K2361" t="s">
        <v>6074</v>
      </c>
      <c r="L2361" t="s">
        <v>6074</v>
      </c>
      <c r="M2361" t="s">
        <v>7039</v>
      </c>
      <c r="N2361" t="s">
        <v>7274</v>
      </c>
      <c r="O2361" t="s">
        <v>7306</v>
      </c>
      <c r="P2361" t="s">
        <v>7314</v>
      </c>
      <c r="Q2361" t="s">
        <v>7322</v>
      </c>
      <c r="R2361" t="s">
        <v>6076</v>
      </c>
      <c r="S2361" t="s">
        <v>7324</v>
      </c>
      <c r="T2361" t="s">
        <v>7340</v>
      </c>
      <c r="U2361" t="s">
        <v>377</v>
      </c>
      <c r="V2361">
        <v>1600</v>
      </c>
      <c r="W2361" t="s">
        <v>7361</v>
      </c>
      <c r="X2361" t="s">
        <v>7366</v>
      </c>
      <c r="Y2361" t="s">
        <v>7386</v>
      </c>
      <c r="Z2361" t="s">
        <v>7920</v>
      </c>
      <c r="AB2361" t="s">
        <v>11886</v>
      </c>
      <c r="AC2361">
        <v>2</v>
      </c>
      <c r="AD2361" t="s">
        <v>12419</v>
      </c>
      <c r="AE2361" t="s">
        <v>6110</v>
      </c>
      <c r="AF2361">
        <v>1</v>
      </c>
      <c r="AG2361">
        <v>4</v>
      </c>
      <c r="AH2361">
        <v>1</v>
      </c>
      <c r="AI2361">
        <v>169.95</v>
      </c>
      <c r="AL2361" t="s">
        <v>12460</v>
      </c>
      <c r="AM2361">
        <v>50000</v>
      </c>
      <c r="AS2361">
        <v>0.5</v>
      </c>
      <c r="AT2361" t="s">
        <v>253</v>
      </c>
      <c r="AU2361" t="s">
        <v>189</v>
      </c>
    </row>
    <row r="2362" spans="1:48">
      <c r="A2362" s="1">
        <f>HYPERLINK("https://cms.ls-nyc.org/matter/dynamic-profile/view/1883662","18-1883662")</f>
        <v>0</v>
      </c>
      <c r="B2362" t="s">
        <v>103</v>
      </c>
      <c r="C2362" t="s">
        <v>524</v>
      </c>
      <c r="E2362" t="s">
        <v>1726</v>
      </c>
      <c r="F2362" t="s">
        <v>2182</v>
      </c>
      <c r="G2362" t="s">
        <v>5010</v>
      </c>
      <c r="H2362" t="s">
        <v>5865</v>
      </c>
      <c r="I2362" t="s">
        <v>6047</v>
      </c>
      <c r="J2362">
        <v>10452</v>
      </c>
      <c r="K2362" t="s">
        <v>6074</v>
      </c>
      <c r="L2362" t="s">
        <v>6074</v>
      </c>
      <c r="M2362" t="s">
        <v>7040</v>
      </c>
      <c r="N2362" t="s">
        <v>7274</v>
      </c>
      <c r="O2362" t="s">
        <v>7308</v>
      </c>
      <c r="Q2362" t="s">
        <v>7322</v>
      </c>
      <c r="R2362" t="s">
        <v>6076</v>
      </c>
      <c r="S2362" t="s">
        <v>7324</v>
      </c>
      <c r="T2362" t="s">
        <v>7336</v>
      </c>
      <c r="U2362" t="s">
        <v>436</v>
      </c>
      <c r="V2362">
        <v>850</v>
      </c>
      <c r="W2362" t="s">
        <v>7363</v>
      </c>
      <c r="Z2362" t="s">
        <v>9202</v>
      </c>
      <c r="AA2362">
        <v>13789714</v>
      </c>
      <c r="AB2362" t="s">
        <v>11887</v>
      </c>
      <c r="AC2362">
        <v>0</v>
      </c>
      <c r="AD2362" t="s">
        <v>12422</v>
      </c>
      <c r="AF2362">
        <v>4</v>
      </c>
      <c r="AG2362">
        <v>1</v>
      </c>
      <c r="AH2362">
        <v>1</v>
      </c>
      <c r="AI2362">
        <v>170.11</v>
      </c>
      <c r="AL2362" t="s">
        <v>12461</v>
      </c>
      <c r="AM2362">
        <v>28000</v>
      </c>
      <c r="AN2362" t="s">
        <v>12680</v>
      </c>
      <c r="AS2362">
        <v>3.8</v>
      </c>
      <c r="AT2362" t="s">
        <v>380</v>
      </c>
      <c r="AU2362" t="s">
        <v>103</v>
      </c>
    </row>
    <row r="2363" spans="1:48">
      <c r="A2363" s="1">
        <f>HYPERLINK("https://cms.ls-nyc.org/matter/dynamic-profile/view/1873258","18-1873258")</f>
        <v>0</v>
      </c>
      <c r="B2363" t="s">
        <v>130</v>
      </c>
      <c r="C2363" t="s">
        <v>419</v>
      </c>
      <c r="D2363" t="s">
        <v>379</v>
      </c>
      <c r="E2363" t="s">
        <v>1350</v>
      </c>
      <c r="F2363" t="s">
        <v>3248</v>
      </c>
      <c r="G2363" t="s">
        <v>5011</v>
      </c>
      <c r="H2363" t="s">
        <v>5858</v>
      </c>
      <c r="I2363" t="s">
        <v>6049</v>
      </c>
      <c r="J2363">
        <v>10029</v>
      </c>
      <c r="K2363" t="s">
        <v>6074</v>
      </c>
      <c r="L2363" t="s">
        <v>6074</v>
      </c>
      <c r="N2363" t="s">
        <v>6104</v>
      </c>
      <c r="O2363" t="s">
        <v>7306</v>
      </c>
      <c r="P2363" t="s">
        <v>7314</v>
      </c>
      <c r="Q2363" t="s">
        <v>7322</v>
      </c>
      <c r="R2363" t="s">
        <v>6076</v>
      </c>
      <c r="S2363" t="s">
        <v>7324</v>
      </c>
      <c r="U2363" t="s">
        <v>281</v>
      </c>
      <c r="V2363">
        <v>2913</v>
      </c>
      <c r="W2363" t="s">
        <v>7365</v>
      </c>
      <c r="X2363" t="s">
        <v>7381</v>
      </c>
      <c r="Y2363" t="s">
        <v>7386</v>
      </c>
      <c r="Z2363" t="s">
        <v>9203</v>
      </c>
      <c r="AB2363" t="s">
        <v>11888</v>
      </c>
      <c r="AC2363">
        <v>600</v>
      </c>
      <c r="AD2363" t="s">
        <v>6322</v>
      </c>
      <c r="AE2363" t="s">
        <v>12434</v>
      </c>
      <c r="AF2363">
        <v>43</v>
      </c>
      <c r="AG2363">
        <v>2</v>
      </c>
      <c r="AH2363">
        <v>0</v>
      </c>
      <c r="AI2363">
        <v>170.52</v>
      </c>
      <c r="AL2363" t="s">
        <v>12460</v>
      </c>
      <c r="AM2363">
        <v>28068</v>
      </c>
      <c r="AS2363">
        <v>5</v>
      </c>
      <c r="AT2363" t="s">
        <v>379</v>
      </c>
      <c r="AU2363" t="s">
        <v>13100</v>
      </c>
    </row>
    <row r="2364" spans="1:48">
      <c r="A2364" s="1">
        <f>HYPERLINK("https://cms.ls-nyc.org/matter/dynamic-profile/view/1890333","19-1890333")</f>
        <v>0</v>
      </c>
      <c r="B2364" t="s">
        <v>112</v>
      </c>
      <c r="C2364" t="s">
        <v>358</v>
      </c>
      <c r="E2364" t="s">
        <v>1727</v>
      </c>
      <c r="F2364" t="s">
        <v>3249</v>
      </c>
      <c r="G2364" t="s">
        <v>5012</v>
      </c>
      <c r="H2364" t="s">
        <v>5354</v>
      </c>
      <c r="I2364" t="s">
        <v>6047</v>
      </c>
      <c r="J2364">
        <v>10451</v>
      </c>
      <c r="K2364" t="s">
        <v>6074</v>
      </c>
      <c r="L2364" t="s">
        <v>6074</v>
      </c>
      <c r="N2364" t="s">
        <v>7279</v>
      </c>
      <c r="O2364" t="s">
        <v>7307</v>
      </c>
      <c r="Q2364" t="s">
        <v>7322</v>
      </c>
      <c r="R2364" t="s">
        <v>6076</v>
      </c>
      <c r="S2364" t="s">
        <v>7324</v>
      </c>
      <c r="U2364" t="s">
        <v>358</v>
      </c>
      <c r="V2364">
        <v>1600</v>
      </c>
      <c r="W2364" t="s">
        <v>7363</v>
      </c>
      <c r="X2364" t="s">
        <v>7376</v>
      </c>
      <c r="Z2364" t="s">
        <v>9204</v>
      </c>
      <c r="AC2364">
        <v>59</v>
      </c>
      <c r="AD2364" t="s">
        <v>12422</v>
      </c>
      <c r="AE2364" t="s">
        <v>6110</v>
      </c>
      <c r="AF2364">
        <v>3</v>
      </c>
      <c r="AG2364">
        <v>2</v>
      </c>
      <c r="AH2364">
        <v>1</v>
      </c>
      <c r="AI2364">
        <v>170.65</v>
      </c>
      <c r="AL2364" t="s">
        <v>12461</v>
      </c>
      <c r="AM2364">
        <v>36400</v>
      </c>
      <c r="AS2364">
        <v>12.7</v>
      </c>
      <c r="AT2364" t="s">
        <v>501</v>
      </c>
      <c r="AU2364" t="s">
        <v>97</v>
      </c>
    </row>
    <row r="2365" spans="1:48">
      <c r="A2365" s="1">
        <f>HYPERLINK("https://cms.ls-nyc.org/matter/dynamic-profile/view/1897445","19-1897445")</f>
        <v>0</v>
      </c>
      <c r="B2365" t="s">
        <v>119</v>
      </c>
      <c r="C2365" t="s">
        <v>280</v>
      </c>
      <c r="E2365" t="s">
        <v>1728</v>
      </c>
      <c r="F2365" t="s">
        <v>3250</v>
      </c>
      <c r="G2365" t="s">
        <v>5013</v>
      </c>
      <c r="H2365" t="s">
        <v>5360</v>
      </c>
      <c r="I2365" t="s">
        <v>6048</v>
      </c>
      <c r="J2365">
        <v>10304</v>
      </c>
      <c r="K2365" t="s">
        <v>6074</v>
      </c>
      <c r="L2365" t="s">
        <v>6074</v>
      </c>
      <c r="M2365" t="s">
        <v>7041</v>
      </c>
      <c r="N2365" t="s">
        <v>7276</v>
      </c>
      <c r="O2365" t="s">
        <v>7308</v>
      </c>
      <c r="Q2365" t="s">
        <v>7322</v>
      </c>
      <c r="R2365" t="s">
        <v>6076</v>
      </c>
      <c r="S2365" t="s">
        <v>7324</v>
      </c>
      <c r="T2365" t="s">
        <v>7336</v>
      </c>
      <c r="U2365" t="s">
        <v>280</v>
      </c>
      <c r="V2365">
        <v>1250</v>
      </c>
      <c r="W2365" t="s">
        <v>7364</v>
      </c>
      <c r="X2365" t="s">
        <v>7373</v>
      </c>
      <c r="Z2365" t="s">
        <v>9205</v>
      </c>
      <c r="AB2365" t="s">
        <v>11889</v>
      </c>
      <c r="AC2365">
        <v>2</v>
      </c>
      <c r="AE2365" t="s">
        <v>12435</v>
      </c>
      <c r="AF2365">
        <v>1</v>
      </c>
      <c r="AG2365">
        <v>1</v>
      </c>
      <c r="AH2365">
        <v>2</v>
      </c>
      <c r="AI2365">
        <v>170.65</v>
      </c>
      <c r="AL2365" t="s">
        <v>12460</v>
      </c>
      <c r="AM2365">
        <v>36399.96</v>
      </c>
      <c r="AS2365">
        <v>0.6</v>
      </c>
      <c r="AT2365" t="s">
        <v>257</v>
      </c>
      <c r="AU2365" t="s">
        <v>13101</v>
      </c>
    </row>
    <row r="2366" spans="1:48">
      <c r="A2366" s="1">
        <f>HYPERLINK("https://cms.ls-nyc.org/matter/dynamic-profile/view/1898568","19-1898568")</f>
        <v>0</v>
      </c>
      <c r="B2366" t="s">
        <v>126</v>
      </c>
      <c r="C2366" t="s">
        <v>505</v>
      </c>
      <c r="E2366" t="s">
        <v>1729</v>
      </c>
      <c r="F2366" t="s">
        <v>3251</v>
      </c>
      <c r="G2366" t="s">
        <v>4479</v>
      </c>
      <c r="H2366" t="s">
        <v>5393</v>
      </c>
      <c r="I2366" t="s">
        <v>6049</v>
      </c>
      <c r="J2366">
        <v>10035</v>
      </c>
      <c r="K2366" t="s">
        <v>6074</v>
      </c>
      <c r="L2366" t="s">
        <v>6074</v>
      </c>
      <c r="N2366" t="s">
        <v>6104</v>
      </c>
      <c r="O2366" t="s">
        <v>7307</v>
      </c>
      <c r="Q2366" t="s">
        <v>7322</v>
      </c>
      <c r="R2366" t="s">
        <v>6074</v>
      </c>
      <c r="S2366" t="s">
        <v>7324</v>
      </c>
      <c r="T2366" t="s">
        <v>7336</v>
      </c>
      <c r="U2366" t="s">
        <v>343</v>
      </c>
      <c r="V2366">
        <v>847</v>
      </c>
      <c r="W2366" t="s">
        <v>7365</v>
      </c>
      <c r="X2366" t="s">
        <v>7378</v>
      </c>
      <c r="Z2366" t="s">
        <v>9206</v>
      </c>
      <c r="AB2366" t="s">
        <v>11890</v>
      </c>
      <c r="AC2366">
        <v>60</v>
      </c>
      <c r="AD2366" t="s">
        <v>12422</v>
      </c>
      <c r="AE2366" t="s">
        <v>12434</v>
      </c>
      <c r="AF2366">
        <v>14</v>
      </c>
      <c r="AG2366">
        <v>1</v>
      </c>
      <c r="AH2366">
        <v>2</v>
      </c>
      <c r="AI2366">
        <v>170.65</v>
      </c>
      <c r="AL2366" t="s">
        <v>12460</v>
      </c>
      <c r="AM2366">
        <v>36400</v>
      </c>
      <c r="AS2366">
        <v>6.25</v>
      </c>
      <c r="AT2366" t="s">
        <v>496</v>
      </c>
      <c r="AU2366" t="s">
        <v>13107</v>
      </c>
    </row>
    <row r="2367" spans="1:48">
      <c r="A2367" s="1">
        <f>HYPERLINK("https://cms.ls-nyc.org/matter/dynamic-profile/view/1895988","19-1895988")</f>
        <v>0</v>
      </c>
      <c r="B2367" t="s">
        <v>174</v>
      </c>
      <c r="C2367" t="s">
        <v>270</v>
      </c>
      <c r="E2367" t="s">
        <v>1730</v>
      </c>
      <c r="F2367" t="s">
        <v>3252</v>
      </c>
      <c r="G2367" t="s">
        <v>5014</v>
      </c>
      <c r="H2367" t="s">
        <v>5372</v>
      </c>
      <c r="I2367" t="s">
        <v>6043</v>
      </c>
      <c r="J2367">
        <v>11212</v>
      </c>
      <c r="K2367" t="s">
        <v>6074</v>
      </c>
      <c r="L2367" t="s">
        <v>6074</v>
      </c>
      <c r="M2367" t="s">
        <v>7042</v>
      </c>
      <c r="N2367" t="s">
        <v>7276</v>
      </c>
      <c r="O2367" t="s">
        <v>7308</v>
      </c>
      <c r="Q2367" t="s">
        <v>7322</v>
      </c>
      <c r="S2367" t="s">
        <v>7324</v>
      </c>
      <c r="U2367" t="s">
        <v>264</v>
      </c>
      <c r="V2367">
        <v>0</v>
      </c>
      <c r="W2367" t="s">
        <v>7362</v>
      </c>
      <c r="X2367" t="s">
        <v>7368</v>
      </c>
      <c r="Z2367" t="s">
        <v>9207</v>
      </c>
      <c r="AC2367">
        <v>42</v>
      </c>
      <c r="AD2367" t="s">
        <v>12422</v>
      </c>
      <c r="AF2367">
        <v>0</v>
      </c>
      <c r="AG2367">
        <v>2</v>
      </c>
      <c r="AH2367">
        <v>2</v>
      </c>
      <c r="AI2367">
        <v>170.87</v>
      </c>
      <c r="AL2367" t="s">
        <v>12460</v>
      </c>
      <c r="AM2367">
        <v>44000</v>
      </c>
      <c r="AS2367">
        <v>15</v>
      </c>
      <c r="AT2367" t="s">
        <v>260</v>
      </c>
      <c r="AU2367" t="s">
        <v>180</v>
      </c>
    </row>
    <row r="2368" spans="1:48">
      <c r="A2368" s="1">
        <f>HYPERLINK("https://cms.ls-nyc.org/matter/dynamic-profile/view/1857034","18-1857034")</f>
        <v>0</v>
      </c>
      <c r="B2368" t="s">
        <v>101</v>
      </c>
      <c r="C2368" t="s">
        <v>463</v>
      </c>
      <c r="E2368" t="s">
        <v>1731</v>
      </c>
      <c r="F2368" t="s">
        <v>3253</v>
      </c>
      <c r="G2368" t="s">
        <v>4161</v>
      </c>
      <c r="H2368" t="s">
        <v>5863</v>
      </c>
      <c r="I2368" t="s">
        <v>6047</v>
      </c>
      <c r="J2368">
        <v>10452</v>
      </c>
      <c r="K2368" t="s">
        <v>6074</v>
      </c>
      <c r="L2368" t="s">
        <v>6074</v>
      </c>
      <c r="M2368" t="s">
        <v>6455</v>
      </c>
      <c r="N2368" t="s">
        <v>7285</v>
      </c>
      <c r="O2368" t="s">
        <v>7311</v>
      </c>
      <c r="Q2368" t="s">
        <v>7322</v>
      </c>
      <c r="R2368" t="s">
        <v>6074</v>
      </c>
      <c r="S2368" t="s">
        <v>7324</v>
      </c>
      <c r="U2368" t="s">
        <v>350</v>
      </c>
      <c r="V2368">
        <v>858.6900000000001</v>
      </c>
      <c r="W2368" t="s">
        <v>7363</v>
      </c>
      <c r="X2368" t="s">
        <v>7376</v>
      </c>
      <c r="Z2368" t="s">
        <v>9208</v>
      </c>
      <c r="AB2368" t="s">
        <v>11891</v>
      </c>
      <c r="AC2368">
        <v>122</v>
      </c>
      <c r="AD2368" t="s">
        <v>12422</v>
      </c>
      <c r="AE2368" t="s">
        <v>6110</v>
      </c>
      <c r="AF2368">
        <v>4</v>
      </c>
      <c r="AG2368">
        <v>2</v>
      </c>
      <c r="AH2368">
        <v>2</v>
      </c>
      <c r="AI2368">
        <v>171.22</v>
      </c>
      <c r="AL2368" t="s">
        <v>12460</v>
      </c>
      <c r="AM2368">
        <v>42120</v>
      </c>
      <c r="AN2368" t="s">
        <v>12681</v>
      </c>
      <c r="AS2368">
        <v>0</v>
      </c>
      <c r="AU2368" t="s">
        <v>13099</v>
      </c>
    </row>
    <row r="2369" spans="1:47">
      <c r="A2369" s="1">
        <f>HYPERLINK("https://cms.ls-nyc.org/matter/dynamic-profile/view/1886611","18-1886611")</f>
        <v>0</v>
      </c>
      <c r="B2369" t="s">
        <v>60</v>
      </c>
      <c r="C2369" t="s">
        <v>346</v>
      </c>
      <c r="D2369" t="s">
        <v>472</v>
      </c>
      <c r="E2369" t="s">
        <v>1732</v>
      </c>
      <c r="F2369" t="s">
        <v>2122</v>
      </c>
      <c r="G2369" t="s">
        <v>5015</v>
      </c>
      <c r="H2369" t="s">
        <v>5866</v>
      </c>
      <c r="I2369" t="s">
        <v>6033</v>
      </c>
      <c r="J2369">
        <v>11416</v>
      </c>
      <c r="K2369" t="s">
        <v>6074</v>
      </c>
      <c r="L2369" t="s">
        <v>6074</v>
      </c>
      <c r="M2369" t="s">
        <v>7043</v>
      </c>
      <c r="N2369" t="s">
        <v>7274</v>
      </c>
      <c r="O2369" t="s">
        <v>7306</v>
      </c>
      <c r="P2369" t="s">
        <v>7314</v>
      </c>
      <c r="Q2369" t="s">
        <v>7322</v>
      </c>
      <c r="R2369" t="s">
        <v>6076</v>
      </c>
      <c r="S2369" t="s">
        <v>7324</v>
      </c>
      <c r="T2369" t="s">
        <v>7336</v>
      </c>
      <c r="U2369" t="s">
        <v>346</v>
      </c>
      <c r="V2369">
        <v>1534</v>
      </c>
      <c r="W2369" t="s">
        <v>7361</v>
      </c>
      <c r="X2369" t="s">
        <v>7366</v>
      </c>
      <c r="Y2369" t="s">
        <v>7386</v>
      </c>
      <c r="Z2369" t="s">
        <v>9209</v>
      </c>
      <c r="AA2369" t="s">
        <v>10257</v>
      </c>
      <c r="AB2369" t="s">
        <v>11892</v>
      </c>
      <c r="AC2369">
        <v>3</v>
      </c>
      <c r="AD2369" t="s">
        <v>12419</v>
      </c>
      <c r="AE2369" t="s">
        <v>12435</v>
      </c>
      <c r="AF2369">
        <v>1</v>
      </c>
      <c r="AG2369">
        <v>2</v>
      </c>
      <c r="AH2369">
        <v>1</v>
      </c>
      <c r="AI2369">
        <v>171.32</v>
      </c>
      <c r="AL2369" t="s">
        <v>12461</v>
      </c>
      <c r="AM2369">
        <v>35600</v>
      </c>
      <c r="AS2369">
        <v>1.94</v>
      </c>
      <c r="AT2369" t="s">
        <v>465</v>
      </c>
      <c r="AU2369" t="s">
        <v>60</v>
      </c>
    </row>
    <row r="2370" spans="1:47">
      <c r="A2370" s="1">
        <f>HYPERLINK("https://cms.ls-nyc.org/matter/dynamic-profile/view/1873746","18-1873746")</f>
        <v>0</v>
      </c>
      <c r="B2370" t="s">
        <v>52</v>
      </c>
      <c r="C2370" t="s">
        <v>402</v>
      </c>
      <c r="D2370" t="s">
        <v>427</v>
      </c>
      <c r="E2370" t="s">
        <v>1733</v>
      </c>
      <c r="F2370" t="s">
        <v>3254</v>
      </c>
      <c r="G2370" t="s">
        <v>5016</v>
      </c>
      <c r="H2370" t="s">
        <v>5815</v>
      </c>
      <c r="I2370" t="s">
        <v>6025</v>
      </c>
      <c r="J2370">
        <v>11693</v>
      </c>
      <c r="K2370" t="s">
        <v>6074</v>
      </c>
      <c r="L2370" t="s">
        <v>6074</v>
      </c>
      <c r="M2370" t="s">
        <v>7044</v>
      </c>
      <c r="N2370" t="s">
        <v>7274</v>
      </c>
      <c r="O2370" t="s">
        <v>7306</v>
      </c>
      <c r="P2370" t="s">
        <v>7314</v>
      </c>
      <c r="Q2370" t="s">
        <v>7322</v>
      </c>
      <c r="R2370" t="s">
        <v>6076</v>
      </c>
      <c r="S2370" t="s">
        <v>7324</v>
      </c>
      <c r="T2370" t="s">
        <v>7338</v>
      </c>
      <c r="U2370" t="s">
        <v>402</v>
      </c>
      <c r="V2370">
        <v>600</v>
      </c>
      <c r="W2370" t="s">
        <v>7361</v>
      </c>
      <c r="X2370" t="s">
        <v>7366</v>
      </c>
      <c r="Y2370" t="s">
        <v>7386</v>
      </c>
      <c r="Z2370" t="s">
        <v>9210</v>
      </c>
      <c r="AA2370" t="s">
        <v>6110</v>
      </c>
      <c r="AB2370" t="s">
        <v>11893</v>
      </c>
      <c r="AC2370">
        <v>2</v>
      </c>
      <c r="AD2370" t="s">
        <v>12419</v>
      </c>
      <c r="AE2370" t="s">
        <v>6110</v>
      </c>
      <c r="AF2370">
        <v>4</v>
      </c>
      <c r="AG2370">
        <v>1</v>
      </c>
      <c r="AH2370">
        <v>0</v>
      </c>
      <c r="AI2370">
        <v>171.33</v>
      </c>
      <c r="AL2370" t="s">
        <v>12460</v>
      </c>
      <c r="AM2370">
        <v>20800</v>
      </c>
      <c r="AS2370">
        <v>0.9</v>
      </c>
      <c r="AT2370" t="s">
        <v>427</v>
      </c>
      <c r="AU2370" t="s">
        <v>189</v>
      </c>
    </row>
    <row r="2371" spans="1:47">
      <c r="A2371" s="1">
        <f>HYPERLINK("https://cms.ls-nyc.org/matter/dynamic-profile/view/1880702","18-1880702")</f>
        <v>0</v>
      </c>
      <c r="B2371" t="s">
        <v>61</v>
      </c>
      <c r="C2371" t="s">
        <v>256</v>
      </c>
      <c r="E2371" t="s">
        <v>586</v>
      </c>
      <c r="F2371" t="s">
        <v>2557</v>
      </c>
      <c r="G2371" t="s">
        <v>5017</v>
      </c>
      <c r="H2371" t="s">
        <v>5867</v>
      </c>
      <c r="I2371" t="s">
        <v>6025</v>
      </c>
      <c r="J2371">
        <v>11691</v>
      </c>
      <c r="K2371" t="s">
        <v>6074</v>
      </c>
      <c r="L2371" t="s">
        <v>6074</v>
      </c>
      <c r="M2371" t="s">
        <v>7045</v>
      </c>
      <c r="N2371" t="s">
        <v>7274</v>
      </c>
      <c r="O2371" t="s">
        <v>7310</v>
      </c>
      <c r="Q2371" t="s">
        <v>7322</v>
      </c>
      <c r="R2371" t="s">
        <v>6076</v>
      </c>
      <c r="S2371" t="s">
        <v>7324</v>
      </c>
      <c r="T2371" t="s">
        <v>7336</v>
      </c>
      <c r="U2371" t="s">
        <v>256</v>
      </c>
      <c r="V2371">
        <v>850</v>
      </c>
      <c r="W2371" t="s">
        <v>7361</v>
      </c>
      <c r="X2371" t="s">
        <v>7366</v>
      </c>
      <c r="Z2371" t="s">
        <v>9211</v>
      </c>
      <c r="AB2371" t="s">
        <v>11894</v>
      </c>
      <c r="AC2371">
        <v>2</v>
      </c>
      <c r="AD2371" t="s">
        <v>12419</v>
      </c>
      <c r="AE2371" t="s">
        <v>6110</v>
      </c>
      <c r="AF2371">
        <v>2</v>
      </c>
      <c r="AG2371">
        <v>1</v>
      </c>
      <c r="AH2371">
        <v>0</v>
      </c>
      <c r="AI2371">
        <v>171.33</v>
      </c>
      <c r="AL2371" t="s">
        <v>12460</v>
      </c>
      <c r="AM2371">
        <v>20800</v>
      </c>
      <c r="AS2371">
        <v>0</v>
      </c>
      <c r="AU2371" t="s">
        <v>189</v>
      </c>
    </row>
    <row r="2372" spans="1:47">
      <c r="A2372" s="1">
        <f>HYPERLINK("https://cms.ls-nyc.org/matter/dynamic-profile/view/1873153","18-1873153")</f>
        <v>0</v>
      </c>
      <c r="B2372" t="s">
        <v>152</v>
      </c>
      <c r="C2372" t="s">
        <v>419</v>
      </c>
      <c r="D2372" t="s">
        <v>266</v>
      </c>
      <c r="E2372" t="s">
        <v>1734</v>
      </c>
      <c r="F2372" t="s">
        <v>3255</v>
      </c>
      <c r="G2372" t="s">
        <v>5018</v>
      </c>
      <c r="H2372" t="s">
        <v>5400</v>
      </c>
      <c r="I2372" t="s">
        <v>6025</v>
      </c>
      <c r="J2372">
        <v>11691</v>
      </c>
      <c r="K2372" t="s">
        <v>6074</v>
      </c>
      <c r="L2372" t="s">
        <v>6074</v>
      </c>
      <c r="M2372" t="s">
        <v>7046</v>
      </c>
      <c r="N2372" t="s">
        <v>7276</v>
      </c>
      <c r="O2372" t="s">
        <v>7308</v>
      </c>
      <c r="P2372" t="s">
        <v>7316</v>
      </c>
      <c r="Q2372" t="s">
        <v>7322</v>
      </c>
      <c r="R2372" t="s">
        <v>6076</v>
      </c>
      <c r="S2372" t="s">
        <v>7324</v>
      </c>
      <c r="T2372" t="s">
        <v>7338</v>
      </c>
      <c r="U2372" t="s">
        <v>419</v>
      </c>
      <c r="V2372">
        <v>685</v>
      </c>
      <c r="W2372" t="s">
        <v>7361</v>
      </c>
      <c r="X2372" t="s">
        <v>7366</v>
      </c>
      <c r="Y2372" t="s">
        <v>7388</v>
      </c>
      <c r="Z2372" t="s">
        <v>9212</v>
      </c>
      <c r="AA2372" t="s">
        <v>6101</v>
      </c>
      <c r="AB2372" t="s">
        <v>11895</v>
      </c>
      <c r="AC2372">
        <v>38</v>
      </c>
      <c r="AD2372" t="s">
        <v>12426</v>
      </c>
      <c r="AE2372" t="s">
        <v>6110</v>
      </c>
      <c r="AF2372">
        <v>4</v>
      </c>
      <c r="AG2372">
        <v>1</v>
      </c>
      <c r="AH2372">
        <v>0</v>
      </c>
      <c r="AI2372">
        <v>171.33</v>
      </c>
      <c r="AK2372" t="s">
        <v>12457</v>
      </c>
      <c r="AL2372" t="s">
        <v>12460</v>
      </c>
      <c r="AM2372">
        <v>20800</v>
      </c>
      <c r="AO2372" t="s">
        <v>12850</v>
      </c>
      <c r="AP2372" t="s">
        <v>12858</v>
      </c>
      <c r="AQ2372" t="s">
        <v>12909</v>
      </c>
      <c r="AR2372" t="s">
        <v>13043</v>
      </c>
      <c r="AS2372">
        <v>5.2</v>
      </c>
      <c r="AT2372" t="s">
        <v>425</v>
      </c>
      <c r="AU2372" t="s">
        <v>189</v>
      </c>
    </row>
    <row r="2373" spans="1:47">
      <c r="A2373" s="1">
        <f>HYPERLINK("https://cms.ls-nyc.org/matter/dynamic-profile/view/1863782","18-1863782")</f>
        <v>0</v>
      </c>
      <c r="B2373" t="s">
        <v>82</v>
      </c>
      <c r="C2373" t="s">
        <v>525</v>
      </c>
      <c r="E2373" t="s">
        <v>1735</v>
      </c>
      <c r="F2373" t="s">
        <v>3256</v>
      </c>
      <c r="G2373" t="s">
        <v>4397</v>
      </c>
      <c r="H2373" t="s">
        <v>5706</v>
      </c>
      <c r="I2373" t="s">
        <v>6043</v>
      </c>
      <c r="J2373">
        <v>11226</v>
      </c>
      <c r="K2373" t="s">
        <v>6074</v>
      </c>
      <c r="L2373" t="s">
        <v>6074</v>
      </c>
      <c r="N2373" t="s">
        <v>7273</v>
      </c>
      <c r="O2373" t="s">
        <v>7309</v>
      </c>
      <c r="Q2373" t="s">
        <v>7322</v>
      </c>
      <c r="R2373" t="s">
        <v>6074</v>
      </c>
      <c r="S2373" t="s">
        <v>7324</v>
      </c>
      <c r="U2373" t="s">
        <v>502</v>
      </c>
      <c r="V2373">
        <v>560</v>
      </c>
      <c r="W2373" t="s">
        <v>7362</v>
      </c>
      <c r="X2373" t="s">
        <v>7376</v>
      </c>
      <c r="Z2373" t="s">
        <v>8609</v>
      </c>
      <c r="AC2373">
        <v>6</v>
      </c>
      <c r="AD2373" t="s">
        <v>12422</v>
      </c>
      <c r="AE2373" t="s">
        <v>6110</v>
      </c>
      <c r="AF2373">
        <v>17</v>
      </c>
      <c r="AG2373">
        <v>1</v>
      </c>
      <c r="AH2373">
        <v>0</v>
      </c>
      <c r="AI2373">
        <v>171.33</v>
      </c>
      <c r="AL2373" t="s">
        <v>12460</v>
      </c>
      <c r="AM2373">
        <v>20800</v>
      </c>
      <c r="AS2373">
        <v>44.75</v>
      </c>
      <c r="AT2373" t="s">
        <v>313</v>
      </c>
      <c r="AU2373" t="s">
        <v>13087</v>
      </c>
    </row>
    <row r="2374" spans="1:47">
      <c r="A2374" s="1">
        <f>HYPERLINK("https://cms.ls-nyc.org/matter/dynamic-profile/view/1864898","18-1864898")</f>
        <v>0</v>
      </c>
      <c r="B2374" t="s">
        <v>82</v>
      </c>
      <c r="C2374" t="s">
        <v>486</v>
      </c>
      <c r="E2374" t="s">
        <v>1735</v>
      </c>
      <c r="F2374" t="s">
        <v>3256</v>
      </c>
      <c r="G2374" t="s">
        <v>4397</v>
      </c>
      <c r="H2374" t="s">
        <v>5706</v>
      </c>
      <c r="I2374" t="s">
        <v>6043</v>
      </c>
      <c r="J2374">
        <v>11226</v>
      </c>
      <c r="K2374" t="s">
        <v>6074</v>
      </c>
      <c r="L2374" t="s">
        <v>6074</v>
      </c>
      <c r="N2374" t="s">
        <v>7278</v>
      </c>
      <c r="O2374" t="s">
        <v>7309</v>
      </c>
      <c r="Q2374" t="s">
        <v>7322</v>
      </c>
      <c r="R2374" t="s">
        <v>6074</v>
      </c>
      <c r="S2374" t="s">
        <v>7324</v>
      </c>
      <c r="U2374" t="s">
        <v>240</v>
      </c>
      <c r="V2374">
        <v>560</v>
      </c>
      <c r="W2374" t="s">
        <v>7362</v>
      </c>
      <c r="X2374" t="s">
        <v>7376</v>
      </c>
      <c r="Z2374" t="s">
        <v>8609</v>
      </c>
      <c r="AC2374">
        <v>6</v>
      </c>
      <c r="AD2374" t="s">
        <v>12422</v>
      </c>
      <c r="AE2374" t="s">
        <v>6110</v>
      </c>
      <c r="AF2374">
        <v>17</v>
      </c>
      <c r="AG2374">
        <v>1</v>
      </c>
      <c r="AH2374">
        <v>0</v>
      </c>
      <c r="AI2374">
        <v>171.33</v>
      </c>
      <c r="AL2374" t="s">
        <v>12460</v>
      </c>
      <c r="AM2374">
        <v>20800</v>
      </c>
      <c r="AS2374">
        <v>28.25</v>
      </c>
      <c r="AT2374" t="s">
        <v>397</v>
      </c>
      <c r="AU2374" t="s">
        <v>13087</v>
      </c>
    </row>
    <row r="2375" spans="1:47">
      <c r="A2375" s="1">
        <f>HYPERLINK("https://cms.ls-nyc.org/matter/dynamic-profile/view/1876008","18-1876008")</f>
        <v>0</v>
      </c>
      <c r="B2375" t="s">
        <v>174</v>
      </c>
      <c r="C2375" t="s">
        <v>312</v>
      </c>
      <c r="E2375" t="s">
        <v>1713</v>
      </c>
      <c r="F2375" t="s">
        <v>3235</v>
      </c>
      <c r="G2375" t="s">
        <v>4354</v>
      </c>
      <c r="H2375" t="s">
        <v>5364</v>
      </c>
      <c r="I2375" t="s">
        <v>6043</v>
      </c>
      <c r="J2375">
        <v>11221</v>
      </c>
      <c r="K2375" t="s">
        <v>6074</v>
      </c>
      <c r="L2375" t="s">
        <v>6074</v>
      </c>
      <c r="M2375" t="s">
        <v>7047</v>
      </c>
      <c r="N2375" t="s">
        <v>7273</v>
      </c>
      <c r="O2375" t="s">
        <v>7308</v>
      </c>
      <c r="Q2375" t="s">
        <v>7322</v>
      </c>
      <c r="R2375" t="s">
        <v>6074</v>
      </c>
      <c r="S2375" t="s">
        <v>7324</v>
      </c>
      <c r="U2375" t="s">
        <v>442</v>
      </c>
      <c r="V2375">
        <v>763</v>
      </c>
      <c r="W2375" t="s">
        <v>7362</v>
      </c>
      <c r="X2375" t="s">
        <v>7375</v>
      </c>
      <c r="Z2375" t="s">
        <v>9179</v>
      </c>
      <c r="AB2375" t="s">
        <v>11862</v>
      </c>
      <c r="AC2375">
        <v>12</v>
      </c>
      <c r="AD2375" t="s">
        <v>12422</v>
      </c>
      <c r="AE2375" t="s">
        <v>6110</v>
      </c>
      <c r="AF2375">
        <v>10</v>
      </c>
      <c r="AG2375">
        <v>1</v>
      </c>
      <c r="AH2375">
        <v>0</v>
      </c>
      <c r="AI2375">
        <v>171.33</v>
      </c>
      <c r="AL2375" t="s">
        <v>12460</v>
      </c>
      <c r="AM2375">
        <v>20800</v>
      </c>
      <c r="AS2375">
        <v>18.6</v>
      </c>
      <c r="AT2375" t="s">
        <v>457</v>
      </c>
      <c r="AU2375" t="s">
        <v>218</v>
      </c>
    </row>
    <row r="2376" spans="1:47">
      <c r="A2376" s="1">
        <f>HYPERLINK("https://cms.ls-nyc.org/matter/dynamic-profile/view/1884939","18-1884939")</f>
        <v>0</v>
      </c>
      <c r="B2376" t="s">
        <v>104</v>
      </c>
      <c r="C2376" t="s">
        <v>269</v>
      </c>
      <c r="E2376" t="s">
        <v>1430</v>
      </c>
      <c r="F2376" t="s">
        <v>3257</v>
      </c>
      <c r="G2376" t="s">
        <v>5019</v>
      </c>
      <c r="H2376" t="s">
        <v>5564</v>
      </c>
      <c r="I2376" t="s">
        <v>6047</v>
      </c>
      <c r="J2376">
        <v>10459</v>
      </c>
      <c r="K2376" t="s">
        <v>6074</v>
      </c>
      <c r="L2376" t="s">
        <v>6074</v>
      </c>
      <c r="M2376" t="s">
        <v>7048</v>
      </c>
      <c r="N2376" t="s">
        <v>7274</v>
      </c>
      <c r="O2376" t="s">
        <v>7306</v>
      </c>
      <c r="Q2376" t="s">
        <v>7322</v>
      </c>
      <c r="R2376" t="s">
        <v>6076</v>
      </c>
      <c r="S2376" t="s">
        <v>7324</v>
      </c>
      <c r="T2376" t="s">
        <v>7336</v>
      </c>
      <c r="U2376" t="s">
        <v>269</v>
      </c>
      <c r="V2376">
        <v>843.08</v>
      </c>
      <c r="W2376" t="s">
        <v>7363</v>
      </c>
      <c r="X2376" t="s">
        <v>7367</v>
      </c>
      <c r="Z2376" t="s">
        <v>9213</v>
      </c>
      <c r="AB2376" t="s">
        <v>11896</v>
      </c>
      <c r="AC2376">
        <v>0</v>
      </c>
      <c r="AD2376" t="s">
        <v>12422</v>
      </c>
      <c r="AE2376" t="s">
        <v>6110</v>
      </c>
      <c r="AF2376">
        <v>1</v>
      </c>
      <c r="AG2376">
        <v>1</v>
      </c>
      <c r="AH2376">
        <v>0</v>
      </c>
      <c r="AI2376">
        <v>171.33</v>
      </c>
      <c r="AL2376" t="s">
        <v>12460</v>
      </c>
      <c r="AM2376">
        <v>20800</v>
      </c>
      <c r="AS2376">
        <v>1.2</v>
      </c>
      <c r="AT2376" t="s">
        <v>347</v>
      </c>
      <c r="AU2376" t="s">
        <v>104</v>
      </c>
    </row>
    <row r="2377" spans="1:47">
      <c r="A2377" s="1">
        <f>HYPERLINK("https://cms.ls-nyc.org/matter/dynamic-profile/view/1887550","19-1887550")</f>
        <v>0</v>
      </c>
      <c r="B2377" t="s">
        <v>109</v>
      </c>
      <c r="C2377" t="s">
        <v>492</v>
      </c>
      <c r="D2377" t="s">
        <v>259</v>
      </c>
      <c r="E2377" t="s">
        <v>966</v>
      </c>
      <c r="F2377" t="s">
        <v>2390</v>
      </c>
      <c r="G2377" t="s">
        <v>5020</v>
      </c>
      <c r="H2377">
        <v>31</v>
      </c>
      <c r="I2377" t="s">
        <v>6047</v>
      </c>
      <c r="J2377">
        <v>10457</v>
      </c>
      <c r="K2377" t="s">
        <v>6074</v>
      </c>
      <c r="L2377" t="s">
        <v>6074</v>
      </c>
      <c r="M2377" t="s">
        <v>7049</v>
      </c>
      <c r="N2377" t="s">
        <v>7276</v>
      </c>
      <c r="O2377" t="s">
        <v>7306</v>
      </c>
      <c r="P2377" t="s">
        <v>7314</v>
      </c>
      <c r="Q2377" t="s">
        <v>7322</v>
      </c>
      <c r="R2377" t="s">
        <v>6076</v>
      </c>
      <c r="S2377" t="s">
        <v>7324</v>
      </c>
      <c r="T2377" t="s">
        <v>7337</v>
      </c>
      <c r="U2377" t="s">
        <v>492</v>
      </c>
      <c r="V2377">
        <v>1326</v>
      </c>
      <c r="W2377" t="s">
        <v>7363</v>
      </c>
      <c r="X2377" t="s">
        <v>7373</v>
      </c>
      <c r="Y2377" t="s">
        <v>7386</v>
      </c>
      <c r="Z2377" t="s">
        <v>8812</v>
      </c>
      <c r="AB2377" t="s">
        <v>11897</v>
      </c>
      <c r="AC2377">
        <v>55</v>
      </c>
      <c r="AD2377" t="s">
        <v>12422</v>
      </c>
      <c r="AF2377">
        <v>2</v>
      </c>
      <c r="AG2377">
        <v>1</v>
      </c>
      <c r="AH2377">
        <v>0</v>
      </c>
      <c r="AI2377">
        <v>171.33</v>
      </c>
      <c r="AL2377" t="s">
        <v>12461</v>
      </c>
      <c r="AM2377">
        <v>20800</v>
      </c>
      <c r="AS2377">
        <v>1.5</v>
      </c>
      <c r="AT2377" t="s">
        <v>492</v>
      </c>
      <c r="AU2377" t="s">
        <v>13112</v>
      </c>
    </row>
    <row r="2378" spans="1:47">
      <c r="A2378" s="1">
        <f>HYPERLINK("https://cms.ls-nyc.org/matter/dynamic-profile/view/1871844","18-1871844")</f>
        <v>0</v>
      </c>
      <c r="B2378" t="s">
        <v>111</v>
      </c>
      <c r="C2378" t="s">
        <v>475</v>
      </c>
      <c r="D2378" t="s">
        <v>333</v>
      </c>
      <c r="E2378" t="s">
        <v>1266</v>
      </c>
      <c r="F2378" t="s">
        <v>2390</v>
      </c>
      <c r="G2378" t="s">
        <v>5021</v>
      </c>
      <c r="H2378" t="s">
        <v>5385</v>
      </c>
      <c r="I2378" t="s">
        <v>6047</v>
      </c>
      <c r="J2378">
        <v>10453</v>
      </c>
      <c r="K2378" t="s">
        <v>6074</v>
      </c>
      <c r="L2378" t="s">
        <v>6074</v>
      </c>
      <c r="M2378" t="s">
        <v>7050</v>
      </c>
      <c r="N2378" t="s">
        <v>7274</v>
      </c>
      <c r="O2378" t="s">
        <v>7308</v>
      </c>
      <c r="P2378" t="s">
        <v>7316</v>
      </c>
      <c r="Q2378" t="s">
        <v>7322</v>
      </c>
      <c r="R2378" t="s">
        <v>6076</v>
      </c>
      <c r="S2378" t="s">
        <v>7324</v>
      </c>
      <c r="T2378" t="s">
        <v>7336</v>
      </c>
      <c r="U2378" t="s">
        <v>242</v>
      </c>
      <c r="V2378">
        <v>1419</v>
      </c>
      <c r="W2378" t="s">
        <v>7363</v>
      </c>
      <c r="X2378" t="s">
        <v>7374</v>
      </c>
      <c r="Y2378" t="s">
        <v>7388</v>
      </c>
      <c r="Z2378" t="s">
        <v>9214</v>
      </c>
      <c r="AB2378" t="s">
        <v>11898</v>
      </c>
      <c r="AC2378">
        <v>40</v>
      </c>
      <c r="AD2378" t="s">
        <v>12422</v>
      </c>
      <c r="AE2378" t="s">
        <v>6110</v>
      </c>
      <c r="AF2378">
        <v>10</v>
      </c>
      <c r="AG2378">
        <v>1</v>
      </c>
      <c r="AH2378">
        <v>0</v>
      </c>
      <c r="AI2378">
        <v>171.33</v>
      </c>
      <c r="AL2378" t="s">
        <v>12460</v>
      </c>
      <c r="AM2378">
        <v>20800</v>
      </c>
      <c r="AP2378" t="s">
        <v>12902</v>
      </c>
      <c r="AQ2378" t="s">
        <v>12909</v>
      </c>
      <c r="AR2378" t="s">
        <v>13000</v>
      </c>
      <c r="AS2378">
        <v>13.65</v>
      </c>
      <c r="AT2378" t="s">
        <v>333</v>
      </c>
      <c r="AU2378" t="s">
        <v>13079</v>
      </c>
    </row>
    <row r="2379" spans="1:47">
      <c r="A2379" s="1">
        <f>HYPERLINK("https://cms.ls-nyc.org/matter/dynamic-profile/view/1879898","18-1879898")</f>
        <v>0</v>
      </c>
      <c r="B2379" t="s">
        <v>133</v>
      </c>
      <c r="C2379" t="s">
        <v>271</v>
      </c>
      <c r="D2379" t="s">
        <v>293</v>
      </c>
      <c r="E2379" t="s">
        <v>1736</v>
      </c>
      <c r="F2379" t="s">
        <v>3258</v>
      </c>
      <c r="G2379" t="s">
        <v>4128</v>
      </c>
      <c r="H2379" t="s">
        <v>5868</v>
      </c>
      <c r="I2379" t="s">
        <v>6049</v>
      </c>
      <c r="J2379">
        <v>10040</v>
      </c>
      <c r="K2379" t="s">
        <v>6074</v>
      </c>
      <c r="L2379" t="s">
        <v>6074</v>
      </c>
      <c r="N2379" t="s">
        <v>7279</v>
      </c>
      <c r="O2379" t="s">
        <v>7308</v>
      </c>
      <c r="P2379" t="s">
        <v>7316</v>
      </c>
      <c r="Q2379" t="s">
        <v>7322</v>
      </c>
      <c r="R2379" t="s">
        <v>6076</v>
      </c>
      <c r="S2379" t="s">
        <v>7324</v>
      </c>
      <c r="U2379" t="s">
        <v>271</v>
      </c>
      <c r="V2379">
        <v>838.13</v>
      </c>
      <c r="W2379" t="s">
        <v>7365</v>
      </c>
      <c r="X2379" t="s">
        <v>7368</v>
      </c>
      <c r="Y2379" t="s">
        <v>7394</v>
      </c>
      <c r="Z2379" t="s">
        <v>9215</v>
      </c>
      <c r="AB2379" t="s">
        <v>11899</v>
      </c>
      <c r="AC2379">
        <v>88</v>
      </c>
      <c r="AD2379" t="s">
        <v>12422</v>
      </c>
      <c r="AE2379" t="s">
        <v>6110</v>
      </c>
      <c r="AF2379">
        <v>4</v>
      </c>
      <c r="AG2379">
        <v>1</v>
      </c>
      <c r="AH2379">
        <v>0</v>
      </c>
      <c r="AI2379">
        <v>171.33</v>
      </c>
      <c r="AL2379" t="s">
        <v>12460</v>
      </c>
      <c r="AM2379">
        <v>20800</v>
      </c>
      <c r="AS2379">
        <v>0.1</v>
      </c>
      <c r="AT2379" t="s">
        <v>293</v>
      </c>
      <c r="AU2379" t="s">
        <v>13106</v>
      </c>
    </row>
    <row r="2380" spans="1:47">
      <c r="A2380" s="1">
        <f>HYPERLINK("https://cms.ls-nyc.org/matter/dynamic-profile/view/1867788","18-1867788")</f>
        <v>0</v>
      </c>
      <c r="B2380" t="s">
        <v>126</v>
      </c>
      <c r="C2380" t="s">
        <v>499</v>
      </c>
      <c r="D2380" t="s">
        <v>269</v>
      </c>
      <c r="E2380" t="s">
        <v>620</v>
      </c>
      <c r="F2380" t="s">
        <v>2856</v>
      </c>
      <c r="G2380" t="s">
        <v>5022</v>
      </c>
      <c r="H2380" t="s">
        <v>5382</v>
      </c>
      <c r="I2380" t="s">
        <v>6049</v>
      </c>
      <c r="J2380">
        <v>10029</v>
      </c>
      <c r="K2380" t="s">
        <v>6074</v>
      </c>
      <c r="L2380" t="s">
        <v>6074</v>
      </c>
      <c r="M2380" t="s">
        <v>7051</v>
      </c>
      <c r="N2380" t="s">
        <v>7276</v>
      </c>
      <c r="O2380" t="s">
        <v>7308</v>
      </c>
      <c r="P2380" t="s">
        <v>7316</v>
      </c>
      <c r="Q2380" t="s">
        <v>7322</v>
      </c>
      <c r="R2380" t="s">
        <v>6076</v>
      </c>
      <c r="S2380" t="s">
        <v>7331</v>
      </c>
      <c r="T2380" t="s">
        <v>7336</v>
      </c>
      <c r="U2380" t="s">
        <v>394</v>
      </c>
      <c r="V2380">
        <v>2692.96</v>
      </c>
      <c r="W2380" t="s">
        <v>7365</v>
      </c>
      <c r="X2380" t="s">
        <v>7367</v>
      </c>
      <c r="Y2380" t="s">
        <v>7388</v>
      </c>
      <c r="Z2380" t="s">
        <v>8923</v>
      </c>
      <c r="AB2380" t="s">
        <v>11900</v>
      </c>
      <c r="AC2380">
        <v>45</v>
      </c>
      <c r="AD2380" t="s">
        <v>6322</v>
      </c>
      <c r="AE2380" t="s">
        <v>12434</v>
      </c>
      <c r="AF2380">
        <v>20</v>
      </c>
      <c r="AG2380">
        <v>1</v>
      </c>
      <c r="AH2380">
        <v>0</v>
      </c>
      <c r="AI2380">
        <v>171.33</v>
      </c>
      <c r="AL2380" t="s">
        <v>12460</v>
      </c>
      <c r="AM2380">
        <v>20800</v>
      </c>
      <c r="AO2380" t="s">
        <v>12846</v>
      </c>
      <c r="AP2380" t="s">
        <v>12879</v>
      </c>
      <c r="AQ2380" t="s">
        <v>12909</v>
      </c>
      <c r="AR2380" t="s">
        <v>13044</v>
      </c>
      <c r="AS2380">
        <v>4.55</v>
      </c>
      <c r="AT2380" t="s">
        <v>530</v>
      </c>
      <c r="AU2380" t="s">
        <v>13091</v>
      </c>
    </row>
    <row r="2381" spans="1:47">
      <c r="A2381" s="1">
        <f>HYPERLINK("https://cms.ls-nyc.org/matter/dynamic-profile/view/1873550","18-1873550")</f>
        <v>0</v>
      </c>
      <c r="B2381" t="s">
        <v>107</v>
      </c>
      <c r="C2381" t="s">
        <v>447</v>
      </c>
      <c r="E2381" t="s">
        <v>1737</v>
      </c>
      <c r="F2381" t="s">
        <v>3259</v>
      </c>
      <c r="G2381" t="s">
        <v>5023</v>
      </c>
      <c r="H2381" t="s">
        <v>5495</v>
      </c>
      <c r="I2381" t="s">
        <v>6047</v>
      </c>
      <c r="J2381">
        <v>10457</v>
      </c>
      <c r="K2381" t="s">
        <v>6074</v>
      </c>
      <c r="L2381" t="s">
        <v>6074</v>
      </c>
      <c r="M2381" t="s">
        <v>7052</v>
      </c>
      <c r="N2381" t="s">
        <v>7276</v>
      </c>
      <c r="O2381" t="s">
        <v>7308</v>
      </c>
      <c r="Q2381" t="s">
        <v>7322</v>
      </c>
      <c r="R2381" t="s">
        <v>6076</v>
      </c>
      <c r="S2381" t="s">
        <v>7324</v>
      </c>
      <c r="T2381" t="s">
        <v>7336</v>
      </c>
      <c r="U2381" t="s">
        <v>437</v>
      </c>
      <c r="V2381">
        <v>1840</v>
      </c>
      <c r="W2381" t="s">
        <v>7363</v>
      </c>
      <c r="X2381" t="s">
        <v>7377</v>
      </c>
      <c r="Z2381" t="s">
        <v>9216</v>
      </c>
      <c r="AA2381" t="s">
        <v>10258</v>
      </c>
      <c r="AB2381" t="s">
        <v>11901</v>
      </c>
      <c r="AC2381">
        <v>120</v>
      </c>
      <c r="AD2381" t="s">
        <v>12426</v>
      </c>
      <c r="AE2381" t="s">
        <v>6110</v>
      </c>
      <c r="AF2381">
        <v>2</v>
      </c>
      <c r="AG2381">
        <v>3</v>
      </c>
      <c r="AH2381">
        <v>2</v>
      </c>
      <c r="AI2381">
        <v>171.64</v>
      </c>
      <c r="AL2381" t="s">
        <v>12460</v>
      </c>
      <c r="AM2381">
        <v>50496</v>
      </c>
      <c r="AS2381">
        <v>61.4</v>
      </c>
      <c r="AT2381" t="s">
        <v>265</v>
      </c>
      <c r="AU2381" t="s">
        <v>13134</v>
      </c>
    </row>
    <row r="2382" spans="1:47">
      <c r="A2382" s="1">
        <f>HYPERLINK("https://cms.ls-nyc.org/matter/dynamic-profile/view/1892505","19-1892505")</f>
        <v>0</v>
      </c>
      <c r="B2382" t="s">
        <v>72</v>
      </c>
      <c r="C2382" t="s">
        <v>277</v>
      </c>
      <c r="E2382" t="s">
        <v>686</v>
      </c>
      <c r="F2382" t="s">
        <v>2104</v>
      </c>
      <c r="G2382" t="s">
        <v>3700</v>
      </c>
      <c r="H2382" t="s">
        <v>5609</v>
      </c>
      <c r="I2382" t="s">
        <v>6043</v>
      </c>
      <c r="J2382">
        <v>11233</v>
      </c>
      <c r="K2382" t="s">
        <v>6074</v>
      </c>
      <c r="L2382" t="s">
        <v>6076</v>
      </c>
      <c r="N2382" t="s">
        <v>7279</v>
      </c>
      <c r="O2382" t="s">
        <v>7311</v>
      </c>
      <c r="Q2382" t="s">
        <v>7322</v>
      </c>
      <c r="R2382" t="s">
        <v>6074</v>
      </c>
      <c r="S2382" t="s">
        <v>7324</v>
      </c>
      <c r="T2382" t="s">
        <v>7336</v>
      </c>
      <c r="U2382" t="s">
        <v>330</v>
      </c>
      <c r="V2382">
        <v>986</v>
      </c>
      <c r="W2382" t="s">
        <v>7362</v>
      </c>
      <c r="X2382" t="s">
        <v>7305</v>
      </c>
      <c r="Z2382" t="s">
        <v>9217</v>
      </c>
      <c r="AC2382">
        <v>359</v>
      </c>
      <c r="AD2382" t="s">
        <v>12422</v>
      </c>
      <c r="AF2382">
        <v>16</v>
      </c>
      <c r="AG2382">
        <v>2</v>
      </c>
      <c r="AH2382">
        <v>1</v>
      </c>
      <c r="AI2382">
        <v>171.84</v>
      </c>
      <c r="AL2382" t="s">
        <v>12460</v>
      </c>
      <c r="AM2382">
        <v>36653</v>
      </c>
      <c r="AN2382" t="s">
        <v>12620</v>
      </c>
      <c r="AS2382">
        <v>0</v>
      </c>
      <c r="AU2382" t="s">
        <v>180</v>
      </c>
    </row>
    <row r="2383" spans="1:47">
      <c r="A2383" s="1">
        <f>HYPERLINK("https://cms.ls-nyc.org/matter/dynamic-profile/view/1892508","19-1892508")</f>
        <v>0</v>
      </c>
      <c r="B2383" t="s">
        <v>72</v>
      </c>
      <c r="C2383" t="s">
        <v>277</v>
      </c>
      <c r="E2383" t="s">
        <v>686</v>
      </c>
      <c r="F2383" t="s">
        <v>2104</v>
      </c>
      <c r="G2383" t="s">
        <v>3700</v>
      </c>
      <c r="H2383" t="s">
        <v>5609</v>
      </c>
      <c r="I2383" t="s">
        <v>6043</v>
      </c>
      <c r="J2383">
        <v>11233</v>
      </c>
      <c r="K2383" t="s">
        <v>6074</v>
      </c>
      <c r="L2383" t="s">
        <v>6076</v>
      </c>
      <c r="N2383" t="s">
        <v>7275</v>
      </c>
      <c r="O2383" t="s">
        <v>7307</v>
      </c>
      <c r="Q2383" t="s">
        <v>7322</v>
      </c>
      <c r="R2383" t="s">
        <v>6074</v>
      </c>
      <c r="S2383" t="s">
        <v>7324</v>
      </c>
      <c r="T2383" t="s">
        <v>7336</v>
      </c>
      <c r="U2383" t="s">
        <v>287</v>
      </c>
      <c r="V2383">
        <v>986</v>
      </c>
      <c r="W2383" t="s">
        <v>7362</v>
      </c>
      <c r="X2383" t="s">
        <v>7305</v>
      </c>
      <c r="Z2383" t="s">
        <v>9217</v>
      </c>
      <c r="AC2383">
        <v>359</v>
      </c>
      <c r="AD2383" t="s">
        <v>12422</v>
      </c>
      <c r="AF2383">
        <v>16</v>
      </c>
      <c r="AG2383">
        <v>2</v>
      </c>
      <c r="AH2383">
        <v>1</v>
      </c>
      <c r="AI2383">
        <v>171.84</v>
      </c>
      <c r="AL2383" t="s">
        <v>12460</v>
      </c>
      <c r="AM2383">
        <v>36653</v>
      </c>
      <c r="AN2383" t="s">
        <v>12682</v>
      </c>
      <c r="AS2383">
        <v>0</v>
      </c>
      <c r="AU2383" t="s">
        <v>180</v>
      </c>
    </row>
    <row r="2384" spans="1:47">
      <c r="A2384" s="1">
        <f>HYPERLINK("https://cms.ls-nyc.org/matter/dynamic-profile/view/1887057","19-1887057")</f>
        <v>0</v>
      </c>
      <c r="B2384" t="s">
        <v>100</v>
      </c>
      <c r="C2384" t="s">
        <v>272</v>
      </c>
      <c r="D2384" t="s">
        <v>268</v>
      </c>
      <c r="E2384" t="s">
        <v>615</v>
      </c>
      <c r="F2384" t="s">
        <v>3260</v>
      </c>
      <c r="G2384" t="s">
        <v>5024</v>
      </c>
      <c r="H2384">
        <v>1</v>
      </c>
      <c r="I2384" t="s">
        <v>6048</v>
      </c>
      <c r="J2384">
        <v>10301</v>
      </c>
      <c r="K2384" t="s">
        <v>6074</v>
      </c>
      <c r="L2384" t="s">
        <v>6074</v>
      </c>
      <c r="M2384" t="s">
        <v>7053</v>
      </c>
      <c r="N2384" t="s">
        <v>7276</v>
      </c>
      <c r="O2384" t="s">
        <v>7308</v>
      </c>
      <c r="P2384" t="s">
        <v>7316</v>
      </c>
      <c r="Q2384" t="s">
        <v>7322</v>
      </c>
      <c r="R2384" t="s">
        <v>6076</v>
      </c>
      <c r="S2384" t="s">
        <v>7324</v>
      </c>
      <c r="T2384" t="s">
        <v>7336</v>
      </c>
      <c r="U2384" t="s">
        <v>272</v>
      </c>
      <c r="V2384">
        <v>1515</v>
      </c>
      <c r="W2384" t="s">
        <v>7364</v>
      </c>
      <c r="X2384" t="s">
        <v>7375</v>
      </c>
      <c r="Y2384" t="s">
        <v>7388</v>
      </c>
      <c r="Z2384" t="s">
        <v>9218</v>
      </c>
      <c r="AB2384" t="s">
        <v>11902</v>
      </c>
      <c r="AC2384">
        <v>2</v>
      </c>
      <c r="AD2384" t="s">
        <v>12419</v>
      </c>
      <c r="AE2384" t="s">
        <v>12433</v>
      </c>
      <c r="AF2384">
        <v>4</v>
      </c>
      <c r="AG2384">
        <v>1</v>
      </c>
      <c r="AH2384">
        <v>2</v>
      </c>
      <c r="AI2384">
        <v>171.95</v>
      </c>
      <c r="AL2384" t="s">
        <v>12460</v>
      </c>
      <c r="AM2384">
        <v>35732</v>
      </c>
      <c r="AS2384">
        <v>5</v>
      </c>
      <c r="AT2384" t="s">
        <v>337</v>
      </c>
      <c r="AU2384" t="s">
        <v>188</v>
      </c>
    </row>
    <row r="2385" spans="1:48">
      <c r="A2385" s="1">
        <f>HYPERLINK("https://cms.ls-nyc.org/matter/dynamic-profile/view/1900602","19-1900602")</f>
        <v>0</v>
      </c>
      <c r="B2385" t="s">
        <v>53</v>
      </c>
      <c r="C2385" t="s">
        <v>260</v>
      </c>
      <c r="E2385" t="s">
        <v>1738</v>
      </c>
      <c r="F2385" t="s">
        <v>2291</v>
      </c>
      <c r="G2385" t="s">
        <v>5025</v>
      </c>
      <c r="H2385" t="s">
        <v>5869</v>
      </c>
      <c r="I2385" t="s">
        <v>6039</v>
      </c>
      <c r="J2385">
        <v>11368</v>
      </c>
      <c r="K2385" t="s">
        <v>6074</v>
      </c>
      <c r="L2385" t="s">
        <v>6075</v>
      </c>
      <c r="M2385" t="s">
        <v>7054</v>
      </c>
      <c r="N2385" t="s">
        <v>7276</v>
      </c>
      <c r="O2385" t="s">
        <v>7310</v>
      </c>
      <c r="Q2385" t="s">
        <v>7322</v>
      </c>
      <c r="R2385" t="s">
        <v>6074</v>
      </c>
      <c r="S2385" t="s">
        <v>7324</v>
      </c>
      <c r="U2385" t="s">
        <v>260</v>
      </c>
      <c r="V2385">
        <v>975</v>
      </c>
      <c r="W2385" t="s">
        <v>7361</v>
      </c>
      <c r="X2385" t="s">
        <v>7366</v>
      </c>
      <c r="Z2385" t="s">
        <v>9219</v>
      </c>
      <c r="AB2385" t="s">
        <v>11903</v>
      </c>
      <c r="AC2385">
        <v>0</v>
      </c>
      <c r="AF2385">
        <v>27</v>
      </c>
      <c r="AG2385">
        <v>1</v>
      </c>
      <c r="AH2385">
        <v>0</v>
      </c>
      <c r="AI2385">
        <v>171.98</v>
      </c>
      <c r="AL2385" t="s">
        <v>12460</v>
      </c>
      <c r="AM2385">
        <v>21480</v>
      </c>
      <c r="AS2385">
        <v>0.5</v>
      </c>
      <c r="AT2385" t="s">
        <v>496</v>
      </c>
      <c r="AU2385" t="s">
        <v>13078</v>
      </c>
    </row>
    <row r="2386" spans="1:48">
      <c r="A2386" s="1">
        <f>HYPERLINK("https://cms.ls-nyc.org/matter/dynamic-profile/view/1879944","18-1879944")</f>
        <v>0</v>
      </c>
      <c r="B2386" t="s">
        <v>76</v>
      </c>
      <c r="C2386" t="s">
        <v>239</v>
      </c>
      <c r="E2386" t="s">
        <v>1739</v>
      </c>
      <c r="F2386" t="s">
        <v>3261</v>
      </c>
      <c r="G2386" t="s">
        <v>5026</v>
      </c>
      <c r="H2386" t="s">
        <v>5357</v>
      </c>
      <c r="I2386" t="s">
        <v>6043</v>
      </c>
      <c r="J2386">
        <v>11213</v>
      </c>
      <c r="K2386" t="s">
        <v>6074</v>
      </c>
      <c r="L2386" t="s">
        <v>6074</v>
      </c>
      <c r="M2386" t="s">
        <v>7055</v>
      </c>
      <c r="N2386" t="s">
        <v>7278</v>
      </c>
      <c r="O2386" t="s">
        <v>7308</v>
      </c>
      <c r="Q2386" t="s">
        <v>7322</v>
      </c>
      <c r="R2386" t="s">
        <v>6074</v>
      </c>
      <c r="S2386" t="s">
        <v>7324</v>
      </c>
      <c r="T2386" t="s">
        <v>7336</v>
      </c>
      <c r="U2386" t="s">
        <v>239</v>
      </c>
      <c r="V2386">
        <v>575</v>
      </c>
      <c r="W2386" t="s">
        <v>7362</v>
      </c>
      <c r="X2386" t="s">
        <v>7305</v>
      </c>
      <c r="Z2386" t="s">
        <v>9220</v>
      </c>
      <c r="AC2386">
        <v>6</v>
      </c>
      <c r="AD2386" t="s">
        <v>12422</v>
      </c>
      <c r="AE2386" t="s">
        <v>6110</v>
      </c>
      <c r="AF2386">
        <v>22</v>
      </c>
      <c r="AG2386">
        <v>1</v>
      </c>
      <c r="AH2386">
        <v>0</v>
      </c>
      <c r="AI2386">
        <v>172.59</v>
      </c>
      <c r="AL2386" t="s">
        <v>12460</v>
      </c>
      <c r="AM2386">
        <v>20952</v>
      </c>
      <c r="AS2386">
        <v>31.7</v>
      </c>
      <c r="AT2386" t="s">
        <v>276</v>
      </c>
      <c r="AU2386" t="s">
        <v>76</v>
      </c>
    </row>
    <row r="2387" spans="1:48">
      <c r="A2387" s="1">
        <f>HYPERLINK("https://cms.ls-nyc.org/matter/dynamic-profile/view/1879507","18-1879507")</f>
        <v>0</v>
      </c>
      <c r="B2387" t="s">
        <v>171</v>
      </c>
      <c r="C2387" t="s">
        <v>239</v>
      </c>
      <c r="D2387" t="s">
        <v>346</v>
      </c>
      <c r="E2387" t="s">
        <v>1740</v>
      </c>
      <c r="F2387" t="s">
        <v>3262</v>
      </c>
      <c r="G2387" t="s">
        <v>4498</v>
      </c>
      <c r="H2387" t="s">
        <v>5358</v>
      </c>
      <c r="I2387" t="s">
        <v>6043</v>
      </c>
      <c r="J2387">
        <v>11233</v>
      </c>
      <c r="K2387" t="s">
        <v>6074</v>
      </c>
      <c r="L2387" t="s">
        <v>6076</v>
      </c>
      <c r="M2387" t="s">
        <v>7056</v>
      </c>
      <c r="N2387" t="s">
        <v>7274</v>
      </c>
      <c r="O2387" t="s">
        <v>7308</v>
      </c>
      <c r="P2387" t="s">
        <v>7316</v>
      </c>
      <c r="Q2387" t="s">
        <v>7322</v>
      </c>
      <c r="R2387" t="s">
        <v>6074</v>
      </c>
      <c r="S2387" t="s">
        <v>7324</v>
      </c>
      <c r="T2387" t="s">
        <v>7336</v>
      </c>
      <c r="U2387" t="s">
        <v>407</v>
      </c>
      <c r="V2387">
        <v>1500</v>
      </c>
      <c r="W2387" t="s">
        <v>7362</v>
      </c>
      <c r="Y2387" t="s">
        <v>7388</v>
      </c>
      <c r="Z2387" t="s">
        <v>9221</v>
      </c>
      <c r="AB2387" t="s">
        <v>11904</v>
      </c>
      <c r="AC2387">
        <v>6</v>
      </c>
      <c r="AD2387" t="s">
        <v>12422</v>
      </c>
      <c r="AF2387">
        <v>1</v>
      </c>
      <c r="AG2387">
        <v>1</v>
      </c>
      <c r="AH2387">
        <v>1</v>
      </c>
      <c r="AI2387">
        <v>172.67</v>
      </c>
      <c r="AL2387" t="s">
        <v>12460</v>
      </c>
      <c r="AM2387">
        <v>28422.12</v>
      </c>
      <c r="AS2387">
        <v>1.2</v>
      </c>
      <c r="AT2387" t="s">
        <v>346</v>
      </c>
      <c r="AU2387" t="s">
        <v>171</v>
      </c>
    </row>
    <row r="2388" spans="1:48">
      <c r="A2388" s="1">
        <f>HYPERLINK("https://cms.ls-nyc.org/matter/dynamic-profile/view/1872328","18-1872328")</f>
        <v>0</v>
      </c>
      <c r="B2388" t="s">
        <v>161</v>
      </c>
      <c r="C2388" t="s">
        <v>394</v>
      </c>
      <c r="D2388" t="s">
        <v>337</v>
      </c>
      <c r="E2388" t="s">
        <v>618</v>
      </c>
      <c r="F2388" t="s">
        <v>3138</v>
      </c>
      <c r="G2388" t="s">
        <v>5027</v>
      </c>
      <c r="H2388" t="s">
        <v>5446</v>
      </c>
      <c r="I2388" t="s">
        <v>6049</v>
      </c>
      <c r="J2388">
        <v>10029</v>
      </c>
      <c r="K2388" t="s">
        <v>6074</v>
      </c>
      <c r="L2388" t="s">
        <v>6074</v>
      </c>
      <c r="M2388" t="s">
        <v>7057</v>
      </c>
      <c r="N2388" t="s">
        <v>7276</v>
      </c>
      <c r="O2388" t="s">
        <v>7308</v>
      </c>
      <c r="P2388" t="s">
        <v>7317</v>
      </c>
      <c r="Q2388" t="s">
        <v>7322</v>
      </c>
      <c r="R2388" t="s">
        <v>6076</v>
      </c>
      <c r="S2388" t="s">
        <v>7324</v>
      </c>
      <c r="T2388" t="s">
        <v>7336</v>
      </c>
      <c r="U2388" t="s">
        <v>378</v>
      </c>
      <c r="V2388">
        <v>964.5</v>
      </c>
      <c r="W2388" t="s">
        <v>7365</v>
      </c>
      <c r="X2388" t="s">
        <v>7383</v>
      </c>
      <c r="Y2388" t="s">
        <v>7388</v>
      </c>
      <c r="Z2388" t="s">
        <v>9222</v>
      </c>
      <c r="AC2388">
        <v>11</v>
      </c>
      <c r="AD2388" t="s">
        <v>12422</v>
      </c>
      <c r="AE2388" t="s">
        <v>6110</v>
      </c>
      <c r="AF2388">
        <v>12</v>
      </c>
      <c r="AG2388">
        <v>1</v>
      </c>
      <c r="AH2388">
        <v>0</v>
      </c>
      <c r="AI2388">
        <v>172.78</v>
      </c>
      <c r="AL2388" t="s">
        <v>12460</v>
      </c>
      <c r="AM2388">
        <v>20976</v>
      </c>
      <c r="AN2388" t="s">
        <v>12590</v>
      </c>
      <c r="AS2388">
        <v>5</v>
      </c>
      <c r="AT2388" t="s">
        <v>372</v>
      </c>
      <c r="AU2388" t="s">
        <v>13117</v>
      </c>
    </row>
    <row r="2389" spans="1:48">
      <c r="A2389" s="1">
        <f>HYPERLINK("https://cms.ls-nyc.org/matter/dynamic-profile/view/1895258","19-1895258")</f>
        <v>0</v>
      </c>
      <c r="B2389" t="s">
        <v>54</v>
      </c>
      <c r="C2389" t="s">
        <v>247</v>
      </c>
      <c r="E2389" t="s">
        <v>1624</v>
      </c>
      <c r="F2389" t="s">
        <v>3263</v>
      </c>
      <c r="G2389" t="s">
        <v>5028</v>
      </c>
      <c r="H2389" t="s">
        <v>5870</v>
      </c>
      <c r="I2389" t="s">
        <v>6025</v>
      </c>
      <c r="J2389">
        <v>11691</v>
      </c>
      <c r="K2389" t="s">
        <v>6074</v>
      </c>
      <c r="L2389" t="s">
        <v>6074</v>
      </c>
      <c r="N2389" t="s">
        <v>6104</v>
      </c>
      <c r="O2389" t="s">
        <v>7307</v>
      </c>
      <c r="Q2389" t="s">
        <v>7322</v>
      </c>
      <c r="R2389" t="s">
        <v>6076</v>
      </c>
      <c r="S2389" t="s">
        <v>7324</v>
      </c>
      <c r="U2389" t="s">
        <v>322</v>
      </c>
      <c r="V2389">
        <v>1350</v>
      </c>
      <c r="W2389" t="s">
        <v>7361</v>
      </c>
      <c r="Z2389" t="s">
        <v>9223</v>
      </c>
      <c r="AB2389" t="s">
        <v>11905</v>
      </c>
      <c r="AC2389">
        <v>917</v>
      </c>
      <c r="AD2389" t="s">
        <v>12422</v>
      </c>
      <c r="AF2389">
        <v>3</v>
      </c>
      <c r="AG2389">
        <v>1</v>
      </c>
      <c r="AH2389">
        <v>0</v>
      </c>
      <c r="AI2389">
        <v>172.94</v>
      </c>
      <c r="AL2389" t="s">
        <v>12460</v>
      </c>
      <c r="AM2389">
        <v>21600</v>
      </c>
      <c r="AS2389">
        <v>0.5</v>
      </c>
      <c r="AT2389" t="s">
        <v>280</v>
      </c>
      <c r="AU2389" t="s">
        <v>54</v>
      </c>
    </row>
    <row r="2390" spans="1:48">
      <c r="A2390" s="1">
        <f>HYPERLINK("https://cms.ls-nyc.org/matter/dynamic-profile/view/1895629","19-1895629")</f>
        <v>0</v>
      </c>
      <c r="B2390" t="s">
        <v>70</v>
      </c>
      <c r="C2390" t="s">
        <v>264</v>
      </c>
      <c r="E2390" t="s">
        <v>1233</v>
      </c>
      <c r="F2390" t="s">
        <v>3135</v>
      </c>
      <c r="G2390" t="s">
        <v>5029</v>
      </c>
      <c r="H2390" t="s">
        <v>5669</v>
      </c>
      <c r="I2390" t="s">
        <v>6043</v>
      </c>
      <c r="J2390">
        <v>11217</v>
      </c>
      <c r="K2390" t="s">
        <v>6074</v>
      </c>
      <c r="L2390" t="s">
        <v>6074</v>
      </c>
      <c r="N2390" t="s">
        <v>6104</v>
      </c>
      <c r="O2390" t="s">
        <v>7307</v>
      </c>
      <c r="Q2390" t="s">
        <v>7322</v>
      </c>
      <c r="R2390" t="s">
        <v>6074</v>
      </c>
      <c r="S2390" t="s">
        <v>7324</v>
      </c>
      <c r="U2390" t="s">
        <v>457</v>
      </c>
      <c r="V2390">
        <v>0</v>
      </c>
      <c r="W2390" t="s">
        <v>7362</v>
      </c>
      <c r="X2390" t="s">
        <v>7375</v>
      </c>
      <c r="Z2390" t="s">
        <v>9224</v>
      </c>
      <c r="AC2390">
        <v>8</v>
      </c>
      <c r="AD2390" t="s">
        <v>12422</v>
      </c>
      <c r="AF2390">
        <v>20</v>
      </c>
      <c r="AG2390">
        <v>1</v>
      </c>
      <c r="AH2390">
        <v>0</v>
      </c>
      <c r="AI2390">
        <v>172.94</v>
      </c>
      <c r="AL2390" t="s">
        <v>12460</v>
      </c>
      <c r="AM2390">
        <v>21600</v>
      </c>
      <c r="AS2390">
        <v>4.1</v>
      </c>
      <c r="AT2390" t="s">
        <v>445</v>
      </c>
      <c r="AU2390" t="s">
        <v>13087</v>
      </c>
    </row>
    <row r="2391" spans="1:48">
      <c r="A2391" s="1">
        <f>HYPERLINK("https://cms.ls-nyc.org/matter/dynamic-profile/view/1900103","19-1900103")</f>
        <v>0</v>
      </c>
      <c r="B2391" t="s">
        <v>142</v>
      </c>
      <c r="C2391" t="s">
        <v>526</v>
      </c>
      <c r="E2391" t="s">
        <v>1741</v>
      </c>
      <c r="F2391" t="s">
        <v>3264</v>
      </c>
      <c r="G2391" t="s">
        <v>3871</v>
      </c>
      <c r="H2391" t="s">
        <v>5438</v>
      </c>
      <c r="I2391" t="s">
        <v>6043</v>
      </c>
      <c r="J2391">
        <v>11213</v>
      </c>
      <c r="K2391" t="s">
        <v>6074</v>
      </c>
      <c r="L2391" t="s">
        <v>6075</v>
      </c>
      <c r="N2391" t="s">
        <v>7276</v>
      </c>
      <c r="O2391" t="s">
        <v>7308</v>
      </c>
      <c r="Q2391" t="s">
        <v>7322</v>
      </c>
      <c r="R2391" t="s">
        <v>6076</v>
      </c>
      <c r="S2391" t="s">
        <v>7324</v>
      </c>
      <c r="U2391" t="s">
        <v>317</v>
      </c>
      <c r="V2391">
        <v>0</v>
      </c>
      <c r="W2391" t="s">
        <v>7362</v>
      </c>
      <c r="Z2391" t="s">
        <v>9225</v>
      </c>
      <c r="AC2391">
        <v>0</v>
      </c>
      <c r="AF2391">
        <v>0</v>
      </c>
      <c r="AG2391">
        <v>1</v>
      </c>
      <c r="AH2391">
        <v>0</v>
      </c>
      <c r="AI2391">
        <v>172.94</v>
      </c>
      <c r="AL2391" t="s">
        <v>12460</v>
      </c>
      <c r="AM2391">
        <v>21600</v>
      </c>
      <c r="AN2391" t="s">
        <v>12683</v>
      </c>
      <c r="AS2391">
        <v>2</v>
      </c>
      <c r="AT2391" t="s">
        <v>526</v>
      </c>
      <c r="AU2391" t="s">
        <v>218</v>
      </c>
      <c r="AV2391" t="s">
        <v>13145</v>
      </c>
    </row>
    <row r="2392" spans="1:48">
      <c r="A2392" s="1">
        <f>HYPERLINK("https://cms.ls-nyc.org/matter/dynamic-profile/view/1900984","19-1900984")</f>
        <v>0</v>
      </c>
      <c r="B2392" t="s">
        <v>142</v>
      </c>
      <c r="C2392" t="s">
        <v>382</v>
      </c>
      <c r="E2392" t="s">
        <v>1741</v>
      </c>
      <c r="F2392" t="s">
        <v>3264</v>
      </c>
      <c r="G2392" t="s">
        <v>3871</v>
      </c>
      <c r="H2392" t="s">
        <v>5438</v>
      </c>
      <c r="I2392" t="s">
        <v>6043</v>
      </c>
      <c r="J2392">
        <v>11213</v>
      </c>
      <c r="K2392" t="s">
        <v>6074</v>
      </c>
      <c r="L2392" t="s">
        <v>6075</v>
      </c>
      <c r="N2392" t="s">
        <v>7287</v>
      </c>
      <c r="O2392" t="s">
        <v>7312</v>
      </c>
      <c r="Q2392" t="s">
        <v>7322</v>
      </c>
      <c r="R2392" t="s">
        <v>6074</v>
      </c>
      <c r="S2392" t="s">
        <v>7329</v>
      </c>
      <c r="T2392" t="s">
        <v>7336</v>
      </c>
      <c r="U2392" t="s">
        <v>505</v>
      </c>
      <c r="V2392">
        <v>0</v>
      </c>
      <c r="W2392" t="s">
        <v>7362</v>
      </c>
      <c r="Z2392" t="s">
        <v>9225</v>
      </c>
      <c r="AC2392">
        <v>0</v>
      </c>
      <c r="AD2392" t="s">
        <v>12422</v>
      </c>
      <c r="AF2392">
        <v>0</v>
      </c>
      <c r="AG2392">
        <v>1</v>
      </c>
      <c r="AH2392">
        <v>0</v>
      </c>
      <c r="AI2392">
        <v>172.94</v>
      </c>
      <c r="AL2392" t="s">
        <v>12460</v>
      </c>
      <c r="AM2392">
        <v>21600</v>
      </c>
      <c r="AN2392" t="s">
        <v>12684</v>
      </c>
      <c r="AS2392">
        <v>0</v>
      </c>
      <c r="AU2392" t="s">
        <v>218</v>
      </c>
      <c r="AV2392" t="s">
        <v>13145</v>
      </c>
    </row>
    <row r="2393" spans="1:48">
      <c r="A2393" s="1">
        <f>HYPERLINK("https://cms.ls-nyc.org/matter/dynamic-profile/view/1884993","18-1884993")</f>
        <v>0</v>
      </c>
      <c r="B2393" t="s">
        <v>60</v>
      </c>
      <c r="C2393" t="s">
        <v>269</v>
      </c>
      <c r="D2393" t="s">
        <v>344</v>
      </c>
      <c r="E2393" t="s">
        <v>1742</v>
      </c>
      <c r="F2393" t="s">
        <v>3265</v>
      </c>
      <c r="G2393" t="s">
        <v>5030</v>
      </c>
      <c r="H2393" t="s">
        <v>5871</v>
      </c>
      <c r="I2393" t="s">
        <v>6035</v>
      </c>
      <c r="J2393">
        <v>11377</v>
      </c>
      <c r="K2393" t="s">
        <v>6074</v>
      </c>
      <c r="L2393" t="s">
        <v>6074</v>
      </c>
      <c r="M2393" t="s">
        <v>7058</v>
      </c>
      <c r="N2393" t="s">
        <v>7276</v>
      </c>
      <c r="O2393" t="s">
        <v>7306</v>
      </c>
      <c r="P2393" t="s">
        <v>7314</v>
      </c>
      <c r="Q2393" t="s">
        <v>7322</v>
      </c>
      <c r="R2393" t="s">
        <v>6076</v>
      </c>
      <c r="S2393" t="s">
        <v>7324</v>
      </c>
      <c r="T2393" t="s">
        <v>7336</v>
      </c>
      <c r="U2393" t="s">
        <v>269</v>
      </c>
      <c r="V2393">
        <v>1700</v>
      </c>
      <c r="W2393" t="s">
        <v>7361</v>
      </c>
      <c r="X2393" t="s">
        <v>7366</v>
      </c>
      <c r="Y2393" t="s">
        <v>7386</v>
      </c>
      <c r="Z2393" t="s">
        <v>9226</v>
      </c>
      <c r="AB2393" t="s">
        <v>11906</v>
      </c>
      <c r="AC2393">
        <v>113</v>
      </c>
      <c r="AD2393" t="s">
        <v>12422</v>
      </c>
      <c r="AE2393" t="s">
        <v>6110</v>
      </c>
      <c r="AF2393">
        <v>6</v>
      </c>
      <c r="AG2393">
        <v>1</v>
      </c>
      <c r="AH2393">
        <v>0</v>
      </c>
      <c r="AI2393">
        <v>172.98</v>
      </c>
      <c r="AL2393" t="s">
        <v>12460</v>
      </c>
      <c r="AM2393">
        <v>21000</v>
      </c>
      <c r="AS2393">
        <v>0.9</v>
      </c>
      <c r="AT2393" t="s">
        <v>266</v>
      </c>
      <c r="AU2393" t="s">
        <v>48</v>
      </c>
    </row>
    <row r="2394" spans="1:48">
      <c r="A2394" s="1">
        <f>HYPERLINK("https://cms.ls-nyc.org/matter/dynamic-profile/view/1886536","18-1886536")</f>
        <v>0</v>
      </c>
      <c r="B2394" t="s">
        <v>72</v>
      </c>
      <c r="C2394" t="s">
        <v>346</v>
      </c>
      <c r="E2394" t="s">
        <v>1079</v>
      </c>
      <c r="F2394" t="s">
        <v>2142</v>
      </c>
      <c r="G2394" t="s">
        <v>3702</v>
      </c>
      <c r="H2394" t="s">
        <v>5861</v>
      </c>
      <c r="I2394" t="s">
        <v>6043</v>
      </c>
      <c r="J2394">
        <v>11233</v>
      </c>
      <c r="K2394" t="s">
        <v>6074</v>
      </c>
      <c r="L2394" t="s">
        <v>6074</v>
      </c>
      <c r="M2394" t="s">
        <v>6104</v>
      </c>
      <c r="N2394" t="s">
        <v>7279</v>
      </c>
      <c r="O2394" t="s">
        <v>7309</v>
      </c>
      <c r="Q2394" t="s">
        <v>7322</v>
      </c>
      <c r="R2394" t="s">
        <v>6074</v>
      </c>
      <c r="S2394" t="s">
        <v>7324</v>
      </c>
      <c r="T2394" t="s">
        <v>7336</v>
      </c>
      <c r="U2394" t="s">
        <v>7355</v>
      </c>
      <c r="V2394">
        <v>446</v>
      </c>
      <c r="W2394" t="s">
        <v>7362</v>
      </c>
      <c r="X2394" t="s">
        <v>7370</v>
      </c>
      <c r="Z2394" t="s">
        <v>7467</v>
      </c>
      <c r="AB2394" t="s">
        <v>11875</v>
      </c>
      <c r="AC2394">
        <v>764</v>
      </c>
      <c r="AD2394" t="s">
        <v>12422</v>
      </c>
      <c r="AE2394" t="s">
        <v>12434</v>
      </c>
      <c r="AF2394">
        <v>0</v>
      </c>
      <c r="AG2394">
        <v>1</v>
      </c>
      <c r="AH2394">
        <v>0</v>
      </c>
      <c r="AI2394">
        <v>172.98</v>
      </c>
      <c r="AL2394" t="s">
        <v>12460</v>
      </c>
      <c r="AM2394">
        <v>21000</v>
      </c>
      <c r="AS2394">
        <v>0</v>
      </c>
      <c r="AU2394" t="s">
        <v>180</v>
      </c>
    </row>
    <row r="2395" spans="1:48">
      <c r="A2395" s="1">
        <f>HYPERLINK("https://cms.ls-nyc.org/matter/dynamic-profile/view/1886444","18-1886444")</f>
        <v>0</v>
      </c>
      <c r="B2395" t="s">
        <v>68</v>
      </c>
      <c r="C2395" t="s">
        <v>300</v>
      </c>
      <c r="E2395" t="s">
        <v>916</v>
      </c>
      <c r="F2395" t="s">
        <v>3266</v>
      </c>
      <c r="G2395" t="s">
        <v>5031</v>
      </c>
      <c r="H2395" t="s">
        <v>5347</v>
      </c>
      <c r="I2395" t="s">
        <v>6043</v>
      </c>
      <c r="J2395">
        <v>11208</v>
      </c>
      <c r="K2395" t="s">
        <v>6074</v>
      </c>
      <c r="L2395" t="s">
        <v>6074</v>
      </c>
      <c r="M2395" t="s">
        <v>7059</v>
      </c>
      <c r="N2395" t="s">
        <v>7273</v>
      </c>
      <c r="O2395" t="s">
        <v>7306</v>
      </c>
      <c r="Q2395" t="s">
        <v>7322</v>
      </c>
      <c r="R2395" t="s">
        <v>6076</v>
      </c>
      <c r="S2395" t="s">
        <v>7324</v>
      </c>
      <c r="U2395" t="s">
        <v>389</v>
      </c>
      <c r="V2395">
        <v>600</v>
      </c>
      <c r="W2395" t="s">
        <v>7362</v>
      </c>
      <c r="X2395" t="s">
        <v>7366</v>
      </c>
      <c r="Z2395" t="s">
        <v>9227</v>
      </c>
      <c r="AB2395" t="s">
        <v>11907</v>
      </c>
      <c r="AC2395">
        <v>3</v>
      </c>
      <c r="AD2395" t="s">
        <v>12419</v>
      </c>
      <c r="AE2395" t="s">
        <v>6110</v>
      </c>
      <c r="AF2395">
        <v>1</v>
      </c>
      <c r="AG2395">
        <v>1</v>
      </c>
      <c r="AH2395">
        <v>0</v>
      </c>
      <c r="AI2395">
        <v>172.98</v>
      </c>
      <c r="AL2395" t="s">
        <v>12460</v>
      </c>
      <c r="AM2395">
        <v>21000</v>
      </c>
      <c r="AS2395">
        <v>0</v>
      </c>
      <c r="AU2395" t="s">
        <v>180</v>
      </c>
    </row>
    <row r="2396" spans="1:48">
      <c r="A2396" s="1">
        <f>HYPERLINK("https://cms.ls-nyc.org/matter/dynamic-profile/view/1901217","19-1901217")</f>
        <v>0</v>
      </c>
      <c r="B2396" t="s">
        <v>141</v>
      </c>
      <c r="C2396" t="s">
        <v>496</v>
      </c>
      <c r="E2396" t="s">
        <v>1743</v>
      </c>
      <c r="F2396" t="s">
        <v>3267</v>
      </c>
      <c r="G2396" t="s">
        <v>5032</v>
      </c>
      <c r="H2396">
        <v>11</v>
      </c>
      <c r="I2396" t="s">
        <v>6049</v>
      </c>
      <c r="J2396">
        <v>10002</v>
      </c>
      <c r="K2396" t="s">
        <v>6074</v>
      </c>
      <c r="L2396" t="s">
        <v>6075</v>
      </c>
      <c r="M2396" t="s">
        <v>7060</v>
      </c>
      <c r="N2396" t="s">
        <v>7274</v>
      </c>
      <c r="O2396" t="s">
        <v>7310</v>
      </c>
      <c r="Q2396" t="s">
        <v>7322</v>
      </c>
      <c r="R2396" t="s">
        <v>6076</v>
      </c>
      <c r="S2396" t="s">
        <v>7324</v>
      </c>
      <c r="T2396" t="s">
        <v>7336</v>
      </c>
      <c r="U2396" t="s">
        <v>496</v>
      </c>
      <c r="V2396">
        <v>252</v>
      </c>
      <c r="W2396" t="s">
        <v>7365</v>
      </c>
      <c r="X2396" t="s">
        <v>7366</v>
      </c>
      <c r="Z2396" t="s">
        <v>9228</v>
      </c>
      <c r="AB2396" t="s">
        <v>11908</v>
      </c>
      <c r="AC2396">
        <v>20</v>
      </c>
      <c r="AD2396" t="s">
        <v>12425</v>
      </c>
      <c r="AE2396" t="s">
        <v>6110</v>
      </c>
      <c r="AF2396">
        <v>39</v>
      </c>
      <c r="AG2396">
        <v>1</v>
      </c>
      <c r="AH2396">
        <v>0</v>
      </c>
      <c r="AI2396">
        <v>173.23</v>
      </c>
      <c r="AL2396" t="s">
        <v>12464</v>
      </c>
      <c r="AM2396">
        <v>21636</v>
      </c>
      <c r="AS2396">
        <v>1.5</v>
      </c>
      <c r="AT2396" t="s">
        <v>496</v>
      </c>
      <c r="AU2396" t="s">
        <v>13107</v>
      </c>
      <c r="AV2396" t="s">
        <v>13145</v>
      </c>
    </row>
    <row r="2397" spans="1:48">
      <c r="A2397" s="1">
        <f>HYPERLINK("https://cms.ls-nyc.org/matter/dynamic-profile/view/1887928","19-1887928")</f>
        <v>0</v>
      </c>
      <c r="B2397" t="s">
        <v>88</v>
      </c>
      <c r="C2397" t="s">
        <v>390</v>
      </c>
      <c r="E2397" t="s">
        <v>919</v>
      </c>
      <c r="F2397" t="s">
        <v>2174</v>
      </c>
      <c r="G2397" t="s">
        <v>5033</v>
      </c>
      <c r="I2397" t="s">
        <v>6043</v>
      </c>
      <c r="J2397">
        <v>11206</v>
      </c>
      <c r="K2397" t="s">
        <v>6074</v>
      </c>
      <c r="L2397" t="s">
        <v>6074</v>
      </c>
      <c r="N2397" t="s">
        <v>7276</v>
      </c>
      <c r="O2397" t="s">
        <v>7306</v>
      </c>
      <c r="Q2397" t="s">
        <v>7322</v>
      </c>
      <c r="R2397" t="s">
        <v>6076</v>
      </c>
      <c r="S2397" t="s">
        <v>7324</v>
      </c>
      <c r="U2397" t="s">
        <v>337</v>
      </c>
      <c r="V2397">
        <v>1199.56</v>
      </c>
      <c r="W2397" t="s">
        <v>7362</v>
      </c>
      <c r="Z2397" t="s">
        <v>9229</v>
      </c>
      <c r="AB2397" t="s">
        <v>11909</v>
      </c>
      <c r="AC2397">
        <v>0</v>
      </c>
      <c r="AF2397">
        <v>11</v>
      </c>
      <c r="AG2397">
        <v>2</v>
      </c>
      <c r="AH2397">
        <v>1</v>
      </c>
      <c r="AI2397">
        <v>173.24</v>
      </c>
      <c r="AL2397" t="s">
        <v>12460</v>
      </c>
      <c r="AM2397">
        <v>36000</v>
      </c>
      <c r="AS2397">
        <v>0.3</v>
      </c>
      <c r="AT2397" t="s">
        <v>292</v>
      </c>
      <c r="AU2397" t="s">
        <v>88</v>
      </c>
    </row>
    <row r="2398" spans="1:48">
      <c r="A2398" s="1">
        <f>HYPERLINK("https://cms.ls-nyc.org/matter/dynamic-profile/view/1887643","19-1887643")</f>
        <v>0</v>
      </c>
      <c r="B2398" t="s">
        <v>68</v>
      </c>
      <c r="C2398" t="s">
        <v>492</v>
      </c>
      <c r="E2398" t="s">
        <v>866</v>
      </c>
      <c r="F2398" t="s">
        <v>2174</v>
      </c>
      <c r="G2398" t="s">
        <v>5034</v>
      </c>
      <c r="H2398" t="s">
        <v>5568</v>
      </c>
      <c r="I2398" t="s">
        <v>6043</v>
      </c>
      <c r="J2398">
        <v>11208</v>
      </c>
      <c r="K2398" t="s">
        <v>6074</v>
      </c>
      <c r="L2398" t="s">
        <v>6074</v>
      </c>
      <c r="M2398" t="s">
        <v>7061</v>
      </c>
      <c r="N2398" t="s">
        <v>7276</v>
      </c>
      <c r="O2398" t="s">
        <v>7308</v>
      </c>
      <c r="Q2398" t="s">
        <v>7322</v>
      </c>
      <c r="R2398" t="s">
        <v>6076</v>
      </c>
      <c r="S2398" t="s">
        <v>7324</v>
      </c>
      <c r="U2398" t="s">
        <v>337</v>
      </c>
      <c r="V2398">
        <v>2000</v>
      </c>
      <c r="W2398" t="s">
        <v>7362</v>
      </c>
      <c r="X2398" t="s">
        <v>7366</v>
      </c>
      <c r="Z2398" t="s">
        <v>9230</v>
      </c>
      <c r="AB2398" t="s">
        <v>11910</v>
      </c>
      <c r="AC2398">
        <v>2</v>
      </c>
      <c r="AD2398" t="s">
        <v>12419</v>
      </c>
      <c r="AE2398" t="s">
        <v>12434</v>
      </c>
      <c r="AF2398">
        <v>1</v>
      </c>
      <c r="AG2398">
        <v>2</v>
      </c>
      <c r="AH2398">
        <v>1</v>
      </c>
      <c r="AI2398">
        <v>173.46</v>
      </c>
      <c r="AL2398" t="s">
        <v>12460</v>
      </c>
      <c r="AM2398">
        <v>36044</v>
      </c>
      <c r="AS2398">
        <v>12.8</v>
      </c>
      <c r="AT2398" t="s">
        <v>265</v>
      </c>
      <c r="AU2398" t="s">
        <v>180</v>
      </c>
    </row>
    <row r="2399" spans="1:48">
      <c r="A2399" s="1">
        <f>HYPERLINK("https://cms.ls-nyc.org/matter/dynamic-profile/view/1861899","18-1861899")</f>
        <v>0</v>
      </c>
      <c r="B2399" t="s">
        <v>52</v>
      </c>
      <c r="C2399" t="s">
        <v>527</v>
      </c>
      <c r="D2399" t="s">
        <v>480</v>
      </c>
      <c r="E2399" t="s">
        <v>1744</v>
      </c>
      <c r="F2399" t="s">
        <v>2408</v>
      </c>
      <c r="G2399" t="s">
        <v>5035</v>
      </c>
      <c r="H2399" t="s">
        <v>5866</v>
      </c>
      <c r="I2399" t="s">
        <v>6026</v>
      </c>
      <c r="J2399">
        <v>11435</v>
      </c>
      <c r="K2399" t="s">
        <v>6074</v>
      </c>
      <c r="L2399" t="s">
        <v>6074</v>
      </c>
      <c r="M2399" t="s">
        <v>7062</v>
      </c>
      <c r="N2399" t="s">
        <v>7274</v>
      </c>
      <c r="O2399" t="s">
        <v>7306</v>
      </c>
      <c r="P2399" t="s">
        <v>7314</v>
      </c>
      <c r="Q2399" t="s">
        <v>7322</v>
      </c>
      <c r="R2399" t="s">
        <v>6076</v>
      </c>
      <c r="S2399" t="s">
        <v>7326</v>
      </c>
      <c r="T2399" t="s">
        <v>7336</v>
      </c>
      <c r="U2399" t="s">
        <v>236</v>
      </c>
      <c r="V2399">
        <v>550</v>
      </c>
      <c r="W2399" t="s">
        <v>7361</v>
      </c>
      <c r="X2399" t="s">
        <v>7366</v>
      </c>
      <c r="Y2399" t="s">
        <v>7386</v>
      </c>
      <c r="Z2399" t="s">
        <v>9231</v>
      </c>
      <c r="AA2399" t="s">
        <v>10259</v>
      </c>
      <c r="AB2399" t="s">
        <v>11911</v>
      </c>
      <c r="AC2399">
        <v>1</v>
      </c>
      <c r="AD2399" t="s">
        <v>12419</v>
      </c>
      <c r="AE2399" t="s">
        <v>6110</v>
      </c>
      <c r="AF2399">
        <v>10</v>
      </c>
      <c r="AG2399">
        <v>1</v>
      </c>
      <c r="AH2399">
        <v>0</v>
      </c>
      <c r="AI2399">
        <v>173.57</v>
      </c>
      <c r="AL2399" t="s">
        <v>12460</v>
      </c>
      <c r="AM2399">
        <v>21072</v>
      </c>
      <c r="AS2399">
        <v>1.75</v>
      </c>
      <c r="AT2399" t="s">
        <v>480</v>
      </c>
      <c r="AU2399" t="s">
        <v>13140</v>
      </c>
    </row>
    <row r="2400" spans="1:48">
      <c r="A2400" s="1">
        <f>HYPERLINK("https://cms.ls-nyc.org/matter/dynamic-profile/view/1895929","19-1895929")</f>
        <v>0</v>
      </c>
      <c r="B2400" t="s">
        <v>158</v>
      </c>
      <c r="C2400" t="s">
        <v>270</v>
      </c>
      <c r="D2400" t="s">
        <v>324</v>
      </c>
      <c r="E2400" t="s">
        <v>1291</v>
      </c>
      <c r="F2400" t="s">
        <v>3268</v>
      </c>
      <c r="G2400" t="s">
        <v>3932</v>
      </c>
      <c r="H2400" t="s">
        <v>5462</v>
      </c>
      <c r="I2400" t="s">
        <v>6047</v>
      </c>
      <c r="J2400">
        <v>10459</v>
      </c>
      <c r="K2400" t="s">
        <v>6074</v>
      </c>
      <c r="L2400" t="s">
        <v>6074</v>
      </c>
      <c r="N2400" t="s">
        <v>6104</v>
      </c>
      <c r="O2400" t="s">
        <v>7307</v>
      </c>
      <c r="P2400" t="s">
        <v>7315</v>
      </c>
      <c r="Q2400" t="s">
        <v>7322</v>
      </c>
      <c r="R2400" t="s">
        <v>6076</v>
      </c>
      <c r="S2400" t="s">
        <v>7324</v>
      </c>
      <c r="U2400" t="s">
        <v>324</v>
      </c>
      <c r="V2400">
        <v>865</v>
      </c>
      <c r="W2400" t="s">
        <v>7363</v>
      </c>
      <c r="Y2400" t="s">
        <v>7387</v>
      </c>
      <c r="Z2400" t="s">
        <v>9232</v>
      </c>
      <c r="AB2400" t="s">
        <v>11912</v>
      </c>
      <c r="AC2400">
        <v>0</v>
      </c>
      <c r="AF2400">
        <v>12</v>
      </c>
      <c r="AG2400">
        <v>1</v>
      </c>
      <c r="AH2400">
        <v>0</v>
      </c>
      <c r="AI2400">
        <v>173.9</v>
      </c>
      <c r="AL2400" t="s">
        <v>12460</v>
      </c>
      <c r="AM2400">
        <v>21720</v>
      </c>
      <c r="AS2400">
        <v>0.6</v>
      </c>
      <c r="AT2400" t="s">
        <v>270</v>
      </c>
      <c r="AU2400" t="s">
        <v>158</v>
      </c>
    </row>
    <row r="2401" spans="1:48">
      <c r="A2401" s="1">
        <f>HYPERLINK("https://cms.ls-nyc.org/matter/dynamic-profile/view/1887097","19-1887097")</f>
        <v>0</v>
      </c>
      <c r="B2401" t="s">
        <v>72</v>
      </c>
      <c r="C2401" t="s">
        <v>272</v>
      </c>
      <c r="E2401" t="s">
        <v>1724</v>
      </c>
      <c r="F2401" t="s">
        <v>3246</v>
      </c>
      <c r="G2401" t="s">
        <v>3700</v>
      </c>
      <c r="H2401" t="s">
        <v>5864</v>
      </c>
      <c r="I2401" t="s">
        <v>6043</v>
      </c>
      <c r="J2401">
        <v>11233</v>
      </c>
      <c r="K2401" t="s">
        <v>6074</v>
      </c>
      <c r="L2401" t="s">
        <v>6074</v>
      </c>
      <c r="M2401" t="s">
        <v>6101</v>
      </c>
      <c r="N2401" t="s">
        <v>7279</v>
      </c>
      <c r="O2401" t="s">
        <v>7309</v>
      </c>
      <c r="Q2401" t="s">
        <v>7322</v>
      </c>
      <c r="R2401" t="s">
        <v>6074</v>
      </c>
      <c r="S2401" t="s">
        <v>7324</v>
      </c>
      <c r="T2401" t="s">
        <v>7336</v>
      </c>
      <c r="U2401" t="s">
        <v>250</v>
      </c>
      <c r="V2401">
        <v>1353.11</v>
      </c>
      <c r="W2401" t="s">
        <v>7362</v>
      </c>
      <c r="X2401" t="s">
        <v>7375</v>
      </c>
      <c r="Z2401" t="s">
        <v>9199</v>
      </c>
      <c r="AA2401" t="s">
        <v>6110</v>
      </c>
      <c r="AB2401" t="s">
        <v>11883</v>
      </c>
      <c r="AC2401">
        <v>764</v>
      </c>
      <c r="AD2401" t="s">
        <v>12422</v>
      </c>
      <c r="AE2401" t="s">
        <v>6110</v>
      </c>
      <c r="AF2401">
        <v>24</v>
      </c>
      <c r="AG2401">
        <v>5</v>
      </c>
      <c r="AH2401">
        <v>0</v>
      </c>
      <c r="AI2401">
        <v>174.03</v>
      </c>
      <c r="AL2401" t="s">
        <v>12460</v>
      </c>
      <c r="AM2401">
        <v>51200</v>
      </c>
      <c r="AS2401">
        <v>0</v>
      </c>
      <c r="AU2401" t="s">
        <v>218</v>
      </c>
    </row>
    <row r="2402" spans="1:48">
      <c r="A2402" s="1">
        <f>HYPERLINK("https://cms.ls-nyc.org/matter/dynamic-profile/view/1900691","19-1900691")</f>
        <v>0</v>
      </c>
      <c r="B2402" t="s">
        <v>89</v>
      </c>
      <c r="C2402" t="s">
        <v>381</v>
      </c>
      <c r="E2402" t="s">
        <v>1614</v>
      </c>
      <c r="F2402" t="s">
        <v>3269</v>
      </c>
      <c r="G2402" t="s">
        <v>5036</v>
      </c>
      <c r="I2402" t="s">
        <v>6043</v>
      </c>
      <c r="J2402">
        <v>11213</v>
      </c>
      <c r="K2402" t="s">
        <v>6074</v>
      </c>
      <c r="L2402" t="s">
        <v>6075</v>
      </c>
      <c r="M2402" t="s">
        <v>6110</v>
      </c>
      <c r="N2402" t="s">
        <v>6104</v>
      </c>
      <c r="O2402" t="s">
        <v>7309</v>
      </c>
      <c r="Q2402" t="s">
        <v>7322</v>
      </c>
      <c r="R2402" t="s">
        <v>6074</v>
      </c>
      <c r="S2402" t="s">
        <v>7324</v>
      </c>
      <c r="T2402" t="s">
        <v>7336</v>
      </c>
      <c r="U2402" t="s">
        <v>263</v>
      </c>
      <c r="V2402">
        <v>881.67</v>
      </c>
      <c r="W2402" t="s">
        <v>7362</v>
      </c>
      <c r="X2402" t="s">
        <v>7376</v>
      </c>
      <c r="Z2402" t="s">
        <v>9233</v>
      </c>
      <c r="AA2402" t="s">
        <v>6110</v>
      </c>
      <c r="AB2402" t="s">
        <v>11913</v>
      </c>
      <c r="AC2402">
        <v>0</v>
      </c>
      <c r="AD2402" t="s">
        <v>12422</v>
      </c>
      <c r="AE2402" t="s">
        <v>6110</v>
      </c>
      <c r="AF2402">
        <v>17</v>
      </c>
      <c r="AG2402">
        <v>2</v>
      </c>
      <c r="AH2402">
        <v>0</v>
      </c>
      <c r="AI2402">
        <v>174.45</v>
      </c>
      <c r="AL2402" t="s">
        <v>12460</v>
      </c>
      <c r="AM2402">
        <v>29500</v>
      </c>
      <c r="AS2402">
        <v>0</v>
      </c>
      <c r="AU2402" t="s">
        <v>218</v>
      </c>
      <c r="AV2402" t="s">
        <v>13145</v>
      </c>
    </row>
    <row r="2403" spans="1:48">
      <c r="A2403" s="1">
        <f>HYPERLINK("https://cms.ls-nyc.org/matter/dynamic-profile/view/1886706","18-1886706")</f>
        <v>0</v>
      </c>
      <c r="B2403" t="s">
        <v>102</v>
      </c>
      <c r="C2403" t="s">
        <v>341</v>
      </c>
      <c r="E2403" t="s">
        <v>1155</v>
      </c>
      <c r="F2403" t="s">
        <v>2587</v>
      </c>
      <c r="G2403" t="s">
        <v>3779</v>
      </c>
      <c r="H2403" t="s">
        <v>5872</v>
      </c>
      <c r="I2403" t="s">
        <v>6047</v>
      </c>
      <c r="J2403">
        <v>10460</v>
      </c>
      <c r="K2403" t="s">
        <v>6074</v>
      </c>
      <c r="L2403" t="s">
        <v>6074</v>
      </c>
      <c r="M2403" t="s">
        <v>6182</v>
      </c>
      <c r="N2403" t="s">
        <v>7273</v>
      </c>
      <c r="O2403" t="s">
        <v>7308</v>
      </c>
      <c r="Q2403" t="s">
        <v>7322</v>
      </c>
      <c r="R2403" t="s">
        <v>6074</v>
      </c>
      <c r="S2403" t="s">
        <v>7324</v>
      </c>
      <c r="U2403" t="s">
        <v>457</v>
      </c>
      <c r="V2403">
        <v>751</v>
      </c>
      <c r="W2403" t="s">
        <v>7363</v>
      </c>
      <c r="X2403" t="s">
        <v>7376</v>
      </c>
      <c r="Z2403" t="s">
        <v>9234</v>
      </c>
      <c r="AB2403" t="s">
        <v>11914</v>
      </c>
      <c r="AC2403">
        <v>168</v>
      </c>
      <c r="AD2403" t="s">
        <v>6322</v>
      </c>
      <c r="AE2403" t="s">
        <v>12434</v>
      </c>
      <c r="AF2403">
        <v>15</v>
      </c>
      <c r="AG2403">
        <v>2</v>
      </c>
      <c r="AH2403">
        <v>1</v>
      </c>
      <c r="AI2403">
        <v>174.45</v>
      </c>
      <c r="AL2403" t="s">
        <v>12460</v>
      </c>
      <c r="AM2403">
        <v>36250</v>
      </c>
      <c r="AS2403">
        <v>0</v>
      </c>
      <c r="AU2403" t="s">
        <v>13113</v>
      </c>
    </row>
    <row r="2404" spans="1:48">
      <c r="A2404" s="1">
        <f>HYPERLINK("https://cms.ls-nyc.org/matter/dynamic-profile/view/1896691","19-1896691")</f>
        <v>0</v>
      </c>
      <c r="B2404" t="s">
        <v>61</v>
      </c>
      <c r="C2404" t="s">
        <v>387</v>
      </c>
      <c r="E2404" t="s">
        <v>975</v>
      </c>
      <c r="F2404" t="s">
        <v>2104</v>
      </c>
      <c r="G2404" t="s">
        <v>3649</v>
      </c>
      <c r="H2404">
        <v>919</v>
      </c>
      <c r="I2404" t="s">
        <v>6024</v>
      </c>
      <c r="J2404">
        <v>11692</v>
      </c>
      <c r="K2404" t="s">
        <v>6074</v>
      </c>
      <c r="L2404" t="s">
        <v>6074</v>
      </c>
      <c r="M2404" t="s">
        <v>7063</v>
      </c>
      <c r="N2404" t="s">
        <v>7276</v>
      </c>
      <c r="O2404" t="s">
        <v>7310</v>
      </c>
      <c r="Q2404" t="s">
        <v>7322</v>
      </c>
      <c r="R2404" t="s">
        <v>6074</v>
      </c>
      <c r="S2404" t="s">
        <v>7324</v>
      </c>
      <c r="U2404" t="s">
        <v>387</v>
      </c>
      <c r="V2404">
        <v>1885</v>
      </c>
      <c r="W2404" t="s">
        <v>7361</v>
      </c>
      <c r="X2404" t="s">
        <v>7366</v>
      </c>
      <c r="Z2404" t="s">
        <v>9235</v>
      </c>
      <c r="AB2404" t="s">
        <v>11915</v>
      </c>
      <c r="AC2404">
        <v>100</v>
      </c>
      <c r="AF2404">
        <v>4</v>
      </c>
      <c r="AG2404">
        <v>2</v>
      </c>
      <c r="AH2404">
        <v>2</v>
      </c>
      <c r="AI2404">
        <v>174.76</v>
      </c>
      <c r="AL2404" t="s">
        <v>12460</v>
      </c>
      <c r="AM2404">
        <v>45000</v>
      </c>
      <c r="AS2404">
        <v>3.55</v>
      </c>
      <c r="AT2404" t="s">
        <v>276</v>
      </c>
      <c r="AU2404" t="s">
        <v>13078</v>
      </c>
    </row>
    <row r="2405" spans="1:48">
      <c r="A2405" s="1">
        <f>HYPERLINK("https://cms.ls-nyc.org/matter/dynamic-profile/view/1897656","19-1897656")</f>
        <v>0</v>
      </c>
      <c r="B2405" t="s">
        <v>54</v>
      </c>
      <c r="C2405" t="s">
        <v>424</v>
      </c>
      <c r="E2405" t="s">
        <v>975</v>
      </c>
      <c r="F2405" t="s">
        <v>2104</v>
      </c>
      <c r="G2405" t="s">
        <v>3649</v>
      </c>
      <c r="H2405">
        <v>919</v>
      </c>
      <c r="I2405" t="s">
        <v>6024</v>
      </c>
      <c r="J2405">
        <v>11692</v>
      </c>
      <c r="K2405" t="s">
        <v>6074</v>
      </c>
      <c r="L2405" t="s">
        <v>6074</v>
      </c>
      <c r="M2405" t="s">
        <v>7064</v>
      </c>
      <c r="N2405" t="s">
        <v>7276</v>
      </c>
      <c r="O2405" t="s">
        <v>7308</v>
      </c>
      <c r="Q2405" t="s">
        <v>7322</v>
      </c>
      <c r="R2405" t="s">
        <v>6076</v>
      </c>
      <c r="S2405" t="s">
        <v>7324</v>
      </c>
      <c r="U2405" t="s">
        <v>424</v>
      </c>
      <c r="V2405">
        <v>1885</v>
      </c>
      <c r="W2405" t="s">
        <v>7361</v>
      </c>
      <c r="X2405" t="s">
        <v>7366</v>
      </c>
      <c r="Z2405" t="s">
        <v>9235</v>
      </c>
      <c r="AB2405" t="s">
        <v>11915</v>
      </c>
      <c r="AC2405">
        <v>0</v>
      </c>
      <c r="AE2405" t="s">
        <v>6110</v>
      </c>
      <c r="AF2405">
        <v>4</v>
      </c>
      <c r="AG2405">
        <v>2</v>
      </c>
      <c r="AH2405">
        <v>2</v>
      </c>
      <c r="AI2405">
        <v>174.76</v>
      </c>
      <c r="AL2405" t="s">
        <v>12460</v>
      </c>
      <c r="AM2405">
        <v>45000</v>
      </c>
      <c r="AS2405">
        <v>0.3</v>
      </c>
      <c r="AT2405" t="s">
        <v>375</v>
      </c>
      <c r="AU2405" t="s">
        <v>189</v>
      </c>
    </row>
    <row r="2406" spans="1:48">
      <c r="A2406" s="1">
        <f>HYPERLINK("https://cms.ls-nyc.org/matter/dynamic-profile/view/1890630","19-1890630")</f>
        <v>0</v>
      </c>
      <c r="B2406" t="s">
        <v>72</v>
      </c>
      <c r="C2406" t="s">
        <v>448</v>
      </c>
      <c r="E2406" t="s">
        <v>1745</v>
      </c>
      <c r="F2406" t="s">
        <v>3270</v>
      </c>
      <c r="G2406" t="s">
        <v>3700</v>
      </c>
      <c r="H2406" t="s">
        <v>5662</v>
      </c>
      <c r="I2406" t="s">
        <v>6043</v>
      </c>
      <c r="J2406">
        <v>11233</v>
      </c>
      <c r="K2406" t="s">
        <v>6074</v>
      </c>
      <c r="L2406" t="s">
        <v>6076</v>
      </c>
      <c r="N2406" t="s">
        <v>7279</v>
      </c>
      <c r="O2406" t="s">
        <v>7311</v>
      </c>
      <c r="Q2406" t="s">
        <v>7322</v>
      </c>
      <c r="R2406" t="s">
        <v>6074</v>
      </c>
      <c r="S2406" t="s">
        <v>7324</v>
      </c>
      <c r="T2406" t="s">
        <v>7336</v>
      </c>
      <c r="U2406" t="s">
        <v>330</v>
      </c>
      <c r="V2406">
        <v>1200</v>
      </c>
      <c r="W2406" t="s">
        <v>7362</v>
      </c>
      <c r="X2406" t="s">
        <v>7305</v>
      </c>
      <c r="Z2406" t="s">
        <v>9236</v>
      </c>
      <c r="AC2406">
        <v>359</v>
      </c>
      <c r="AD2406" t="s">
        <v>12422</v>
      </c>
      <c r="AE2406" t="s">
        <v>6110</v>
      </c>
      <c r="AF2406">
        <v>10</v>
      </c>
      <c r="AG2406">
        <v>3</v>
      </c>
      <c r="AH2406">
        <v>1</v>
      </c>
      <c r="AI2406">
        <v>174.76</v>
      </c>
      <c r="AL2406" t="s">
        <v>12460</v>
      </c>
      <c r="AM2406">
        <v>45000</v>
      </c>
      <c r="AN2406" t="s">
        <v>12488</v>
      </c>
      <c r="AS2406">
        <v>0</v>
      </c>
      <c r="AU2406" t="s">
        <v>180</v>
      </c>
    </row>
    <row r="2407" spans="1:48">
      <c r="A2407" s="1">
        <f>HYPERLINK("https://cms.ls-nyc.org/matter/dynamic-profile/view/1891875","19-1891875")</f>
        <v>0</v>
      </c>
      <c r="B2407" t="s">
        <v>72</v>
      </c>
      <c r="C2407" t="s">
        <v>318</v>
      </c>
      <c r="E2407" t="s">
        <v>1745</v>
      </c>
      <c r="F2407" t="s">
        <v>3270</v>
      </c>
      <c r="G2407" t="s">
        <v>3700</v>
      </c>
      <c r="H2407" t="s">
        <v>5662</v>
      </c>
      <c r="I2407" t="s">
        <v>6043</v>
      </c>
      <c r="J2407">
        <v>11233</v>
      </c>
      <c r="K2407" t="s">
        <v>6074</v>
      </c>
      <c r="L2407" t="s">
        <v>6076</v>
      </c>
      <c r="M2407" t="s">
        <v>6101</v>
      </c>
      <c r="N2407" t="s">
        <v>7275</v>
      </c>
      <c r="O2407" t="s">
        <v>7307</v>
      </c>
      <c r="Q2407" t="s">
        <v>7322</v>
      </c>
      <c r="R2407" t="s">
        <v>6074</v>
      </c>
      <c r="S2407" t="s">
        <v>7324</v>
      </c>
      <c r="T2407" t="s">
        <v>7336</v>
      </c>
      <c r="U2407" t="s">
        <v>287</v>
      </c>
      <c r="V2407">
        <v>1200</v>
      </c>
      <c r="W2407" t="s">
        <v>7362</v>
      </c>
      <c r="Z2407" t="s">
        <v>9236</v>
      </c>
      <c r="AC2407">
        <v>359</v>
      </c>
      <c r="AD2407" t="s">
        <v>12422</v>
      </c>
      <c r="AE2407" t="s">
        <v>6110</v>
      </c>
      <c r="AF2407">
        <v>10</v>
      </c>
      <c r="AG2407">
        <v>3</v>
      </c>
      <c r="AH2407">
        <v>1</v>
      </c>
      <c r="AI2407">
        <v>174.76</v>
      </c>
      <c r="AL2407" t="s">
        <v>12460</v>
      </c>
      <c r="AM2407">
        <v>45000</v>
      </c>
      <c r="AN2407" t="s">
        <v>12685</v>
      </c>
      <c r="AS2407">
        <v>0</v>
      </c>
      <c r="AU2407" t="s">
        <v>218</v>
      </c>
    </row>
    <row r="2408" spans="1:48">
      <c r="A2408" s="1">
        <f>HYPERLINK("https://cms.ls-nyc.org/matter/dynamic-profile/view/1883360","18-1883360")</f>
        <v>0</v>
      </c>
      <c r="B2408" t="s">
        <v>109</v>
      </c>
      <c r="C2408" t="s">
        <v>403</v>
      </c>
      <c r="D2408" t="s">
        <v>305</v>
      </c>
      <c r="E2408" t="s">
        <v>737</v>
      </c>
      <c r="F2408" t="s">
        <v>2083</v>
      </c>
      <c r="G2408" t="s">
        <v>5037</v>
      </c>
      <c r="H2408">
        <v>8</v>
      </c>
      <c r="I2408" t="s">
        <v>6047</v>
      </c>
      <c r="J2408">
        <v>10467</v>
      </c>
      <c r="K2408" t="s">
        <v>6074</v>
      </c>
      <c r="L2408" t="s">
        <v>6074</v>
      </c>
      <c r="N2408" t="s">
        <v>7278</v>
      </c>
      <c r="O2408" t="s">
        <v>7306</v>
      </c>
      <c r="P2408" t="s">
        <v>7314</v>
      </c>
      <c r="Q2408" t="s">
        <v>7322</v>
      </c>
      <c r="R2408" t="s">
        <v>6076</v>
      </c>
      <c r="S2408" t="s">
        <v>7324</v>
      </c>
      <c r="U2408" t="s">
        <v>305</v>
      </c>
      <c r="V2408">
        <v>541</v>
      </c>
      <c r="W2408" t="s">
        <v>7363</v>
      </c>
      <c r="X2408" t="s">
        <v>7376</v>
      </c>
      <c r="Y2408" t="s">
        <v>7386</v>
      </c>
      <c r="Z2408" t="s">
        <v>9237</v>
      </c>
      <c r="AB2408" t="s">
        <v>11916</v>
      </c>
      <c r="AC2408">
        <v>0</v>
      </c>
      <c r="AD2408" t="s">
        <v>12431</v>
      </c>
      <c r="AE2408" t="s">
        <v>6110</v>
      </c>
      <c r="AF2408">
        <v>8</v>
      </c>
      <c r="AG2408">
        <v>1</v>
      </c>
      <c r="AH2408">
        <v>0</v>
      </c>
      <c r="AI2408">
        <v>175.06</v>
      </c>
      <c r="AL2408" t="s">
        <v>12460</v>
      </c>
      <c r="AM2408">
        <v>21252</v>
      </c>
      <c r="AS2408">
        <v>1</v>
      </c>
      <c r="AT2408" t="s">
        <v>403</v>
      </c>
      <c r="AU2408" t="s">
        <v>13092</v>
      </c>
    </row>
    <row r="2409" spans="1:48">
      <c r="A2409" s="1">
        <f>HYPERLINK("https://cms.ls-nyc.org/matter/dynamic-profile/view/1873795","18-1873795")</f>
        <v>0</v>
      </c>
      <c r="B2409" t="s">
        <v>130</v>
      </c>
      <c r="C2409" t="s">
        <v>402</v>
      </c>
      <c r="E2409" t="s">
        <v>1746</v>
      </c>
      <c r="F2409" t="s">
        <v>2182</v>
      </c>
      <c r="G2409" t="s">
        <v>3842</v>
      </c>
      <c r="H2409" t="s">
        <v>5873</v>
      </c>
      <c r="I2409" t="s">
        <v>6049</v>
      </c>
      <c r="J2409">
        <v>10033</v>
      </c>
      <c r="K2409" t="s">
        <v>6074</v>
      </c>
      <c r="L2409" t="s">
        <v>6074</v>
      </c>
      <c r="N2409" t="s">
        <v>7273</v>
      </c>
      <c r="O2409" t="s">
        <v>7307</v>
      </c>
      <c r="Q2409" t="s">
        <v>7322</v>
      </c>
      <c r="R2409" t="s">
        <v>6074</v>
      </c>
      <c r="S2409" t="s">
        <v>7324</v>
      </c>
      <c r="U2409" t="s">
        <v>402</v>
      </c>
      <c r="V2409">
        <v>1495</v>
      </c>
      <c r="W2409" t="s">
        <v>7365</v>
      </c>
      <c r="X2409" t="s">
        <v>7375</v>
      </c>
      <c r="Z2409" t="s">
        <v>9238</v>
      </c>
      <c r="AB2409" t="s">
        <v>11917</v>
      </c>
      <c r="AC2409">
        <v>232</v>
      </c>
      <c r="AD2409" t="s">
        <v>12422</v>
      </c>
      <c r="AE2409" t="s">
        <v>6110</v>
      </c>
      <c r="AF2409">
        <v>15</v>
      </c>
      <c r="AG2409">
        <v>3</v>
      </c>
      <c r="AH2409">
        <v>0</v>
      </c>
      <c r="AI2409">
        <v>175.17</v>
      </c>
      <c r="AL2409" t="s">
        <v>12461</v>
      </c>
      <c r="AM2409">
        <v>36400</v>
      </c>
      <c r="AS2409">
        <v>0.7</v>
      </c>
      <c r="AT2409" t="s">
        <v>496</v>
      </c>
      <c r="AU2409" t="s">
        <v>13106</v>
      </c>
    </row>
    <row r="2410" spans="1:48">
      <c r="A2410" s="1">
        <f>HYPERLINK("https://cms.ls-nyc.org/matter/dynamic-profile/view/1873265","18-1873265")</f>
        <v>0</v>
      </c>
      <c r="B2410" t="s">
        <v>52</v>
      </c>
      <c r="C2410" t="s">
        <v>419</v>
      </c>
      <c r="D2410" t="s">
        <v>262</v>
      </c>
      <c r="E2410" t="s">
        <v>1747</v>
      </c>
      <c r="F2410" t="s">
        <v>3271</v>
      </c>
      <c r="G2410" t="s">
        <v>5038</v>
      </c>
      <c r="H2410" t="s">
        <v>5347</v>
      </c>
      <c r="I2410" t="s">
        <v>6026</v>
      </c>
      <c r="J2410">
        <v>11436</v>
      </c>
      <c r="K2410" t="s">
        <v>6074</v>
      </c>
      <c r="L2410" t="s">
        <v>6074</v>
      </c>
      <c r="M2410" t="s">
        <v>7065</v>
      </c>
      <c r="N2410" t="s">
        <v>7274</v>
      </c>
      <c r="O2410" t="s">
        <v>7306</v>
      </c>
      <c r="P2410" t="s">
        <v>7314</v>
      </c>
      <c r="Q2410" t="s">
        <v>7322</v>
      </c>
      <c r="R2410" t="s">
        <v>6076</v>
      </c>
      <c r="S2410" t="s">
        <v>7324</v>
      </c>
      <c r="T2410" t="s">
        <v>7336</v>
      </c>
      <c r="U2410" t="s">
        <v>419</v>
      </c>
      <c r="V2410">
        <v>1600</v>
      </c>
      <c r="W2410" t="s">
        <v>7361</v>
      </c>
      <c r="X2410" t="s">
        <v>7366</v>
      </c>
      <c r="Y2410" t="s">
        <v>7386</v>
      </c>
      <c r="Z2410" t="s">
        <v>9239</v>
      </c>
      <c r="AA2410" t="s">
        <v>6110</v>
      </c>
      <c r="AB2410" t="s">
        <v>11918</v>
      </c>
      <c r="AC2410">
        <v>2</v>
      </c>
      <c r="AD2410" t="s">
        <v>12419</v>
      </c>
      <c r="AE2410" t="s">
        <v>6110</v>
      </c>
      <c r="AF2410">
        <v>5</v>
      </c>
      <c r="AG2410">
        <v>4</v>
      </c>
      <c r="AH2410">
        <v>0</v>
      </c>
      <c r="AI2410">
        <v>175.3</v>
      </c>
      <c r="AL2410" t="s">
        <v>12460</v>
      </c>
      <c r="AM2410">
        <v>44000</v>
      </c>
      <c r="AS2410">
        <v>1.2</v>
      </c>
      <c r="AT2410" t="s">
        <v>262</v>
      </c>
      <c r="AU2410" t="s">
        <v>48</v>
      </c>
    </row>
    <row r="2411" spans="1:48">
      <c r="A2411" s="1">
        <f>HYPERLINK("https://cms.ls-nyc.org/matter/dynamic-profile/view/1873222","18-1873222")</f>
        <v>0</v>
      </c>
      <c r="B2411" t="s">
        <v>128</v>
      </c>
      <c r="C2411" t="s">
        <v>419</v>
      </c>
      <c r="D2411" t="s">
        <v>561</v>
      </c>
      <c r="E2411" t="s">
        <v>951</v>
      </c>
      <c r="F2411" t="s">
        <v>3272</v>
      </c>
      <c r="G2411" t="s">
        <v>5039</v>
      </c>
      <c r="H2411">
        <v>46</v>
      </c>
      <c r="I2411" t="s">
        <v>6049</v>
      </c>
      <c r="J2411">
        <v>10040</v>
      </c>
      <c r="K2411" t="s">
        <v>6074</v>
      </c>
      <c r="L2411" t="s">
        <v>6074</v>
      </c>
      <c r="N2411" t="s">
        <v>7275</v>
      </c>
      <c r="O2411" t="s">
        <v>7309</v>
      </c>
      <c r="P2411" t="s">
        <v>7317</v>
      </c>
      <c r="Q2411" t="s">
        <v>7322</v>
      </c>
      <c r="R2411" t="s">
        <v>6076</v>
      </c>
      <c r="S2411" t="s">
        <v>7324</v>
      </c>
      <c r="U2411" t="s">
        <v>419</v>
      </c>
      <c r="V2411">
        <v>824.09</v>
      </c>
      <c r="W2411" t="s">
        <v>7365</v>
      </c>
      <c r="X2411" t="s">
        <v>7368</v>
      </c>
      <c r="Y2411" t="s">
        <v>7390</v>
      </c>
      <c r="Z2411" t="s">
        <v>9240</v>
      </c>
      <c r="AB2411" t="s">
        <v>11919</v>
      </c>
      <c r="AC2411">
        <v>80</v>
      </c>
      <c r="AD2411" t="s">
        <v>12422</v>
      </c>
      <c r="AE2411" t="s">
        <v>6110</v>
      </c>
      <c r="AF2411">
        <v>37</v>
      </c>
      <c r="AG2411">
        <v>2</v>
      </c>
      <c r="AH2411">
        <v>0</v>
      </c>
      <c r="AI2411">
        <v>175.65</v>
      </c>
      <c r="AL2411" t="s">
        <v>12461</v>
      </c>
      <c r="AM2411">
        <v>28911.6</v>
      </c>
      <c r="AS2411">
        <v>0.6</v>
      </c>
      <c r="AT2411" t="s">
        <v>561</v>
      </c>
      <c r="AU2411" t="s">
        <v>13106</v>
      </c>
    </row>
    <row r="2412" spans="1:48">
      <c r="A2412" s="1">
        <f>HYPERLINK("https://cms.ls-nyc.org/matter/dynamic-profile/view/1873224","18-1873224")</f>
        <v>0</v>
      </c>
      <c r="B2412" t="s">
        <v>128</v>
      </c>
      <c r="C2412" t="s">
        <v>419</v>
      </c>
      <c r="E2412" t="s">
        <v>951</v>
      </c>
      <c r="F2412" t="s">
        <v>3272</v>
      </c>
      <c r="G2412" t="s">
        <v>5039</v>
      </c>
      <c r="H2412">
        <v>46</v>
      </c>
      <c r="I2412" t="s">
        <v>6049</v>
      </c>
      <c r="J2412">
        <v>10040</v>
      </c>
      <c r="K2412" t="s">
        <v>6074</v>
      </c>
      <c r="L2412" t="s">
        <v>6074</v>
      </c>
      <c r="N2412" t="s">
        <v>7278</v>
      </c>
      <c r="O2412" t="s">
        <v>7309</v>
      </c>
      <c r="Q2412" t="s">
        <v>7322</v>
      </c>
      <c r="R2412" t="s">
        <v>6076</v>
      </c>
      <c r="S2412" t="s">
        <v>7324</v>
      </c>
      <c r="U2412" t="s">
        <v>419</v>
      </c>
      <c r="V2412">
        <v>824.09</v>
      </c>
      <c r="W2412" t="s">
        <v>7365</v>
      </c>
      <c r="X2412" t="s">
        <v>7368</v>
      </c>
      <c r="Z2412" t="s">
        <v>9240</v>
      </c>
      <c r="AB2412" t="s">
        <v>11919</v>
      </c>
      <c r="AC2412">
        <v>80</v>
      </c>
      <c r="AD2412" t="s">
        <v>12422</v>
      </c>
      <c r="AE2412" t="s">
        <v>6110</v>
      </c>
      <c r="AF2412">
        <v>37</v>
      </c>
      <c r="AG2412">
        <v>2</v>
      </c>
      <c r="AH2412">
        <v>0</v>
      </c>
      <c r="AI2412">
        <v>175.65</v>
      </c>
      <c r="AL2412" t="s">
        <v>12461</v>
      </c>
      <c r="AM2412">
        <v>28911.6</v>
      </c>
      <c r="AS2412">
        <v>5.7</v>
      </c>
      <c r="AT2412" t="s">
        <v>413</v>
      </c>
      <c r="AU2412" t="s">
        <v>13106</v>
      </c>
    </row>
    <row r="2413" spans="1:48">
      <c r="A2413" s="1">
        <f>HYPERLINK("https://cms.ls-nyc.org/matter/dynamic-profile/view/1875252","18-1875252")</f>
        <v>0</v>
      </c>
      <c r="B2413" t="s">
        <v>91</v>
      </c>
      <c r="C2413" t="s">
        <v>399</v>
      </c>
      <c r="D2413" t="s">
        <v>299</v>
      </c>
      <c r="E2413" t="s">
        <v>896</v>
      </c>
      <c r="F2413" t="s">
        <v>3273</v>
      </c>
      <c r="G2413" t="s">
        <v>5040</v>
      </c>
      <c r="H2413">
        <v>7</v>
      </c>
      <c r="I2413" t="s">
        <v>6043</v>
      </c>
      <c r="J2413">
        <v>11219</v>
      </c>
      <c r="K2413" t="s">
        <v>6074</v>
      </c>
      <c r="L2413" t="s">
        <v>6075</v>
      </c>
      <c r="N2413" t="s">
        <v>7283</v>
      </c>
      <c r="O2413" t="s">
        <v>7307</v>
      </c>
      <c r="P2413" t="s">
        <v>7315</v>
      </c>
      <c r="Q2413" t="s">
        <v>7322</v>
      </c>
      <c r="R2413" t="s">
        <v>6076</v>
      </c>
      <c r="S2413" t="s">
        <v>7324</v>
      </c>
      <c r="U2413" t="s">
        <v>399</v>
      </c>
      <c r="V2413">
        <v>857.3</v>
      </c>
      <c r="W2413" t="s">
        <v>7362</v>
      </c>
      <c r="X2413" t="s">
        <v>7375</v>
      </c>
      <c r="Y2413" t="s">
        <v>7386</v>
      </c>
      <c r="Z2413" t="s">
        <v>9241</v>
      </c>
      <c r="AB2413" t="s">
        <v>11920</v>
      </c>
      <c r="AC2413">
        <v>14</v>
      </c>
      <c r="AD2413" t="s">
        <v>12422</v>
      </c>
      <c r="AF2413">
        <v>0</v>
      </c>
      <c r="AG2413">
        <v>2</v>
      </c>
      <c r="AH2413">
        <v>0</v>
      </c>
      <c r="AI2413">
        <v>175.99</v>
      </c>
      <c r="AL2413" t="s">
        <v>12461</v>
      </c>
      <c r="AM2413">
        <v>28968</v>
      </c>
      <c r="AS2413">
        <v>1.75</v>
      </c>
      <c r="AT2413" t="s">
        <v>299</v>
      </c>
      <c r="AU2413" t="s">
        <v>91</v>
      </c>
    </row>
    <row r="2414" spans="1:48">
      <c r="A2414" s="1">
        <f>HYPERLINK("https://cms.ls-nyc.org/matter/dynamic-profile/view/1872615","18-1872615")</f>
        <v>0</v>
      </c>
      <c r="B2414" t="s">
        <v>115</v>
      </c>
      <c r="C2414" t="s">
        <v>242</v>
      </c>
      <c r="D2414" t="s">
        <v>562</v>
      </c>
      <c r="E2414" t="s">
        <v>732</v>
      </c>
      <c r="F2414" t="s">
        <v>2056</v>
      </c>
      <c r="G2414" t="s">
        <v>5041</v>
      </c>
      <c r="H2414" t="s">
        <v>5716</v>
      </c>
      <c r="I2414" t="s">
        <v>6047</v>
      </c>
      <c r="J2414">
        <v>10452</v>
      </c>
      <c r="K2414" t="s">
        <v>6074</v>
      </c>
      <c r="L2414" t="s">
        <v>6074</v>
      </c>
      <c r="N2414" t="s">
        <v>7278</v>
      </c>
      <c r="O2414" t="s">
        <v>7306</v>
      </c>
      <c r="P2414" t="s">
        <v>7314</v>
      </c>
      <c r="Q2414" t="s">
        <v>7322</v>
      </c>
      <c r="R2414" t="s">
        <v>6076</v>
      </c>
      <c r="S2414" t="s">
        <v>7324</v>
      </c>
      <c r="U2414" t="s">
        <v>258</v>
      </c>
      <c r="V2414">
        <v>1050</v>
      </c>
      <c r="W2414" t="s">
        <v>7363</v>
      </c>
      <c r="X2414" t="s">
        <v>7376</v>
      </c>
      <c r="Y2414" t="s">
        <v>7386</v>
      </c>
      <c r="Z2414" t="s">
        <v>9242</v>
      </c>
      <c r="AB2414" t="s">
        <v>11921</v>
      </c>
      <c r="AC2414">
        <v>49</v>
      </c>
      <c r="AD2414" t="s">
        <v>12422</v>
      </c>
      <c r="AE2414" t="s">
        <v>12441</v>
      </c>
      <c r="AF2414">
        <v>44</v>
      </c>
      <c r="AG2414">
        <v>2</v>
      </c>
      <c r="AH2414">
        <v>0</v>
      </c>
      <c r="AI2414">
        <v>176.18</v>
      </c>
      <c r="AL2414" t="s">
        <v>12460</v>
      </c>
      <c r="AM2414">
        <v>29000</v>
      </c>
      <c r="AS2414">
        <v>0.5</v>
      </c>
      <c r="AT2414" t="s">
        <v>242</v>
      </c>
      <c r="AU2414" t="s">
        <v>13092</v>
      </c>
    </row>
    <row r="2415" spans="1:48">
      <c r="A2415" s="1">
        <f>HYPERLINK("https://cms.ls-nyc.org/matter/dynamic-profile/view/1874233","18-1874233")</f>
        <v>0</v>
      </c>
      <c r="B2415" t="s">
        <v>132</v>
      </c>
      <c r="C2415" t="s">
        <v>384</v>
      </c>
      <c r="D2415" t="s">
        <v>360</v>
      </c>
      <c r="E2415" t="s">
        <v>1748</v>
      </c>
      <c r="F2415" t="s">
        <v>3274</v>
      </c>
      <c r="G2415" t="s">
        <v>3979</v>
      </c>
      <c r="H2415" t="s">
        <v>5874</v>
      </c>
      <c r="I2415" t="s">
        <v>6049</v>
      </c>
      <c r="J2415">
        <v>10033</v>
      </c>
      <c r="K2415" t="s">
        <v>6074</v>
      </c>
      <c r="L2415" t="s">
        <v>6074</v>
      </c>
      <c r="N2415" t="s">
        <v>7279</v>
      </c>
      <c r="O2415" t="s">
        <v>7307</v>
      </c>
      <c r="P2415" t="s">
        <v>7315</v>
      </c>
      <c r="Q2415" t="s">
        <v>7322</v>
      </c>
      <c r="R2415" t="s">
        <v>6076</v>
      </c>
      <c r="S2415" t="s">
        <v>7324</v>
      </c>
      <c r="U2415" t="s">
        <v>384</v>
      </c>
      <c r="V2415">
        <v>857.13</v>
      </c>
      <c r="W2415" t="s">
        <v>7365</v>
      </c>
      <c r="X2415" t="s">
        <v>7367</v>
      </c>
      <c r="Y2415" t="s">
        <v>7387</v>
      </c>
      <c r="Z2415" t="s">
        <v>9243</v>
      </c>
      <c r="AB2415" t="s">
        <v>11922</v>
      </c>
      <c r="AC2415">
        <v>78</v>
      </c>
      <c r="AD2415" t="s">
        <v>12422</v>
      </c>
      <c r="AE2415" t="s">
        <v>6110</v>
      </c>
      <c r="AF2415">
        <v>39</v>
      </c>
      <c r="AG2415">
        <v>2</v>
      </c>
      <c r="AH2415">
        <v>0</v>
      </c>
      <c r="AI2415">
        <v>176.18</v>
      </c>
      <c r="AL2415" t="s">
        <v>12460</v>
      </c>
      <c r="AM2415">
        <v>29000</v>
      </c>
      <c r="AS2415">
        <v>2</v>
      </c>
      <c r="AT2415" t="s">
        <v>360</v>
      </c>
      <c r="AU2415" t="s">
        <v>13106</v>
      </c>
    </row>
    <row r="2416" spans="1:48">
      <c r="A2416" s="1">
        <f>HYPERLINK("https://cms.ls-nyc.org/matter/dynamic-profile/view/1886968","19-1886968")</f>
        <v>0</v>
      </c>
      <c r="B2416" t="s">
        <v>74</v>
      </c>
      <c r="C2416" t="s">
        <v>410</v>
      </c>
      <c r="E2416" t="s">
        <v>1749</v>
      </c>
      <c r="F2416" t="s">
        <v>667</v>
      </c>
      <c r="G2416" t="s">
        <v>5042</v>
      </c>
      <c r="H2416" t="s">
        <v>5444</v>
      </c>
      <c r="I2416" t="s">
        <v>6043</v>
      </c>
      <c r="J2416">
        <v>11208</v>
      </c>
      <c r="K2416" t="s">
        <v>6074</v>
      </c>
      <c r="L2416" t="s">
        <v>6074</v>
      </c>
      <c r="M2416" t="s">
        <v>7066</v>
      </c>
      <c r="N2416" t="s">
        <v>7276</v>
      </c>
      <c r="O2416" t="s">
        <v>7308</v>
      </c>
      <c r="Q2416" t="s">
        <v>7322</v>
      </c>
      <c r="R2416" t="s">
        <v>6076</v>
      </c>
      <c r="S2416" t="s">
        <v>7324</v>
      </c>
      <c r="T2416" t="s">
        <v>7336</v>
      </c>
      <c r="U2416" t="s">
        <v>337</v>
      </c>
      <c r="V2416">
        <v>913</v>
      </c>
      <c r="W2416" t="s">
        <v>7362</v>
      </c>
      <c r="X2416" t="s">
        <v>7367</v>
      </c>
      <c r="Z2416" t="s">
        <v>9244</v>
      </c>
      <c r="AA2416" t="s">
        <v>6101</v>
      </c>
      <c r="AB2416" t="s">
        <v>11923</v>
      </c>
      <c r="AC2416">
        <v>64</v>
      </c>
      <c r="AD2416" t="s">
        <v>12422</v>
      </c>
      <c r="AE2416" t="s">
        <v>6110</v>
      </c>
      <c r="AF2416">
        <v>5</v>
      </c>
      <c r="AG2416">
        <v>1</v>
      </c>
      <c r="AH2416">
        <v>0</v>
      </c>
      <c r="AI2416">
        <v>176.47</v>
      </c>
      <c r="AL2416" t="s">
        <v>12460</v>
      </c>
      <c r="AM2416">
        <v>21424</v>
      </c>
      <c r="AS2416">
        <v>27.6</v>
      </c>
      <c r="AT2416" t="s">
        <v>363</v>
      </c>
      <c r="AU2416" t="s">
        <v>218</v>
      </c>
    </row>
    <row r="2417" spans="1:48">
      <c r="A2417" s="1">
        <f>HYPERLINK("https://cms.ls-nyc.org/matter/dynamic-profile/view/1900693","19-1900693")</f>
        <v>0</v>
      </c>
      <c r="B2417" t="s">
        <v>89</v>
      </c>
      <c r="C2417" t="s">
        <v>381</v>
      </c>
      <c r="E2417" t="s">
        <v>1750</v>
      </c>
      <c r="F2417" t="s">
        <v>3275</v>
      </c>
      <c r="G2417" t="s">
        <v>4439</v>
      </c>
      <c r="I2417" t="s">
        <v>6043</v>
      </c>
      <c r="J2417">
        <v>11213</v>
      </c>
      <c r="K2417" t="s">
        <v>6074</v>
      </c>
      <c r="L2417" t="s">
        <v>6075</v>
      </c>
      <c r="N2417" t="s">
        <v>6104</v>
      </c>
      <c r="O2417" t="s">
        <v>7309</v>
      </c>
      <c r="Q2417" t="s">
        <v>7322</v>
      </c>
      <c r="R2417" t="s">
        <v>6074</v>
      </c>
      <c r="S2417" t="s">
        <v>7324</v>
      </c>
      <c r="T2417" t="s">
        <v>7336</v>
      </c>
      <c r="U2417" t="s">
        <v>263</v>
      </c>
      <c r="V2417">
        <v>678.92</v>
      </c>
      <c r="W2417" t="s">
        <v>7362</v>
      </c>
      <c r="X2417" t="s">
        <v>7376</v>
      </c>
      <c r="Z2417" t="s">
        <v>9245</v>
      </c>
      <c r="AA2417" t="s">
        <v>6110</v>
      </c>
      <c r="AB2417" t="s">
        <v>11924</v>
      </c>
      <c r="AC2417">
        <v>35</v>
      </c>
      <c r="AD2417" t="s">
        <v>12422</v>
      </c>
      <c r="AE2417" t="s">
        <v>6110</v>
      </c>
      <c r="AF2417">
        <v>22</v>
      </c>
      <c r="AG2417">
        <v>1</v>
      </c>
      <c r="AH2417">
        <v>0</v>
      </c>
      <c r="AI2417">
        <v>176.55</v>
      </c>
      <c r="AL2417" t="s">
        <v>12460</v>
      </c>
      <c r="AM2417">
        <v>22051</v>
      </c>
      <c r="AN2417" t="s">
        <v>12686</v>
      </c>
      <c r="AS2417">
        <v>0</v>
      </c>
      <c r="AU2417" t="s">
        <v>218</v>
      </c>
      <c r="AV2417" t="s">
        <v>13145</v>
      </c>
    </row>
    <row r="2418" spans="1:48">
      <c r="A2418" s="1">
        <f>HYPERLINK("https://cms.ls-nyc.org/matter/dynamic-profile/view/1890572","19-1890572")</f>
        <v>0</v>
      </c>
      <c r="B2418" t="s">
        <v>72</v>
      </c>
      <c r="C2418" t="s">
        <v>448</v>
      </c>
      <c r="E2418" t="s">
        <v>1273</v>
      </c>
      <c r="F2418" t="s">
        <v>3276</v>
      </c>
      <c r="G2418" t="s">
        <v>3700</v>
      </c>
      <c r="H2418" t="s">
        <v>5875</v>
      </c>
      <c r="I2418" t="s">
        <v>6043</v>
      </c>
      <c r="J2418">
        <v>11233</v>
      </c>
      <c r="K2418" t="s">
        <v>6074</v>
      </c>
      <c r="L2418" t="s">
        <v>6076</v>
      </c>
      <c r="M2418" t="s">
        <v>6110</v>
      </c>
      <c r="N2418" t="s">
        <v>7279</v>
      </c>
      <c r="O2418" t="s">
        <v>7311</v>
      </c>
      <c r="Q2418" t="s">
        <v>7322</v>
      </c>
      <c r="R2418" t="s">
        <v>6074</v>
      </c>
      <c r="S2418" t="s">
        <v>7324</v>
      </c>
      <c r="T2418" t="s">
        <v>7336</v>
      </c>
      <c r="U2418" t="s">
        <v>559</v>
      </c>
      <c r="V2418">
        <v>875</v>
      </c>
      <c r="W2418" t="s">
        <v>7362</v>
      </c>
      <c r="X2418" t="s">
        <v>7372</v>
      </c>
      <c r="Z2418" t="s">
        <v>9246</v>
      </c>
      <c r="AC2418">
        <v>359</v>
      </c>
      <c r="AD2418" t="s">
        <v>12422</v>
      </c>
      <c r="AF2418">
        <v>40</v>
      </c>
      <c r="AG2418">
        <v>1</v>
      </c>
      <c r="AH2418">
        <v>0</v>
      </c>
      <c r="AI2418">
        <v>176.86</v>
      </c>
      <c r="AL2418" t="s">
        <v>12460</v>
      </c>
      <c r="AM2418">
        <v>22090</v>
      </c>
      <c r="AN2418" t="s">
        <v>12687</v>
      </c>
      <c r="AS2418">
        <v>0</v>
      </c>
      <c r="AU2418" t="s">
        <v>218</v>
      </c>
    </row>
    <row r="2419" spans="1:48">
      <c r="A2419" s="1">
        <f>HYPERLINK("https://cms.ls-nyc.org/matter/dynamic-profile/view/1891871","19-1891871")</f>
        <v>0</v>
      </c>
      <c r="B2419" t="s">
        <v>72</v>
      </c>
      <c r="C2419" t="s">
        <v>318</v>
      </c>
      <c r="E2419" t="s">
        <v>1273</v>
      </c>
      <c r="F2419" t="s">
        <v>3276</v>
      </c>
      <c r="G2419" t="s">
        <v>3700</v>
      </c>
      <c r="H2419" t="s">
        <v>5875</v>
      </c>
      <c r="I2419" t="s">
        <v>6043</v>
      </c>
      <c r="J2419">
        <v>11233</v>
      </c>
      <c r="K2419" t="s">
        <v>6074</v>
      </c>
      <c r="L2419" t="s">
        <v>6076</v>
      </c>
      <c r="M2419" t="s">
        <v>6110</v>
      </c>
      <c r="N2419" t="s">
        <v>7275</v>
      </c>
      <c r="O2419" t="s">
        <v>7307</v>
      </c>
      <c r="Q2419" t="s">
        <v>7322</v>
      </c>
      <c r="R2419" t="s">
        <v>6074</v>
      </c>
      <c r="S2419" t="s">
        <v>7324</v>
      </c>
      <c r="T2419" t="s">
        <v>7336</v>
      </c>
      <c r="U2419" t="s">
        <v>287</v>
      </c>
      <c r="V2419">
        <v>875</v>
      </c>
      <c r="W2419" t="s">
        <v>7362</v>
      </c>
      <c r="Z2419" t="s">
        <v>9246</v>
      </c>
      <c r="AC2419">
        <v>359</v>
      </c>
      <c r="AD2419" t="s">
        <v>12422</v>
      </c>
      <c r="AF2419">
        <v>40</v>
      </c>
      <c r="AG2419">
        <v>1</v>
      </c>
      <c r="AH2419">
        <v>0</v>
      </c>
      <c r="AI2419">
        <v>176.86</v>
      </c>
      <c r="AL2419" t="s">
        <v>12460</v>
      </c>
      <c r="AM2419">
        <v>22090</v>
      </c>
      <c r="AN2419" t="s">
        <v>12688</v>
      </c>
      <c r="AS2419">
        <v>0</v>
      </c>
      <c r="AU2419" t="s">
        <v>218</v>
      </c>
    </row>
    <row r="2420" spans="1:48">
      <c r="A2420" s="1">
        <f>HYPERLINK("https://cms.ls-nyc.org/matter/dynamic-profile/view/1898818","19-1898818")</f>
        <v>0</v>
      </c>
      <c r="B2420" t="s">
        <v>128</v>
      </c>
      <c r="C2420" t="s">
        <v>294</v>
      </c>
      <c r="E2420" t="s">
        <v>1219</v>
      </c>
      <c r="F2420" t="s">
        <v>3277</v>
      </c>
      <c r="G2420" t="s">
        <v>5043</v>
      </c>
      <c r="H2420" t="s">
        <v>5418</v>
      </c>
      <c r="I2420" t="s">
        <v>6049</v>
      </c>
      <c r="J2420">
        <v>10034</v>
      </c>
      <c r="K2420" t="s">
        <v>6074</v>
      </c>
      <c r="L2420" t="s">
        <v>6074</v>
      </c>
      <c r="O2420" t="s">
        <v>7310</v>
      </c>
      <c r="Q2420" t="s">
        <v>7322</v>
      </c>
      <c r="R2420" t="s">
        <v>6076</v>
      </c>
      <c r="S2420" t="s">
        <v>7324</v>
      </c>
      <c r="U2420" t="s">
        <v>294</v>
      </c>
      <c r="V2420">
        <v>1565</v>
      </c>
      <c r="W2420" t="s">
        <v>7365</v>
      </c>
      <c r="X2420" t="s">
        <v>7367</v>
      </c>
      <c r="Z2420" t="s">
        <v>9247</v>
      </c>
      <c r="AB2420" t="s">
        <v>11925</v>
      </c>
      <c r="AC2420">
        <v>48</v>
      </c>
      <c r="AD2420" t="s">
        <v>12422</v>
      </c>
      <c r="AE2420" t="s">
        <v>12441</v>
      </c>
      <c r="AF2420">
        <v>2</v>
      </c>
      <c r="AG2420">
        <v>1</v>
      </c>
      <c r="AH2420">
        <v>0</v>
      </c>
      <c r="AI2420">
        <v>176.88</v>
      </c>
      <c r="AL2420" t="s">
        <v>12460</v>
      </c>
      <c r="AM2420">
        <v>22092</v>
      </c>
      <c r="AS2420">
        <v>1.2</v>
      </c>
      <c r="AT2420" t="s">
        <v>309</v>
      </c>
      <c r="AU2420" t="s">
        <v>13106</v>
      </c>
    </row>
    <row r="2421" spans="1:48">
      <c r="A2421" s="1">
        <f>HYPERLINK("https://cms.ls-nyc.org/matter/dynamic-profile/view/1880060","18-1880060")</f>
        <v>0</v>
      </c>
      <c r="B2421" t="s">
        <v>124</v>
      </c>
      <c r="C2421" t="s">
        <v>360</v>
      </c>
      <c r="D2421" t="s">
        <v>462</v>
      </c>
      <c r="E2421" t="s">
        <v>1729</v>
      </c>
      <c r="F2421" t="s">
        <v>3278</v>
      </c>
      <c r="G2421" t="s">
        <v>5044</v>
      </c>
      <c r="I2421" t="s">
        <v>6048</v>
      </c>
      <c r="J2421">
        <v>10308</v>
      </c>
      <c r="K2421" t="s">
        <v>6074</v>
      </c>
      <c r="L2421" t="s">
        <v>6074</v>
      </c>
      <c r="M2421" t="s">
        <v>7067</v>
      </c>
      <c r="N2421" t="s">
        <v>7274</v>
      </c>
      <c r="O2421" t="s">
        <v>7308</v>
      </c>
      <c r="P2421" t="s">
        <v>7316</v>
      </c>
      <c r="Q2421" t="s">
        <v>7323</v>
      </c>
      <c r="R2421" t="s">
        <v>6076</v>
      </c>
      <c r="S2421" t="s">
        <v>7324</v>
      </c>
      <c r="T2421" t="s">
        <v>7336</v>
      </c>
      <c r="U2421" t="s">
        <v>245</v>
      </c>
      <c r="V2421">
        <v>0</v>
      </c>
      <c r="W2421" t="s">
        <v>7364</v>
      </c>
      <c r="X2421" t="s">
        <v>7369</v>
      </c>
      <c r="Y2421" t="s">
        <v>7388</v>
      </c>
      <c r="Z2421" t="s">
        <v>9248</v>
      </c>
      <c r="AB2421" t="s">
        <v>11926</v>
      </c>
      <c r="AC2421">
        <v>1</v>
      </c>
      <c r="AD2421" t="s">
        <v>12419</v>
      </c>
      <c r="AE2421" t="s">
        <v>6110</v>
      </c>
      <c r="AF2421">
        <v>7</v>
      </c>
      <c r="AG2421">
        <v>1</v>
      </c>
      <c r="AH2421">
        <v>0</v>
      </c>
      <c r="AI2421">
        <v>177.13</v>
      </c>
      <c r="AJ2421" t="s">
        <v>12443</v>
      </c>
      <c r="AK2421" t="s">
        <v>12455</v>
      </c>
      <c r="AL2421" t="s">
        <v>12460</v>
      </c>
      <c r="AM2421">
        <v>21504</v>
      </c>
      <c r="AO2421" t="s">
        <v>12846</v>
      </c>
      <c r="AP2421" t="s">
        <v>12858</v>
      </c>
      <c r="AQ2421" t="s">
        <v>12909</v>
      </c>
      <c r="AR2421" t="s">
        <v>13045</v>
      </c>
      <c r="AS2421">
        <v>15.8</v>
      </c>
      <c r="AT2421" t="s">
        <v>429</v>
      </c>
      <c r="AU2421" t="s">
        <v>210</v>
      </c>
    </row>
    <row r="2422" spans="1:48">
      <c r="A2422" s="1">
        <f>HYPERLINK("https://cms.ls-nyc.org/matter/dynamic-profile/view/1891783","19-1891783")</f>
        <v>0</v>
      </c>
      <c r="B2422" t="s">
        <v>107</v>
      </c>
      <c r="C2422" t="s">
        <v>318</v>
      </c>
      <c r="E2422" t="s">
        <v>637</v>
      </c>
      <c r="F2422" t="s">
        <v>2536</v>
      </c>
      <c r="G2422" t="s">
        <v>3793</v>
      </c>
      <c r="H2422" t="s">
        <v>5393</v>
      </c>
      <c r="I2422" t="s">
        <v>6047</v>
      </c>
      <c r="J2422">
        <v>10453</v>
      </c>
      <c r="K2422" t="s">
        <v>6074</v>
      </c>
      <c r="L2422" t="s">
        <v>6074</v>
      </c>
      <c r="M2422" t="s">
        <v>7068</v>
      </c>
      <c r="N2422" t="s">
        <v>7273</v>
      </c>
      <c r="O2422" t="s">
        <v>7308</v>
      </c>
      <c r="Q2422" t="s">
        <v>7322</v>
      </c>
      <c r="R2422" t="s">
        <v>6074</v>
      </c>
      <c r="S2422" t="s">
        <v>7324</v>
      </c>
      <c r="U2422" t="s">
        <v>457</v>
      </c>
      <c r="V2422">
        <v>748</v>
      </c>
      <c r="W2422" t="s">
        <v>7363</v>
      </c>
      <c r="X2422" t="s">
        <v>7376</v>
      </c>
      <c r="Z2422" t="s">
        <v>9249</v>
      </c>
      <c r="AB2422" t="s">
        <v>11927</v>
      </c>
      <c r="AC2422">
        <v>49</v>
      </c>
      <c r="AD2422" t="s">
        <v>12422</v>
      </c>
      <c r="AE2422" t="s">
        <v>6110</v>
      </c>
      <c r="AF2422">
        <v>25</v>
      </c>
      <c r="AG2422">
        <v>1</v>
      </c>
      <c r="AH2422">
        <v>1</v>
      </c>
      <c r="AI2422">
        <v>177.41</v>
      </c>
      <c r="AL2422" t="s">
        <v>12461</v>
      </c>
      <c r="AM2422">
        <v>30000</v>
      </c>
      <c r="AS2422">
        <v>0.3</v>
      </c>
      <c r="AT2422" t="s">
        <v>313</v>
      </c>
      <c r="AU2422" t="s">
        <v>13099</v>
      </c>
    </row>
    <row r="2423" spans="1:48">
      <c r="A2423" s="1">
        <f>HYPERLINK("https://cms.ls-nyc.org/matter/dynamic-profile/view/1886622","18-1886622")</f>
        <v>0</v>
      </c>
      <c r="B2423" t="s">
        <v>96</v>
      </c>
      <c r="C2423" t="s">
        <v>346</v>
      </c>
      <c r="E2423" t="s">
        <v>823</v>
      </c>
      <c r="F2423" t="s">
        <v>2295</v>
      </c>
      <c r="G2423" t="s">
        <v>3792</v>
      </c>
      <c r="H2423" t="s">
        <v>5379</v>
      </c>
      <c r="I2423" t="s">
        <v>6047</v>
      </c>
      <c r="J2423">
        <v>10453</v>
      </c>
      <c r="K2423" t="s">
        <v>6074</v>
      </c>
      <c r="L2423" t="s">
        <v>6074</v>
      </c>
      <c r="N2423" t="s">
        <v>7278</v>
      </c>
      <c r="O2423" t="s">
        <v>7307</v>
      </c>
      <c r="Q2423" t="s">
        <v>7322</v>
      </c>
      <c r="R2423" t="s">
        <v>6074</v>
      </c>
      <c r="S2423" t="s">
        <v>7332</v>
      </c>
      <c r="U2423" t="s">
        <v>257</v>
      </c>
      <c r="V2423">
        <v>0</v>
      </c>
      <c r="W2423" t="s">
        <v>7363</v>
      </c>
      <c r="X2423" t="s">
        <v>7368</v>
      </c>
      <c r="Z2423" t="s">
        <v>7686</v>
      </c>
      <c r="AB2423" t="s">
        <v>10508</v>
      </c>
      <c r="AC2423">
        <v>170</v>
      </c>
      <c r="AD2423" t="s">
        <v>12422</v>
      </c>
      <c r="AF2423">
        <v>0</v>
      </c>
      <c r="AG2423">
        <v>1</v>
      </c>
      <c r="AH2423">
        <v>0</v>
      </c>
      <c r="AI2423">
        <v>177.53</v>
      </c>
      <c r="AL2423" t="s">
        <v>12460</v>
      </c>
      <c r="AM2423">
        <v>21552</v>
      </c>
      <c r="AS2423">
        <v>46</v>
      </c>
      <c r="AT2423" t="s">
        <v>275</v>
      </c>
      <c r="AU2423" t="s">
        <v>96</v>
      </c>
      <c r="AV2423" t="s">
        <v>13145</v>
      </c>
    </row>
    <row r="2424" spans="1:48">
      <c r="A2424" s="1">
        <f>HYPERLINK("https://cms.ls-nyc.org/matter/dynamic-profile/view/1891401","19-1891401")</f>
        <v>0</v>
      </c>
      <c r="B2424" t="s">
        <v>96</v>
      </c>
      <c r="C2424" t="s">
        <v>366</v>
      </c>
      <c r="E2424" t="s">
        <v>1751</v>
      </c>
      <c r="F2424" t="s">
        <v>3279</v>
      </c>
      <c r="G2424" t="s">
        <v>3792</v>
      </c>
      <c r="H2424" t="s">
        <v>5876</v>
      </c>
      <c r="I2424" t="s">
        <v>6047</v>
      </c>
      <c r="J2424">
        <v>10453</v>
      </c>
      <c r="K2424" t="s">
        <v>6074</v>
      </c>
      <c r="L2424" t="s">
        <v>6074</v>
      </c>
      <c r="N2424" t="s">
        <v>7279</v>
      </c>
      <c r="O2424" t="s">
        <v>7311</v>
      </c>
      <c r="Q2424" t="s">
        <v>7322</v>
      </c>
      <c r="R2424" t="s">
        <v>6074</v>
      </c>
      <c r="S2424" t="s">
        <v>7324</v>
      </c>
      <c r="U2424" t="s">
        <v>457</v>
      </c>
      <c r="V2424">
        <v>900</v>
      </c>
      <c r="W2424" t="s">
        <v>7363</v>
      </c>
      <c r="X2424" t="s">
        <v>7376</v>
      </c>
      <c r="Z2424" t="s">
        <v>9250</v>
      </c>
      <c r="AB2424" t="s">
        <v>11928</v>
      </c>
      <c r="AC2424">
        <v>0</v>
      </c>
      <c r="AD2424" t="s">
        <v>12422</v>
      </c>
      <c r="AE2424" t="s">
        <v>12434</v>
      </c>
      <c r="AF2424">
        <v>10</v>
      </c>
      <c r="AG2424">
        <v>1</v>
      </c>
      <c r="AH2424">
        <v>3</v>
      </c>
      <c r="AI2424">
        <v>177.91</v>
      </c>
      <c r="AL2424" t="s">
        <v>12461</v>
      </c>
      <c r="AM2424">
        <v>45812</v>
      </c>
      <c r="AS2424">
        <v>0</v>
      </c>
      <c r="AU2424" t="s">
        <v>13095</v>
      </c>
    </row>
    <row r="2425" spans="1:48">
      <c r="A2425" s="1">
        <f>HYPERLINK("https://cms.ls-nyc.org/matter/dynamic-profile/view/1891397","19-1891397")</f>
        <v>0</v>
      </c>
      <c r="B2425" t="s">
        <v>96</v>
      </c>
      <c r="C2425" t="s">
        <v>366</v>
      </c>
      <c r="E2425" t="s">
        <v>1751</v>
      </c>
      <c r="F2425" t="s">
        <v>3279</v>
      </c>
      <c r="G2425" t="s">
        <v>3792</v>
      </c>
      <c r="H2425" t="s">
        <v>5876</v>
      </c>
      <c r="I2425" t="s">
        <v>6047</v>
      </c>
      <c r="J2425">
        <v>10453</v>
      </c>
      <c r="K2425" t="s">
        <v>6074</v>
      </c>
      <c r="L2425" t="s">
        <v>6074</v>
      </c>
      <c r="M2425" t="s">
        <v>6259</v>
      </c>
      <c r="N2425" t="s">
        <v>7273</v>
      </c>
      <c r="O2425" t="s">
        <v>7308</v>
      </c>
      <c r="Q2425" t="s">
        <v>7322</v>
      </c>
      <c r="R2425" t="s">
        <v>6074</v>
      </c>
      <c r="S2425" t="s">
        <v>7324</v>
      </c>
      <c r="U2425" t="s">
        <v>457</v>
      </c>
      <c r="V2425">
        <v>900</v>
      </c>
      <c r="W2425" t="s">
        <v>7363</v>
      </c>
      <c r="X2425" t="s">
        <v>7376</v>
      </c>
      <c r="Z2425" t="s">
        <v>9250</v>
      </c>
      <c r="AB2425" t="s">
        <v>11928</v>
      </c>
      <c r="AC2425">
        <v>170</v>
      </c>
      <c r="AD2425" t="s">
        <v>12422</v>
      </c>
      <c r="AE2425" t="s">
        <v>6110</v>
      </c>
      <c r="AF2425">
        <v>10</v>
      </c>
      <c r="AG2425">
        <v>1</v>
      </c>
      <c r="AH2425">
        <v>3</v>
      </c>
      <c r="AI2425">
        <v>177.91</v>
      </c>
      <c r="AL2425" t="s">
        <v>12461</v>
      </c>
      <c r="AM2425">
        <v>45812</v>
      </c>
      <c r="AS2425">
        <v>0</v>
      </c>
      <c r="AU2425" t="s">
        <v>13095</v>
      </c>
    </row>
    <row r="2426" spans="1:48">
      <c r="A2426" s="1">
        <f>HYPERLINK("https://cms.ls-nyc.org/matter/dynamic-profile/view/1877540","18-1877540")</f>
        <v>0</v>
      </c>
      <c r="B2426" t="s">
        <v>59</v>
      </c>
      <c r="C2426" t="s">
        <v>372</v>
      </c>
      <c r="D2426" t="s">
        <v>465</v>
      </c>
      <c r="E2426" t="s">
        <v>1071</v>
      </c>
      <c r="F2426" t="s">
        <v>3280</v>
      </c>
      <c r="G2426" t="s">
        <v>5045</v>
      </c>
      <c r="H2426" t="s">
        <v>5347</v>
      </c>
      <c r="I2426" t="s">
        <v>6038</v>
      </c>
      <c r="J2426">
        <v>11369</v>
      </c>
      <c r="K2426" t="s">
        <v>6074</v>
      </c>
      <c r="L2426" t="s">
        <v>6074</v>
      </c>
      <c r="M2426" t="s">
        <v>7069</v>
      </c>
      <c r="N2426" t="s">
        <v>7274</v>
      </c>
      <c r="O2426" t="s">
        <v>7306</v>
      </c>
      <c r="P2426" t="s">
        <v>7314</v>
      </c>
      <c r="Q2426" t="s">
        <v>7322</v>
      </c>
      <c r="R2426" t="s">
        <v>6076</v>
      </c>
      <c r="S2426" t="s">
        <v>7325</v>
      </c>
      <c r="T2426" t="s">
        <v>7336</v>
      </c>
      <c r="U2426" t="s">
        <v>383</v>
      </c>
      <c r="V2426">
        <v>600</v>
      </c>
      <c r="W2426" t="s">
        <v>7361</v>
      </c>
      <c r="X2426" t="s">
        <v>7366</v>
      </c>
      <c r="Y2426" t="s">
        <v>7389</v>
      </c>
      <c r="Z2426" t="s">
        <v>7500</v>
      </c>
      <c r="AA2426" t="s">
        <v>10019</v>
      </c>
      <c r="AB2426" t="s">
        <v>11929</v>
      </c>
      <c r="AC2426">
        <v>2</v>
      </c>
      <c r="AD2426" t="s">
        <v>12419</v>
      </c>
      <c r="AE2426" t="s">
        <v>6110</v>
      </c>
      <c r="AF2426">
        <v>1</v>
      </c>
      <c r="AG2426">
        <v>1</v>
      </c>
      <c r="AH2426">
        <v>0</v>
      </c>
      <c r="AI2426">
        <v>177.92</v>
      </c>
      <c r="AL2426" t="s">
        <v>12460</v>
      </c>
      <c r="AM2426">
        <v>21600</v>
      </c>
      <c r="AS2426">
        <v>0.4</v>
      </c>
      <c r="AT2426" t="s">
        <v>346</v>
      </c>
      <c r="AU2426" t="s">
        <v>48</v>
      </c>
    </row>
    <row r="2427" spans="1:48">
      <c r="A2427" s="1">
        <f>HYPERLINK("https://cms.ls-nyc.org/matter/dynamic-profile/view/1886574","18-1886574")</f>
        <v>0</v>
      </c>
      <c r="B2427" t="s">
        <v>101</v>
      </c>
      <c r="C2427" t="s">
        <v>346</v>
      </c>
      <c r="E2427" t="s">
        <v>983</v>
      </c>
      <c r="F2427" t="s">
        <v>3281</v>
      </c>
      <c r="G2427" t="s">
        <v>5046</v>
      </c>
      <c r="H2427" t="s">
        <v>5355</v>
      </c>
      <c r="I2427" t="s">
        <v>6047</v>
      </c>
      <c r="J2427">
        <v>10457</v>
      </c>
      <c r="K2427" t="s">
        <v>6074</v>
      </c>
      <c r="L2427" t="s">
        <v>6074</v>
      </c>
      <c r="N2427" t="s">
        <v>7278</v>
      </c>
      <c r="O2427" t="s">
        <v>7306</v>
      </c>
      <c r="Q2427" t="s">
        <v>7322</v>
      </c>
      <c r="R2427" t="s">
        <v>6076</v>
      </c>
      <c r="S2427" t="s">
        <v>7331</v>
      </c>
      <c r="U2427" t="s">
        <v>410</v>
      </c>
      <c r="V2427">
        <v>1579</v>
      </c>
      <c r="W2427" t="s">
        <v>7363</v>
      </c>
      <c r="X2427" t="s">
        <v>7370</v>
      </c>
      <c r="Z2427" t="s">
        <v>9251</v>
      </c>
      <c r="AB2427" t="s">
        <v>11930</v>
      </c>
      <c r="AC2427">
        <v>110</v>
      </c>
      <c r="AD2427" t="s">
        <v>12422</v>
      </c>
      <c r="AE2427" t="s">
        <v>12434</v>
      </c>
      <c r="AF2427">
        <v>4</v>
      </c>
      <c r="AG2427">
        <v>2</v>
      </c>
      <c r="AH2427">
        <v>0</v>
      </c>
      <c r="AI2427">
        <v>177.98</v>
      </c>
      <c r="AL2427" t="s">
        <v>12460</v>
      </c>
      <c r="AM2427">
        <v>29296</v>
      </c>
      <c r="AN2427" t="s">
        <v>12565</v>
      </c>
      <c r="AS2427">
        <v>2</v>
      </c>
      <c r="AT2427" t="s">
        <v>410</v>
      </c>
      <c r="AU2427" t="s">
        <v>13096</v>
      </c>
    </row>
    <row r="2428" spans="1:48">
      <c r="A2428" s="1">
        <f>HYPERLINK("https://cms.ls-nyc.org/matter/dynamic-profile/view/1880603","18-1880603")</f>
        <v>0</v>
      </c>
      <c r="B2428" t="s">
        <v>54</v>
      </c>
      <c r="C2428" t="s">
        <v>360</v>
      </c>
      <c r="D2428" t="s">
        <v>360</v>
      </c>
      <c r="E2428" t="s">
        <v>878</v>
      </c>
      <c r="F2428" t="s">
        <v>3264</v>
      </c>
      <c r="G2428" t="s">
        <v>3649</v>
      </c>
      <c r="H2428">
        <v>410</v>
      </c>
      <c r="I2428" t="s">
        <v>6024</v>
      </c>
      <c r="J2428">
        <v>11692</v>
      </c>
      <c r="K2428" t="s">
        <v>6074</v>
      </c>
      <c r="L2428" t="s">
        <v>6074</v>
      </c>
      <c r="M2428" t="s">
        <v>7070</v>
      </c>
      <c r="N2428" t="s">
        <v>7276</v>
      </c>
      <c r="O2428" t="s">
        <v>7306</v>
      </c>
      <c r="P2428" t="s">
        <v>7314</v>
      </c>
      <c r="Q2428" t="s">
        <v>7322</v>
      </c>
      <c r="R2428" t="s">
        <v>6076</v>
      </c>
      <c r="S2428" t="s">
        <v>7324</v>
      </c>
      <c r="T2428" t="s">
        <v>7339</v>
      </c>
      <c r="U2428" t="s">
        <v>360</v>
      </c>
      <c r="V2428">
        <v>1536</v>
      </c>
      <c r="W2428" t="s">
        <v>7361</v>
      </c>
      <c r="X2428" t="s">
        <v>7366</v>
      </c>
      <c r="Y2428" t="s">
        <v>7386</v>
      </c>
      <c r="Z2428" t="s">
        <v>9252</v>
      </c>
      <c r="AA2428" t="s">
        <v>10260</v>
      </c>
      <c r="AB2428" t="s">
        <v>11931</v>
      </c>
      <c r="AC2428">
        <v>220</v>
      </c>
      <c r="AD2428" t="s">
        <v>12422</v>
      </c>
      <c r="AE2428" t="s">
        <v>6110</v>
      </c>
      <c r="AF2428">
        <v>18</v>
      </c>
      <c r="AG2428">
        <v>2</v>
      </c>
      <c r="AH2428">
        <v>1</v>
      </c>
      <c r="AI2428">
        <v>178.06</v>
      </c>
      <c r="AL2428" t="s">
        <v>12460</v>
      </c>
      <c r="AM2428">
        <v>37000</v>
      </c>
      <c r="AS2428">
        <v>0.7</v>
      </c>
      <c r="AT2428" t="s">
        <v>360</v>
      </c>
      <c r="AU2428" t="s">
        <v>189</v>
      </c>
    </row>
    <row r="2429" spans="1:48">
      <c r="A2429" s="1">
        <f>HYPERLINK("https://cms.ls-nyc.org/matter/dynamic-profile/view/1882273","18-1882273")</f>
        <v>0</v>
      </c>
      <c r="B2429" t="s">
        <v>60</v>
      </c>
      <c r="C2429" t="s">
        <v>431</v>
      </c>
      <c r="D2429" t="s">
        <v>468</v>
      </c>
      <c r="E2429" t="s">
        <v>1752</v>
      </c>
      <c r="F2429" t="s">
        <v>3282</v>
      </c>
      <c r="G2429" t="s">
        <v>5047</v>
      </c>
      <c r="H2429" t="s">
        <v>5866</v>
      </c>
      <c r="I2429" t="s">
        <v>6039</v>
      </c>
      <c r="J2429">
        <v>11368</v>
      </c>
      <c r="K2429" t="s">
        <v>6074</v>
      </c>
      <c r="L2429" t="s">
        <v>6074</v>
      </c>
      <c r="M2429" t="s">
        <v>7071</v>
      </c>
      <c r="N2429" t="s">
        <v>7274</v>
      </c>
      <c r="O2429" t="s">
        <v>7306</v>
      </c>
      <c r="P2429" t="s">
        <v>7314</v>
      </c>
      <c r="Q2429" t="s">
        <v>7322</v>
      </c>
      <c r="R2429" t="s">
        <v>6076</v>
      </c>
      <c r="S2429" t="s">
        <v>7324</v>
      </c>
      <c r="T2429" t="s">
        <v>7339</v>
      </c>
      <c r="U2429" t="s">
        <v>431</v>
      </c>
      <c r="V2429">
        <v>1360</v>
      </c>
      <c r="W2429" t="s">
        <v>7361</v>
      </c>
      <c r="X2429" t="s">
        <v>7371</v>
      </c>
      <c r="Y2429" t="s">
        <v>7386</v>
      </c>
      <c r="Z2429" t="s">
        <v>8351</v>
      </c>
      <c r="AB2429" t="s">
        <v>11932</v>
      </c>
      <c r="AC2429">
        <v>2</v>
      </c>
      <c r="AD2429" t="s">
        <v>12419</v>
      </c>
      <c r="AE2429" t="s">
        <v>6110</v>
      </c>
      <c r="AF2429">
        <v>13</v>
      </c>
      <c r="AG2429">
        <v>2</v>
      </c>
      <c r="AH2429">
        <v>1</v>
      </c>
      <c r="AI2429">
        <v>178.06</v>
      </c>
      <c r="AL2429" t="s">
        <v>12460</v>
      </c>
      <c r="AM2429">
        <v>37000</v>
      </c>
      <c r="AS2429">
        <v>0.48</v>
      </c>
      <c r="AT2429" t="s">
        <v>431</v>
      </c>
      <c r="AU2429" t="s">
        <v>60</v>
      </c>
    </row>
    <row r="2430" spans="1:48">
      <c r="A2430" s="1">
        <f>HYPERLINK("https://cms.ls-nyc.org/matter/dynamic-profile/view/1898030","19-1898030")</f>
        <v>0</v>
      </c>
      <c r="B2430" t="s">
        <v>72</v>
      </c>
      <c r="C2430" t="s">
        <v>418</v>
      </c>
      <c r="E2430" t="s">
        <v>1753</v>
      </c>
      <c r="F2430" t="s">
        <v>3283</v>
      </c>
      <c r="G2430" t="s">
        <v>3700</v>
      </c>
      <c r="H2430" t="s">
        <v>5877</v>
      </c>
      <c r="I2430" t="s">
        <v>6043</v>
      </c>
      <c r="J2430">
        <v>11233</v>
      </c>
      <c r="K2430" t="s">
        <v>6074</v>
      </c>
      <c r="L2430" t="s">
        <v>6076</v>
      </c>
      <c r="N2430" t="s">
        <v>7279</v>
      </c>
      <c r="O2430" t="s">
        <v>7311</v>
      </c>
      <c r="Q2430" t="s">
        <v>7322</v>
      </c>
      <c r="R2430" t="s">
        <v>6074</v>
      </c>
      <c r="S2430" t="s">
        <v>7324</v>
      </c>
      <c r="T2430" t="s">
        <v>7336</v>
      </c>
      <c r="U2430" t="s">
        <v>330</v>
      </c>
      <c r="V2430">
        <v>1059</v>
      </c>
      <c r="W2430" t="s">
        <v>7362</v>
      </c>
      <c r="X2430" t="s">
        <v>7305</v>
      </c>
      <c r="Z2430" t="s">
        <v>7593</v>
      </c>
      <c r="AC2430">
        <v>359</v>
      </c>
      <c r="AD2430" t="s">
        <v>12422</v>
      </c>
      <c r="AF2430">
        <v>39</v>
      </c>
      <c r="AG2430">
        <v>2</v>
      </c>
      <c r="AH2430">
        <v>1</v>
      </c>
      <c r="AI2430">
        <v>178.15</v>
      </c>
      <c r="AL2430" t="s">
        <v>12460</v>
      </c>
      <c r="AM2430">
        <v>38000</v>
      </c>
      <c r="AN2430" t="s">
        <v>12620</v>
      </c>
      <c r="AS2430">
        <v>0</v>
      </c>
      <c r="AU2430" t="s">
        <v>180</v>
      </c>
    </row>
    <row r="2431" spans="1:48">
      <c r="A2431" s="1">
        <f>HYPERLINK("https://cms.ls-nyc.org/matter/dynamic-profile/view/1898037","19-1898037")</f>
        <v>0</v>
      </c>
      <c r="B2431" t="s">
        <v>72</v>
      </c>
      <c r="C2431" t="s">
        <v>418</v>
      </c>
      <c r="E2431" t="s">
        <v>1753</v>
      </c>
      <c r="F2431" t="s">
        <v>3283</v>
      </c>
      <c r="G2431" t="s">
        <v>3700</v>
      </c>
      <c r="H2431" t="s">
        <v>5877</v>
      </c>
      <c r="I2431" t="s">
        <v>6043</v>
      </c>
      <c r="J2431">
        <v>11233</v>
      </c>
      <c r="K2431" t="s">
        <v>6074</v>
      </c>
      <c r="L2431" t="s">
        <v>6076</v>
      </c>
      <c r="N2431" t="s">
        <v>7275</v>
      </c>
      <c r="O2431" t="s">
        <v>7307</v>
      </c>
      <c r="Q2431" t="s">
        <v>7322</v>
      </c>
      <c r="R2431" t="s">
        <v>6074</v>
      </c>
      <c r="S2431" t="s">
        <v>7324</v>
      </c>
      <c r="T2431" t="s">
        <v>7336</v>
      </c>
      <c r="U2431" t="s">
        <v>287</v>
      </c>
      <c r="V2431">
        <v>1059</v>
      </c>
      <c r="W2431" t="s">
        <v>7362</v>
      </c>
      <c r="X2431" t="s">
        <v>7305</v>
      </c>
      <c r="Z2431" t="s">
        <v>7593</v>
      </c>
      <c r="AC2431">
        <v>359</v>
      </c>
      <c r="AD2431" t="s">
        <v>12422</v>
      </c>
      <c r="AF2431">
        <v>39</v>
      </c>
      <c r="AG2431">
        <v>2</v>
      </c>
      <c r="AH2431">
        <v>1</v>
      </c>
      <c r="AI2431">
        <v>178.15</v>
      </c>
      <c r="AL2431" t="s">
        <v>12460</v>
      </c>
      <c r="AM2431">
        <v>38000</v>
      </c>
      <c r="AN2431" t="s">
        <v>12689</v>
      </c>
      <c r="AS2431">
        <v>0</v>
      </c>
      <c r="AU2431" t="s">
        <v>180</v>
      </c>
    </row>
    <row r="2432" spans="1:48">
      <c r="A2432" s="1">
        <f>HYPERLINK("https://cms.ls-nyc.org/matter/dynamic-profile/view/1872604","18-1872604")</f>
        <v>0</v>
      </c>
      <c r="B2432" t="s">
        <v>115</v>
      </c>
      <c r="C2432" t="s">
        <v>242</v>
      </c>
      <c r="D2432" t="s">
        <v>562</v>
      </c>
      <c r="E2432" t="s">
        <v>1142</v>
      </c>
      <c r="F2432" t="s">
        <v>3209</v>
      </c>
      <c r="G2432" t="s">
        <v>4537</v>
      </c>
      <c r="H2432" t="s">
        <v>5418</v>
      </c>
      <c r="I2432" t="s">
        <v>6047</v>
      </c>
      <c r="J2432">
        <v>10452</v>
      </c>
      <c r="K2432" t="s">
        <v>6074</v>
      </c>
      <c r="L2432" t="s">
        <v>6074</v>
      </c>
      <c r="N2432" t="s">
        <v>7283</v>
      </c>
      <c r="O2432" t="s">
        <v>7306</v>
      </c>
      <c r="P2432" t="s">
        <v>7314</v>
      </c>
      <c r="Q2432" t="s">
        <v>7322</v>
      </c>
      <c r="R2432" t="s">
        <v>6076</v>
      </c>
      <c r="S2432" t="s">
        <v>7324</v>
      </c>
      <c r="U2432" t="s">
        <v>258</v>
      </c>
      <c r="V2432">
        <v>1013.89</v>
      </c>
      <c r="W2432" t="s">
        <v>7363</v>
      </c>
      <c r="Y2432" t="s">
        <v>7386</v>
      </c>
      <c r="Z2432" t="s">
        <v>9130</v>
      </c>
      <c r="AB2432" t="s">
        <v>11819</v>
      </c>
      <c r="AC2432">
        <v>58</v>
      </c>
      <c r="AD2432" t="s">
        <v>12422</v>
      </c>
      <c r="AE2432" t="s">
        <v>12441</v>
      </c>
      <c r="AF2432">
        <v>28</v>
      </c>
      <c r="AG2432">
        <v>1</v>
      </c>
      <c r="AH2432">
        <v>0</v>
      </c>
      <c r="AI2432">
        <v>178.22</v>
      </c>
      <c r="AL2432" t="s">
        <v>12460</v>
      </c>
      <c r="AM2432">
        <v>21636</v>
      </c>
      <c r="AS2432">
        <v>0.5</v>
      </c>
      <c r="AT2432" t="s">
        <v>242</v>
      </c>
      <c r="AU2432" t="s">
        <v>13092</v>
      </c>
    </row>
    <row r="2433" spans="1:48">
      <c r="A2433" s="1">
        <f>HYPERLINK("https://cms.ls-nyc.org/matter/dynamic-profile/view/1874396","18-1874396")</f>
        <v>0</v>
      </c>
      <c r="B2433" t="s">
        <v>132</v>
      </c>
      <c r="C2433" t="s">
        <v>236</v>
      </c>
      <c r="E2433" t="s">
        <v>1754</v>
      </c>
      <c r="F2433" t="s">
        <v>3284</v>
      </c>
      <c r="G2433" t="s">
        <v>5048</v>
      </c>
      <c r="H2433" t="s">
        <v>5398</v>
      </c>
      <c r="I2433" t="s">
        <v>6049</v>
      </c>
      <c r="J2433">
        <v>10032</v>
      </c>
      <c r="K2433" t="s">
        <v>6074</v>
      </c>
      <c r="L2433" t="s">
        <v>6074</v>
      </c>
      <c r="N2433" t="s">
        <v>7274</v>
      </c>
      <c r="O2433" t="s">
        <v>7308</v>
      </c>
      <c r="Q2433" t="s">
        <v>7322</v>
      </c>
      <c r="R2433" t="s">
        <v>6076</v>
      </c>
      <c r="S2433" t="s">
        <v>7324</v>
      </c>
      <c r="U2433" t="s">
        <v>236</v>
      </c>
      <c r="V2433">
        <v>2116.65</v>
      </c>
      <c r="W2433" t="s">
        <v>7365</v>
      </c>
      <c r="X2433" t="s">
        <v>7367</v>
      </c>
      <c r="Z2433" t="s">
        <v>9253</v>
      </c>
      <c r="AB2433" t="s">
        <v>11933</v>
      </c>
      <c r="AC2433">
        <v>115</v>
      </c>
      <c r="AD2433" t="s">
        <v>12422</v>
      </c>
      <c r="AE2433" t="s">
        <v>6110</v>
      </c>
      <c r="AF2433">
        <v>7</v>
      </c>
      <c r="AG2433">
        <v>2</v>
      </c>
      <c r="AH2433">
        <v>0</v>
      </c>
      <c r="AI2433">
        <v>178.54</v>
      </c>
      <c r="AL2433" t="s">
        <v>12461</v>
      </c>
      <c r="AM2433">
        <v>29388</v>
      </c>
      <c r="AS2433">
        <v>13.7</v>
      </c>
      <c r="AT2433" t="s">
        <v>354</v>
      </c>
      <c r="AU2433" t="s">
        <v>13106</v>
      </c>
    </row>
    <row r="2434" spans="1:48">
      <c r="A2434" s="1">
        <f>HYPERLINK("https://cms.ls-nyc.org/matter/dynamic-profile/view/1892667","19-1892667")</f>
        <v>0</v>
      </c>
      <c r="B2434" t="s">
        <v>72</v>
      </c>
      <c r="C2434" t="s">
        <v>395</v>
      </c>
      <c r="E2434" t="s">
        <v>1755</v>
      </c>
      <c r="F2434" t="s">
        <v>3285</v>
      </c>
      <c r="G2434" t="s">
        <v>3702</v>
      </c>
      <c r="H2434" t="s">
        <v>5453</v>
      </c>
      <c r="I2434" t="s">
        <v>6043</v>
      </c>
      <c r="J2434">
        <v>11233</v>
      </c>
      <c r="K2434" t="s">
        <v>6074</v>
      </c>
      <c r="L2434" t="s">
        <v>6076</v>
      </c>
      <c r="N2434" t="s">
        <v>7279</v>
      </c>
      <c r="O2434" t="s">
        <v>7311</v>
      </c>
      <c r="Q2434" t="s">
        <v>7322</v>
      </c>
      <c r="R2434" t="s">
        <v>6074</v>
      </c>
      <c r="S2434" t="s">
        <v>7324</v>
      </c>
      <c r="T2434" t="s">
        <v>7336</v>
      </c>
      <c r="U2434" t="s">
        <v>330</v>
      </c>
      <c r="V2434">
        <v>981.97</v>
      </c>
      <c r="W2434" t="s">
        <v>7362</v>
      </c>
      <c r="X2434" t="s">
        <v>7305</v>
      </c>
      <c r="Z2434" t="s">
        <v>9254</v>
      </c>
      <c r="AC2434">
        <v>359</v>
      </c>
      <c r="AD2434" t="s">
        <v>12422</v>
      </c>
      <c r="AF2434">
        <v>0</v>
      </c>
      <c r="AG2434">
        <v>4</v>
      </c>
      <c r="AH2434">
        <v>1</v>
      </c>
      <c r="AI2434">
        <v>178.99</v>
      </c>
      <c r="AL2434" t="s">
        <v>3291</v>
      </c>
      <c r="AM2434">
        <v>54000</v>
      </c>
      <c r="AN2434" t="s">
        <v>12620</v>
      </c>
      <c r="AS2434">
        <v>0</v>
      </c>
      <c r="AU2434" t="s">
        <v>180</v>
      </c>
    </row>
    <row r="2435" spans="1:48">
      <c r="A2435" s="1">
        <f>HYPERLINK("https://cms.ls-nyc.org/matter/dynamic-profile/view/1892672","19-1892672")</f>
        <v>0</v>
      </c>
      <c r="B2435" t="s">
        <v>72</v>
      </c>
      <c r="C2435" t="s">
        <v>395</v>
      </c>
      <c r="E2435" t="s">
        <v>1755</v>
      </c>
      <c r="F2435" t="s">
        <v>3285</v>
      </c>
      <c r="G2435" t="s">
        <v>3702</v>
      </c>
      <c r="H2435" t="s">
        <v>5453</v>
      </c>
      <c r="I2435" t="s">
        <v>6043</v>
      </c>
      <c r="J2435">
        <v>11233</v>
      </c>
      <c r="K2435" t="s">
        <v>6074</v>
      </c>
      <c r="L2435" t="s">
        <v>6076</v>
      </c>
      <c r="N2435" t="s">
        <v>7275</v>
      </c>
      <c r="O2435" t="s">
        <v>7307</v>
      </c>
      <c r="Q2435" t="s">
        <v>7322</v>
      </c>
      <c r="R2435" t="s">
        <v>6074</v>
      </c>
      <c r="S2435" t="s">
        <v>7324</v>
      </c>
      <c r="T2435" t="s">
        <v>7336</v>
      </c>
      <c r="U2435" t="s">
        <v>287</v>
      </c>
      <c r="V2435">
        <v>981.97</v>
      </c>
      <c r="W2435" t="s">
        <v>7362</v>
      </c>
      <c r="X2435" t="s">
        <v>7305</v>
      </c>
      <c r="Z2435" t="s">
        <v>9254</v>
      </c>
      <c r="AC2435">
        <v>359</v>
      </c>
      <c r="AD2435" t="s">
        <v>12422</v>
      </c>
      <c r="AF2435">
        <v>0</v>
      </c>
      <c r="AG2435">
        <v>4</v>
      </c>
      <c r="AH2435">
        <v>1</v>
      </c>
      <c r="AI2435">
        <v>178.99</v>
      </c>
      <c r="AL2435" t="s">
        <v>3291</v>
      </c>
      <c r="AM2435">
        <v>54000</v>
      </c>
      <c r="AN2435" t="s">
        <v>12690</v>
      </c>
      <c r="AS2435">
        <v>0</v>
      </c>
      <c r="AU2435" t="s">
        <v>180</v>
      </c>
    </row>
    <row r="2436" spans="1:48">
      <c r="A2436" s="1">
        <f>HYPERLINK("https://cms.ls-nyc.org/matter/dynamic-profile/view/1893228","19-1893228")</f>
        <v>0</v>
      </c>
      <c r="B2436" t="s">
        <v>132</v>
      </c>
      <c r="C2436" t="s">
        <v>293</v>
      </c>
      <c r="E2436" t="s">
        <v>1756</v>
      </c>
      <c r="F2436" t="s">
        <v>3286</v>
      </c>
      <c r="G2436" t="s">
        <v>5049</v>
      </c>
      <c r="H2436" t="s">
        <v>5376</v>
      </c>
      <c r="I2436" t="s">
        <v>6049</v>
      </c>
      <c r="J2436">
        <v>10033</v>
      </c>
      <c r="K2436" t="s">
        <v>6074</v>
      </c>
      <c r="L2436" t="s">
        <v>6074</v>
      </c>
      <c r="O2436" t="s">
        <v>7306</v>
      </c>
      <c r="Q2436" t="s">
        <v>7322</v>
      </c>
      <c r="R2436" t="s">
        <v>6076</v>
      </c>
      <c r="S2436" t="s">
        <v>7324</v>
      </c>
      <c r="T2436" t="s">
        <v>7336</v>
      </c>
      <c r="U2436" t="s">
        <v>293</v>
      </c>
      <c r="V2436">
        <v>966.6900000000001</v>
      </c>
      <c r="W2436" t="s">
        <v>7365</v>
      </c>
      <c r="X2436" t="s">
        <v>7367</v>
      </c>
      <c r="Z2436" t="s">
        <v>9255</v>
      </c>
      <c r="AB2436" t="s">
        <v>11934</v>
      </c>
      <c r="AC2436">
        <v>10</v>
      </c>
      <c r="AD2436" t="s">
        <v>12422</v>
      </c>
      <c r="AE2436" t="s">
        <v>6110</v>
      </c>
      <c r="AF2436">
        <v>20</v>
      </c>
      <c r="AG2436">
        <v>3</v>
      </c>
      <c r="AH2436">
        <v>2</v>
      </c>
      <c r="AI2436">
        <v>178.99</v>
      </c>
      <c r="AL2436" t="s">
        <v>12460</v>
      </c>
      <c r="AM2436">
        <v>54000</v>
      </c>
      <c r="AS2436">
        <v>2.8</v>
      </c>
      <c r="AT2436" t="s">
        <v>234</v>
      </c>
      <c r="AU2436" t="s">
        <v>13106</v>
      </c>
    </row>
    <row r="2437" spans="1:48">
      <c r="A2437" s="1">
        <f>HYPERLINK("https://cms.ls-nyc.org/matter/dynamic-profile/view/1901019","19-1901019")</f>
        <v>0</v>
      </c>
      <c r="B2437" t="s">
        <v>131</v>
      </c>
      <c r="C2437" t="s">
        <v>382</v>
      </c>
      <c r="E2437" t="s">
        <v>1757</v>
      </c>
      <c r="F2437" t="s">
        <v>2122</v>
      </c>
      <c r="G2437" t="s">
        <v>4846</v>
      </c>
      <c r="H2437" t="s">
        <v>5395</v>
      </c>
      <c r="I2437" t="s">
        <v>6049</v>
      </c>
      <c r="J2437">
        <v>10034</v>
      </c>
      <c r="K2437" t="s">
        <v>6074</v>
      </c>
      <c r="L2437" t="s">
        <v>6075</v>
      </c>
      <c r="O2437" t="s">
        <v>7309</v>
      </c>
      <c r="Q2437" t="s">
        <v>7322</v>
      </c>
      <c r="R2437" t="s">
        <v>6076</v>
      </c>
      <c r="S2437" t="s">
        <v>7324</v>
      </c>
      <c r="U2437" t="s">
        <v>382</v>
      </c>
      <c r="V2437">
        <v>1695</v>
      </c>
      <c r="W2437" t="s">
        <v>7365</v>
      </c>
      <c r="X2437" t="s">
        <v>7368</v>
      </c>
      <c r="Z2437" t="s">
        <v>9256</v>
      </c>
      <c r="AC2437">
        <v>44</v>
      </c>
      <c r="AD2437" t="s">
        <v>12422</v>
      </c>
      <c r="AE2437" t="s">
        <v>6110</v>
      </c>
      <c r="AF2437">
        <v>7</v>
      </c>
      <c r="AG2437">
        <v>1</v>
      </c>
      <c r="AH2437">
        <v>0</v>
      </c>
      <c r="AI2437">
        <v>179.18</v>
      </c>
      <c r="AL2437" t="s">
        <v>12461</v>
      </c>
      <c r="AM2437">
        <v>22380</v>
      </c>
      <c r="AS2437">
        <v>0</v>
      </c>
      <c r="AU2437" t="s">
        <v>13106</v>
      </c>
      <c r="AV2437" t="s">
        <v>13145</v>
      </c>
    </row>
    <row r="2438" spans="1:48">
      <c r="A2438" s="1">
        <f>HYPERLINK("https://cms.ls-nyc.org/matter/dynamic-profile/view/1882161","18-1882161")</f>
        <v>0</v>
      </c>
      <c r="B2438" t="s">
        <v>89</v>
      </c>
      <c r="C2438" t="s">
        <v>442</v>
      </c>
      <c r="E2438" t="s">
        <v>1614</v>
      </c>
      <c r="F2438" t="s">
        <v>3269</v>
      </c>
      <c r="G2438" t="s">
        <v>5036</v>
      </c>
      <c r="I2438" t="s">
        <v>6043</v>
      </c>
      <c r="J2438">
        <v>11213</v>
      </c>
      <c r="K2438" t="s">
        <v>6074</v>
      </c>
      <c r="L2438" t="s">
        <v>6074</v>
      </c>
      <c r="M2438" t="s">
        <v>6147</v>
      </c>
      <c r="N2438" t="s">
        <v>7273</v>
      </c>
      <c r="O2438" t="s">
        <v>7308</v>
      </c>
      <c r="Q2438" t="s">
        <v>7322</v>
      </c>
      <c r="R2438" t="s">
        <v>6074</v>
      </c>
      <c r="S2438" t="s">
        <v>7324</v>
      </c>
      <c r="T2438" t="s">
        <v>7336</v>
      </c>
      <c r="U2438" t="s">
        <v>7350</v>
      </c>
      <c r="V2438">
        <v>881.67</v>
      </c>
      <c r="W2438" t="s">
        <v>7362</v>
      </c>
      <c r="X2438" t="s">
        <v>7376</v>
      </c>
      <c r="Z2438" t="s">
        <v>9233</v>
      </c>
      <c r="AA2438" t="s">
        <v>6110</v>
      </c>
      <c r="AB2438" t="s">
        <v>11913</v>
      </c>
      <c r="AC2438">
        <v>31</v>
      </c>
      <c r="AD2438" t="s">
        <v>12422</v>
      </c>
      <c r="AE2438" t="s">
        <v>6110</v>
      </c>
      <c r="AF2438">
        <v>17</v>
      </c>
      <c r="AG2438">
        <v>2</v>
      </c>
      <c r="AH2438">
        <v>0</v>
      </c>
      <c r="AI2438">
        <v>179.22</v>
      </c>
      <c r="AL2438" t="s">
        <v>12460</v>
      </c>
      <c r="AM2438">
        <v>29500</v>
      </c>
      <c r="AS2438">
        <v>0.1</v>
      </c>
      <c r="AT2438" t="s">
        <v>260</v>
      </c>
      <c r="AU2438" t="s">
        <v>218</v>
      </c>
    </row>
    <row r="2439" spans="1:48">
      <c r="A2439" s="1">
        <f>HYPERLINK("https://cms.ls-nyc.org/matter/dynamic-profile/view/1879590","18-1879590")</f>
        <v>0</v>
      </c>
      <c r="B2439" t="s">
        <v>92</v>
      </c>
      <c r="C2439" t="s">
        <v>239</v>
      </c>
      <c r="D2439" t="s">
        <v>496</v>
      </c>
      <c r="E2439" t="s">
        <v>1758</v>
      </c>
      <c r="F2439" t="s">
        <v>3287</v>
      </c>
      <c r="G2439" t="s">
        <v>4302</v>
      </c>
      <c r="I2439" t="s">
        <v>6043</v>
      </c>
      <c r="J2439">
        <v>11237</v>
      </c>
      <c r="K2439" t="s">
        <v>6074</v>
      </c>
      <c r="L2439" t="s">
        <v>6074</v>
      </c>
      <c r="N2439" t="s">
        <v>6104</v>
      </c>
      <c r="O2439" t="s">
        <v>7309</v>
      </c>
      <c r="P2439" t="s">
        <v>7319</v>
      </c>
      <c r="Q2439" t="s">
        <v>7322</v>
      </c>
      <c r="R2439" t="s">
        <v>6074</v>
      </c>
      <c r="S2439" t="s">
        <v>7324</v>
      </c>
      <c r="U2439" t="s">
        <v>442</v>
      </c>
      <c r="V2439">
        <v>1100</v>
      </c>
      <c r="W2439" t="s">
        <v>7362</v>
      </c>
      <c r="Y2439" t="s">
        <v>7387</v>
      </c>
      <c r="Z2439" t="s">
        <v>9257</v>
      </c>
      <c r="AA2439" t="s">
        <v>10261</v>
      </c>
      <c r="AC2439">
        <v>6</v>
      </c>
      <c r="AD2439" t="s">
        <v>12422</v>
      </c>
      <c r="AE2439" t="s">
        <v>6110</v>
      </c>
      <c r="AF2439">
        <v>9</v>
      </c>
      <c r="AG2439">
        <v>2</v>
      </c>
      <c r="AH2439">
        <v>2</v>
      </c>
      <c r="AI2439">
        <v>179.28</v>
      </c>
      <c r="AL2439" t="s">
        <v>12461</v>
      </c>
      <c r="AM2439">
        <v>45000</v>
      </c>
      <c r="AS2439">
        <v>0.1</v>
      </c>
      <c r="AT2439" t="s">
        <v>420</v>
      </c>
      <c r="AU2439" t="s">
        <v>218</v>
      </c>
      <c r="AV2439" t="s">
        <v>13145</v>
      </c>
    </row>
    <row r="2440" spans="1:48">
      <c r="A2440" s="1">
        <f>HYPERLINK("https://cms.ls-nyc.org/matter/dynamic-profile/view/1867470","18-1867470")</f>
        <v>0</v>
      </c>
      <c r="B2440" t="s">
        <v>82</v>
      </c>
      <c r="C2440" t="s">
        <v>528</v>
      </c>
      <c r="E2440" t="s">
        <v>831</v>
      </c>
      <c r="F2440" t="s">
        <v>3288</v>
      </c>
      <c r="G2440" t="s">
        <v>3731</v>
      </c>
      <c r="H2440" t="s">
        <v>5878</v>
      </c>
      <c r="I2440" t="s">
        <v>6043</v>
      </c>
      <c r="J2440">
        <v>11225</v>
      </c>
      <c r="K2440" t="s">
        <v>6074</v>
      </c>
      <c r="L2440" t="s">
        <v>6074</v>
      </c>
      <c r="N2440" t="s">
        <v>7273</v>
      </c>
      <c r="O2440" t="s">
        <v>7308</v>
      </c>
      <c r="Q2440" t="s">
        <v>7322</v>
      </c>
      <c r="R2440" t="s">
        <v>6074</v>
      </c>
      <c r="S2440" t="s">
        <v>7324</v>
      </c>
      <c r="U2440" t="s">
        <v>502</v>
      </c>
      <c r="V2440">
        <v>1139.21</v>
      </c>
      <c r="W2440" t="s">
        <v>7362</v>
      </c>
      <c r="X2440" t="s">
        <v>7376</v>
      </c>
      <c r="Z2440" t="s">
        <v>9258</v>
      </c>
      <c r="AB2440" t="s">
        <v>11935</v>
      </c>
      <c r="AC2440">
        <v>47</v>
      </c>
      <c r="AD2440" t="s">
        <v>12422</v>
      </c>
      <c r="AE2440" t="s">
        <v>6110</v>
      </c>
      <c r="AF2440">
        <v>12</v>
      </c>
      <c r="AG2440">
        <v>4</v>
      </c>
      <c r="AH2440">
        <v>0</v>
      </c>
      <c r="AI2440">
        <v>179.28</v>
      </c>
      <c r="AL2440" t="s">
        <v>12460</v>
      </c>
      <c r="AM2440">
        <v>45000</v>
      </c>
      <c r="AS2440">
        <v>1</v>
      </c>
      <c r="AT2440" t="s">
        <v>450</v>
      </c>
      <c r="AU2440" t="s">
        <v>13087</v>
      </c>
    </row>
    <row r="2441" spans="1:48">
      <c r="A2441" s="1">
        <f>HYPERLINK("https://cms.ls-nyc.org/matter/dynamic-profile/view/1882564","18-1882564")</f>
        <v>0</v>
      </c>
      <c r="B2441" t="s">
        <v>129</v>
      </c>
      <c r="C2441" t="s">
        <v>283</v>
      </c>
      <c r="E2441" t="s">
        <v>1670</v>
      </c>
      <c r="F2441" t="s">
        <v>3289</v>
      </c>
      <c r="G2441" t="s">
        <v>3934</v>
      </c>
      <c r="H2441">
        <v>52</v>
      </c>
      <c r="I2441" t="s">
        <v>6049</v>
      </c>
      <c r="J2441">
        <v>10034</v>
      </c>
      <c r="K2441" t="s">
        <v>6074</v>
      </c>
      <c r="L2441" t="s">
        <v>6074</v>
      </c>
      <c r="M2441" t="s">
        <v>7072</v>
      </c>
      <c r="N2441" t="s">
        <v>7276</v>
      </c>
      <c r="O2441" t="s">
        <v>7308</v>
      </c>
      <c r="Q2441" t="s">
        <v>7322</v>
      </c>
      <c r="R2441" t="s">
        <v>6076</v>
      </c>
      <c r="S2441" t="s">
        <v>7324</v>
      </c>
      <c r="U2441" t="s">
        <v>250</v>
      </c>
      <c r="V2441">
        <v>896</v>
      </c>
      <c r="W2441" t="s">
        <v>7365</v>
      </c>
      <c r="X2441" t="s">
        <v>7366</v>
      </c>
      <c r="Z2441" t="s">
        <v>9259</v>
      </c>
      <c r="AB2441" t="s">
        <v>11936</v>
      </c>
      <c r="AC2441">
        <v>25</v>
      </c>
      <c r="AD2441" t="s">
        <v>12422</v>
      </c>
      <c r="AF2441">
        <v>30</v>
      </c>
      <c r="AG2441">
        <v>2</v>
      </c>
      <c r="AH2441">
        <v>1</v>
      </c>
      <c r="AI2441">
        <v>179.4</v>
      </c>
      <c r="AL2441" t="s">
        <v>12460</v>
      </c>
      <c r="AM2441">
        <v>37280</v>
      </c>
      <c r="AS2441">
        <v>118.45</v>
      </c>
      <c r="AT2441" t="s">
        <v>309</v>
      </c>
      <c r="AU2441" t="s">
        <v>13119</v>
      </c>
    </row>
    <row r="2442" spans="1:48">
      <c r="A2442" s="1">
        <f>HYPERLINK("https://cms.ls-nyc.org/matter/dynamic-profile/view/1900955","19-1900955")</f>
        <v>0</v>
      </c>
      <c r="B2442" t="s">
        <v>159</v>
      </c>
      <c r="C2442" t="s">
        <v>382</v>
      </c>
      <c r="E2442" t="s">
        <v>1061</v>
      </c>
      <c r="F2442" t="s">
        <v>646</v>
      </c>
      <c r="G2442" t="s">
        <v>5050</v>
      </c>
      <c r="H2442" t="s">
        <v>5391</v>
      </c>
      <c r="I2442" t="s">
        <v>6049</v>
      </c>
      <c r="J2442">
        <v>10029</v>
      </c>
      <c r="K2442" t="s">
        <v>6075</v>
      </c>
      <c r="L2442" t="s">
        <v>6075</v>
      </c>
      <c r="N2442" t="s">
        <v>7290</v>
      </c>
      <c r="O2442" t="s">
        <v>7309</v>
      </c>
      <c r="Q2442" t="s">
        <v>7322</v>
      </c>
      <c r="R2442" t="s">
        <v>6076</v>
      </c>
      <c r="S2442" t="s">
        <v>7333</v>
      </c>
      <c r="T2442" t="s">
        <v>7336</v>
      </c>
      <c r="U2442" t="s">
        <v>381</v>
      </c>
      <c r="V2442">
        <v>0</v>
      </c>
      <c r="W2442" t="s">
        <v>7365</v>
      </c>
      <c r="X2442" t="s">
        <v>7370</v>
      </c>
      <c r="Z2442" t="s">
        <v>9260</v>
      </c>
      <c r="AA2442" t="s">
        <v>10262</v>
      </c>
      <c r="AB2442" t="s">
        <v>11937</v>
      </c>
      <c r="AC2442">
        <v>120</v>
      </c>
      <c r="AD2442" t="s">
        <v>12422</v>
      </c>
      <c r="AE2442" t="s">
        <v>12434</v>
      </c>
      <c r="AF2442">
        <v>0</v>
      </c>
      <c r="AG2442">
        <v>1</v>
      </c>
      <c r="AH2442">
        <v>3</v>
      </c>
      <c r="AI2442">
        <v>179.45</v>
      </c>
      <c r="AL2442" t="s">
        <v>12460</v>
      </c>
      <c r="AM2442">
        <v>46207.92</v>
      </c>
      <c r="AS2442">
        <v>2.5</v>
      </c>
      <c r="AT2442" t="s">
        <v>496</v>
      </c>
      <c r="AU2442" t="s">
        <v>13107</v>
      </c>
    </row>
    <row r="2443" spans="1:48">
      <c r="A2443" s="1">
        <f>HYPERLINK("https://cms.ls-nyc.org/matter/dynamic-profile/view/1883176","18-1883176")</f>
        <v>0</v>
      </c>
      <c r="B2443" t="s">
        <v>68</v>
      </c>
      <c r="C2443" t="s">
        <v>331</v>
      </c>
      <c r="E2443" t="s">
        <v>1759</v>
      </c>
      <c r="F2443" t="s">
        <v>1647</v>
      </c>
      <c r="G2443" t="s">
        <v>5051</v>
      </c>
      <c r="H2443" t="s">
        <v>5438</v>
      </c>
      <c r="I2443" t="s">
        <v>6043</v>
      </c>
      <c r="J2443">
        <v>11208</v>
      </c>
      <c r="K2443" t="s">
        <v>6074</v>
      </c>
      <c r="L2443" t="s">
        <v>6074</v>
      </c>
      <c r="O2443" t="s">
        <v>7306</v>
      </c>
      <c r="Q2443" t="s">
        <v>7322</v>
      </c>
      <c r="R2443" t="s">
        <v>6076</v>
      </c>
      <c r="S2443" t="s">
        <v>7324</v>
      </c>
      <c r="U2443" t="s">
        <v>346</v>
      </c>
      <c r="V2443">
        <v>717</v>
      </c>
      <c r="W2443" t="s">
        <v>7362</v>
      </c>
      <c r="X2443" t="s">
        <v>7368</v>
      </c>
      <c r="Z2443" t="s">
        <v>9261</v>
      </c>
      <c r="AB2443" t="s">
        <v>11938</v>
      </c>
      <c r="AC2443">
        <v>6</v>
      </c>
      <c r="AE2443" t="s">
        <v>6110</v>
      </c>
      <c r="AF2443">
        <v>30</v>
      </c>
      <c r="AG2443">
        <v>2</v>
      </c>
      <c r="AH2443">
        <v>0</v>
      </c>
      <c r="AI2443">
        <v>179.56</v>
      </c>
      <c r="AL2443" t="s">
        <v>12461</v>
      </c>
      <c r="AM2443">
        <v>29556</v>
      </c>
      <c r="AS2443">
        <v>1</v>
      </c>
      <c r="AT2443" t="s">
        <v>408</v>
      </c>
      <c r="AU2443" t="s">
        <v>180</v>
      </c>
    </row>
    <row r="2444" spans="1:48">
      <c r="A2444" s="1">
        <f>HYPERLINK("https://cms.ls-nyc.org/matter/dynamic-profile/view/1880681","18-1880681")</f>
        <v>0</v>
      </c>
      <c r="B2444" t="s">
        <v>128</v>
      </c>
      <c r="C2444" t="s">
        <v>256</v>
      </c>
      <c r="E2444" t="s">
        <v>628</v>
      </c>
      <c r="F2444" t="s">
        <v>3290</v>
      </c>
      <c r="G2444" t="s">
        <v>4153</v>
      </c>
      <c r="H2444" t="s">
        <v>5465</v>
      </c>
      <c r="I2444" t="s">
        <v>6049</v>
      </c>
      <c r="J2444">
        <v>10034</v>
      </c>
      <c r="K2444" t="s">
        <v>6074</v>
      </c>
      <c r="L2444" t="s">
        <v>6074</v>
      </c>
      <c r="M2444" t="s">
        <v>7073</v>
      </c>
      <c r="N2444" t="s">
        <v>7276</v>
      </c>
      <c r="O2444" t="s">
        <v>7308</v>
      </c>
      <c r="Q2444" t="s">
        <v>7322</v>
      </c>
      <c r="R2444" t="s">
        <v>6076</v>
      </c>
      <c r="S2444" t="s">
        <v>7324</v>
      </c>
      <c r="U2444" t="s">
        <v>414</v>
      </c>
      <c r="V2444">
        <v>642.37</v>
      </c>
      <c r="W2444" t="s">
        <v>7365</v>
      </c>
      <c r="X2444" t="s">
        <v>7368</v>
      </c>
      <c r="Z2444" t="s">
        <v>9262</v>
      </c>
      <c r="AB2444" t="s">
        <v>11939</v>
      </c>
      <c r="AC2444">
        <v>21</v>
      </c>
      <c r="AD2444" t="s">
        <v>12422</v>
      </c>
      <c r="AE2444" t="s">
        <v>12441</v>
      </c>
      <c r="AF2444">
        <v>45</v>
      </c>
      <c r="AG2444">
        <v>1</v>
      </c>
      <c r="AH2444">
        <v>0</v>
      </c>
      <c r="AI2444">
        <v>179.7</v>
      </c>
      <c r="AL2444" t="s">
        <v>12460</v>
      </c>
      <c r="AM2444">
        <v>21816</v>
      </c>
      <c r="AS2444">
        <v>13.2</v>
      </c>
      <c r="AT2444" t="s">
        <v>429</v>
      </c>
      <c r="AU2444" t="s">
        <v>13077</v>
      </c>
    </row>
    <row r="2445" spans="1:48">
      <c r="A2445" s="1">
        <f>HYPERLINK("https://cms.ls-nyc.org/matter/dynamic-profile/view/1877960","18-1877960")</f>
        <v>0</v>
      </c>
      <c r="B2445" t="s">
        <v>128</v>
      </c>
      <c r="C2445" t="s">
        <v>244</v>
      </c>
      <c r="D2445" t="s">
        <v>561</v>
      </c>
      <c r="E2445" t="s">
        <v>1760</v>
      </c>
      <c r="F2445" t="s">
        <v>2236</v>
      </c>
      <c r="G2445" t="s">
        <v>5052</v>
      </c>
      <c r="H2445" t="s">
        <v>5809</v>
      </c>
      <c r="I2445" t="s">
        <v>6049</v>
      </c>
      <c r="J2445">
        <v>10034</v>
      </c>
      <c r="K2445" t="s">
        <v>6074</v>
      </c>
      <c r="L2445" t="s">
        <v>6074</v>
      </c>
      <c r="N2445" t="s">
        <v>6104</v>
      </c>
      <c r="O2445" t="s">
        <v>7307</v>
      </c>
      <c r="P2445" t="s">
        <v>7315</v>
      </c>
      <c r="Q2445" t="s">
        <v>7322</v>
      </c>
      <c r="R2445" t="s">
        <v>6076</v>
      </c>
      <c r="S2445" t="s">
        <v>7324</v>
      </c>
      <c r="U2445" t="s">
        <v>244</v>
      </c>
      <c r="V2445">
        <v>1135</v>
      </c>
      <c r="W2445" t="s">
        <v>7365</v>
      </c>
      <c r="X2445" t="s">
        <v>7367</v>
      </c>
      <c r="Y2445" t="s">
        <v>7386</v>
      </c>
      <c r="Z2445" t="s">
        <v>9263</v>
      </c>
      <c r="AB2445" t="s">
        <v>11940</v>
      </c>
      <c r="AC2445">
        <v>66</v>
      </c>
      <c r="AD2445" t="s">
        <v>12422</v>
      </c>
      <c r="AE2445" t="s">
        <v>12434</v>
      </c>
      <c r="AF2445">
        <v>41</v>
      </c>
      <c r="AG2445">
        <v>2</v>
      </c>
      <c r="AH2445">
        <v>0</v>
      </c>
      <c r="AI2445">
        <v>179.99</v>
      </c>
      <c r="AL2445" t="s">
        <v>12461</v>
      </c>
      <c r="AM2445">
        <v>29626.8</v>
      </c>
      <c r="AS2445">
        <v>2.2</v>
      </c>
      <c r="AT2445" t="s">
        <v>561</v>
      </c>
      <c r="AU2445" t="s">
        <v>13106</v>
      </c>
    </row>
    <row r="2446" spans="1:48">
      <c r="A2446" s="1">
        <f>HYPERLINK("https://cms.ls-nyc.org/matter/dynamic-profile/view/1885589","18-1885589")</f>
        <v>0</v>
      </c>
      <c r="B2446" t="s">
        <v>102</v>
      </c>
      <c r="C2446" t="s">
        <v>266</v>
      </c>
      <c r="E2446" t="s">
        <v>1163</v>
      </c>
      <c r="F2446" t="s">
        <v>3291</v>
      </c>
      <c r="G2446" t="s">
        <v>3779</v>
      </c>
      <c r="H2446" t="s">
        <v>5438</v>
      </c>
      <c r="I2446" t="s">
        <v>6047</v>
      </c>
      <c r="J2446">
        <v>10460</v>
      </c>
      <c r="K2446" t="s">
        <v>6074</v>
      </c>
      <c r="L2446" t="s">
        <v>6074</v>
      </c>
      <c r="M2446" t="s">
        <v>6182</v>
      </c>
      <c r="N2446" t="s">
        <v>7273</v>
      </c>
      <c r="O2446" t="s">
        <v>7308</v>
      </c>
      <c r="Q2446" t="s">
        <v>7322</v>
      </c>
      <c r="R2446" t="s">
        <v>6074</v>
      </c>
      <c r="S2446" t="s">
        <v>7324</v>
      </c>
      <c r="U2446" t="s">
        <v>457</v>
      </c>
      <c r="V2446">
        <v>1100</v>
      </c>
      <c r="W2446" t="s">
        <v>7363</v>
      </c>
      <c r="X2446" t="s">
        <v>7376</v>
      </c>
      <c r="Z2446" t="s">
        <v>9264</v>
      </c>
      <c r="AB2446" t="s">
        <v>11941</v>
      </c>
      <c r="AC2446">
        <v>168</v>
      </c>
      <c r="AD2446" t="s">
        <v>12422</v>
      </c>
      <c r="AE2446" t="s">
        <v>12434</v>
      </c>
      <c r="AF2446">
        <v>3</v>
      </c>
      <c r="AG2446">
        <v>2</v>
      </c>
      <c r="AH2446">
        <v>0</v>
      </c>
      <c r="AI2446">
        <v>180.15</v>
      </c>
      <c r="AL2446" t="s">
        <v>12460</v>
      </c>
      <c r="AM2446">
        <v>29652</v>
      </c>
      <c r="AS2446">
        <v>0</v>
      </c>
      <c r="AU2446" t="s">
        <v>13095</v>
      </c>
      <c r="AV2446" t="s">
        <v>13145</v>
      </c>
    </row>
    <row r="2447" spans="1:48">
      <c r="A2447" s="1">
        <f>HYPERLINK("https://cms.ls-nyc.org/matter/dynamic-profile/view/1891698","19-1891698")</f>
        <v>0</v>
      </c>
      <c r="B2447" t="s">
        <v>96</v>
      </c>
      <c r="C2447" t="s">
        <v>364</v>
      </c>
      <c r="E2447" t="s">
        <v>1761</v>
      </c>
      <c r="F2447" t="s">
        <v>2279</v>
      </c>
      <c r="G2447" t="s">
        <v>3792</v>
      </c>
      <c r="H2447" t="s">
        <v>5861</v>
      </c>
      <c r="I2447" t="s">
        <v>6047</v>
      </c>
      <c r="J2447">
        <v>10453</v>
      </c>
      <c r="K2447" t="s">
        <v>6074</v>
      </c>
      <c r="L2447" t="s">
        <v>6074</v>
      </c>
      <c r="N2447" t="s">
        <v>7279</v>
      </c>
      <c r="O2447" t="s">
        <v>7311</v>
      </c>
      <c r="Q2447" t="s">
        <v>7322</v>
      </c>
      <c r="R2447" t="s">
        <v>6074</v>
      </c>
      <c r="S2447" t="s">
        <v>7324</v>
      </c>
      <c r="U2447" t="s">
        <v>457</v>
      </c>
      <c r="V2447">
        <v>1233</v>
      </c>
      <c r="W2447" t="s">
        <v>7363</v>
      </c>
      <c r="X2447" t="s">
        <v>7375</v>
      </c>
      <c r="Z2447" t="s">
        <v>9166</v>
      </c>
      <c r="AB2447" t="s">
        <v>11942</v>
      </c>
      <c r="AC2447">
        <v>170</v>
      </c>
      <c r="AD2447" t="s">
        <v>12422</v>
      </c>
      <c r="AE2447" t="s">
        <v>6110</v>
      </c>
      <c r="AF2447">
        <v>4</v>
      </c>
      <c r="AG2447">
        <v>4</v>
      </c>
      <c r="AH2447">
        <v>0</v>
      </c>
      <c r="AI2447">
        <v>180.19</v>
      </c>
      <c r="AL2447" t="s">
        <v>12461</v>
      </c>
      <c r="AM2447">
        <v>46400</v>
      </c>
      <c r="AS2447">
        <v>0</v>
      </c>
      <c r="AU2447" t="s">
        <v>13093</v>
      </c>
    </row>
    <row r="2448" spans="1:48">
      <c r="A2448" s="1">
        <f>HYPERLINK("https://cms.ls-nyc.org/matter/dynamic-profile/view/1892005","19-1892005")</f>
        <v>0</v>
      </c>
      <c r="B2448" t="s">
        <v>133</v>
      </c>
      <c r="C2448" t="s">
        <v>329</v>
      </c>
      <c r="D2448" t="s">
        <v>356</v>
      </c>
      <c r="E2448" t="s">
        <v>1762</v>
      </c>
      <c r="F2448" t="s">
        <v>3292</v>
      </c>
      <c r="G2448" t="s">
        <v>5053</v>
      </c>
      <c r="H2448" t="s">
        <v>5504</v>
      </c>
      <c r="I2448" t="s">
        <v>6049</v>
      </c>
      <c r="J2448">
        <v>10032</v>
      </c>
      <c r="K2448" t="s">
        <v>6074</v>
      </c>
      <c r="L2448" t="s">
        <v>6074</v>
      </c>
      <c r="O2448" t="s">
        <v>7306</v>
      </c>
      <c r="P2448" t="s">
        <v>7314</v>
      </c>
      <c r="Q2448" t="s">
        <v>7322</v>
      </c>
      <c r="R2448" t="s">
        <v>6076</v>
      </c>
      <c r="S2448" t="s">
        <v>7324</v>
      </c>
      <c r="U2448" t="s">
        <v>329</v>
      </c>
      <c r="V2448">
        <v>1239.65</v>
      </c>
      <c r="W2448" t="s">
        <v>7365</v>
      </c>
      <c r="X2448" t="s">
        <v>7367</v>
      </c>
      <c r="Y2448" t="s">
        <v>7386</v>
      </c>
      <c r="Z2448" t="s">
        <v>9265</v>
      </c>
      <c r="AB2448" t="s">
        <v>11943</v>
      </c>
      <c r="AC2448">
        <v>0</v>
      </c>
      <c r="AD2448" t="s">
        <v>12422</v>
      </c>
      <c r="AE2448" t="s">
        <v>6110</v>
      </c>
      <c r="AF2448">
        <v>21</v>
      </c>
      <c r="AG2448">
        <v>2</v>
      </c>
      <c r="AH2448">
        <v>0</v>
      </c>
      <c r="AI2448">
        <v>180.2</v>
      </c>
      <c r="AL2448" t="s">
        <v>12461</v>
      </c>
      <c r="AM2448">
        <v>30472</v>
      </c>
      <c r="AS2448">
        <v>1.1</v>
      </c>
      <c r="AT2448" t="s">
        <v>356</v>
      </c>
      <c r="AU2448" t="s">
        <v>13106</v>
      </c>
    </row>
    <row r="2449" spans="1:48">
      <c r="A2449" s="1">
        <f>HYPERLINK("https://cms.ls-nyc.org/matter/dynamic-profile/view/1880776","18-1880776")</f>
        <v>0</v>
      </c>
      <c r="B2449" t="s">
        <v>113</v>
      </c>
      <c r="C2449" t="s">
        <v>391</v>
      </c>
      <c r="E2449" t="s">
        <v>1763</v>
      </c>
      <c r="F2449" t="s">
        <v>2285</v>
      </c>
      <c r="G2449" t="s">
        <v>5054</v>
      </c>
      <c r="H2449" t="s">
        <v>5879</v>
      </c>
      <c r="I2449" t="s">
        <v>6047</v>
      </c>
      <c r="J2449">
        <v>10452</v>
      </c>
      <c r="K2449" t="s">
        <v>6074</v>
      </c>
      <c r="L2449" t="s">
        <v>6074</v>
      </c>
      <c r="N2449" t="s">
        <v>7274</v>
      </c>
      <c r="O2449" t="s">
        <v>7306</v>
      </c>
      <c r="Q2449" t="s">
        <v>7322</v>
      </c>
      <c r="S2449" t="s">
        <v>7324</v>
      </c>
      <c r="U2449" t="s">
        <v>391</v>
      </c>
      <c r="V2449">
        <v>854</v>
      </c>
      <c r="W2449" t="s">
        <v>7363</v>
      </c>
      <c r="X2449" t="s">
        <v>7376</v>
      </c>
      <c r="Z2449" t="s">
        <v>9266</v>
      </c>
      <c r="AB2449" t="s">
        <v>11944</v>
      </c>
      <c r="AC2449">
        <v>44</v>
      </c>
      <c r="AD2449" t="s">
        <v>6322</v>
      </c>
      <c r="AE2449" t="s">
        <v>12441</v>
      </c>
      <c r="AF2449">
        <v>42</v>
      </c>
      <c r="AG2449">
        <v>2</v>
      </c>
      <c r="AH2449">
        <v>0</v>
      </c>
      <c r="AI2449">
        <v>180.29</v>
      </c>
      <c r="AL2449" t="s">
        <v>12461</v>
      </c>
      <c r="AM2449">
        <v>29676</v>
      </c>
      <c r="AS2449">
        <v>82</v>
      </c>
      <c r="AT2449" t="s">
        <v>564</v>
      </c>
      <c r="AU2449" t="s">
        <v>13095</v>
      </c>
    </row>
    <row r="2450" spans="1:48">
      <c r="A2450" s="1">
        <f>HYPERLINK("https://cms.ls-nyc.org/matter/dynamic-profile/view/1901181","19-1901181")</f>
        <v>0</v>
      </c>
      <c r="B2450" t="s">
        <v>200</v>
      </c>
      <c r="C2450" t="s">
        <v>496</v>
      </c>
      <c r="E2450" t="s">
        <v>737</v>
      </c>
      <c r="F2450" t="s">
        <v>3043</v>
      </c>
      <c r="G2450" t="s">
        <v>5055</v>
      </c>
      <c r="H2450" t="s">
        <v>5424</v>
      </c>
      <c r="I2450" t="s">
        <v>6049</v>
      </c>
      <c r="J2450">
        <v>10033</v>
      </c>
      <c r="K2450" t="s">
        <v>6074</v>
      </c>
      <c r="L2450" t="s">
        <v>6075</v>
      </c>
      <c r="M2450" t="s">
        <v>7074</v>
      </c>
      <c r="N2450" t="s">
        <v>7274</v>
      </c>
      <c r="O2450" t="s">
        <v>7310</v>
      </c>
      <c r="Q2450" t="s">
        <v>7322</v>
      </c>
      <c r="R2450" t="s">
        <v>6076</v>
      </c>
      <c r="S2450" t="s">
        <v>7324</v>
      </c>
      <c r="T2450" t="s">
        <v>7336</v>
      </c>
      <c r="U2450" t="s">
        <v>496</v>
      </c>
      <c r="V2450">
        <v>825</v>
      </c>
      <c r="W2450" t="s">
        <v>7365</v>
      </c>
      <c r="X2450" t="s">
        <v>7366</v>
      </c>
      <c r="Z2450" t="s">
        <v>9267</v>
      </c>
      <c r="AA2450" t="s">
        <v>10263</v>
      </c>
      <c r="AB2450" t="s">
        <v>11945</v>
      </c>
      <c r="AC2450">
        <v>50</v>
      </c>
      <c r="AD2450" t="s">
        <v>12425</v>
      </c>
      <c r="AE2450" t="s">
        <v>6110</v>
      </c>
      <c r="AF2450">
        <v>15</v>
      </c>
      <c r="AG2450">
        <v>2</v>
      </c>
      <c r="AH2450">
        <v>0</v>
      </c>
      <c r="AI2450">
        <v>180.7</v>
      </c>
      <c r="AL2450" t="s">
        <v>12461</v>
      </c>
      <c r="AM2450">
        <v>30556</v>
      </c>
      <c r="AS2450">
        <v>0</v>
      </c>
      <c r="AU2450" t="s">
        <v>13107</v>
      </c>
      <c r="AV2450" t="s">
        <v>13145</v>
      </c>
    </row>
    <row r="2451" spans="1:48">
      <c r="A2451" s="1">
        <f>HYPERLINK("https://cms.ls-nyc.org/matter/dynamic-profile/view/1898805","19-1898805")</f>
        <v>0</v>
      </c>
      <c r="B2451" t="s">
        <v>132</v>
      </c>
      <c r="C2451" t="s">
        <v>294</v>
      </c>
      <c r="E2451" t="s">
        <v>1324</v>
      </c>
      <c r="F2451" t="s">
        <v>2079</v>
      </c>
      <c r="G2451" t="s">
        <v>4567</v>
      </c>
      <c r="H2451" t="s">
        <v>5489</v>
      </c>
      <c r="I2451" t="s">
        <v>6049</v>
      </c>
      <c r="J2451">
        <v>10034</v>
      </c>
      <c r="K2451" t="s">
        <v>6074</v>
      </c>
      <c r="L2451" t="s">
        <v>6074</v>
      </c>
      <c r="M2451" t="s">
        <v>7075</v>
      </c>
      <c r="N2451" t="s">
        <v>7276</v>
      </c>
      <c r="O2451" t="s">
        <v>7306</v>
      </c>
      <c r="Q2451" t="s">
        <v>7322</v>
      </c>
      <c r="R2451" t="s">
        <v>6076</v>
      </c>
      <c r="S2451" t="s">
        <v>7324</v>
      </c>
      <c r="U2451" t="s">
        <v>294</v>
      </c>
      <c r="V2451">
        <v>1241</v>
      </c>
      <c r="W2451" t="s">
        <v>7365</v>
      </c>
      <c r="X2451" t="s">
        <v>7366</v>
      </c>
      <c r="Z2451" t="s">
        <v>9268</v>
      </c>
      <c r="AA2451" t="s">
        <v>10264</v>
      </c>
      <c r="AB2451" t="s">
        <v>11946</v>
      </c>
      <c r="AC2451">
        <v>73</v>
      </c>
      <c r="AD2451" t="s">
        <v>12422</v>
      </c>
      <c r="AE2451" t="s">
        <v>12441</v>
      </c>
      <c r="AF2451">
        <v>14</v>
      </c>
      <c r="AG2451">
        <v>3</v>
      </c>
      <c r="AH2451">
        <v>0</v>
      </c>
      <c r="AI2451">
        <v>180.84</v>
      </c>
      <c r="AL2451" t="s">
        <v>12461</v>
      </c>
      <c r="AM2451">
        <v>38573.08</v>
      </c>
      <c r="AS2451">
        <v>2.8</v>
      </c>
      <c r="AT2451" t="s">
        <v>445</v>
      </c>
      <c r="AU2451" t="s">
        <v>13109</v>
      </c>
      <c r="AV2451" t="s">
        <v>13145</v>
      </c>
    </row>
    <row r="2452" spans="1:48">
      <c r="A2452" s="1">
        <f>HYPERLINK("https://cms.ls-nyc.org/matter/dynamic-profile/view/1882142","18-1882142")</f>
        <v>0</v>
      </c>
      <c r="B2452" t="s">
        <v>54</v>
      </c>
      <c r="C2452" t="s">
        <v>442</v>
      </c>
      <c r="D2452" t="s">
        <v>431</v>
      </c>
      <c r="E2452" t="s">
        <v>1764</v>
      </c>
      <c r="F2452" t="s">
        <v>3293</v>
      </c>
      <c r="G2452" t="s">
        <v>5056</v>
      </c>
      <c r="H2452" t="s">
        <v>5465</v>
      </c>
      <c r="I2452" t="s">
        <v>6065</v>
      </c>
      <c r="J2452">
        <v>11415</v>
      </c>
      <c r="K2452" t="s">
        <v>6074</v>
      </c>
      <c r="L2452" t="s">
        <v>6074</v>
      </c>
      <c r="M2452" t="s">
        <v>7076</v>
      </c>
      <c r="N2452" t="s">
        <v>7276</v>
      </c>
      <c r="O2452" t="s">
        <v>7306</v>
      </c>
      <c r="P2452" t="s">
        <v>7314</v>
      </c>
      <c r="Q2452" t="s">
        <v>7322</v>
      </c>
      <c r="R2452" t="s">
        <v>6076</v>
      </c>
      <c r="S2452" t="s">
        <v>7324</v>
      </c>
      <c r="T2452" t="s">
        <v>7336</v>
      </c>
      <c r="U2452" t="s">
        <v>442</v>
      </c>
      <c r="V2452">
        <v>1670</v>
      </c>
      <c r="W2452" t="s">
        <v>7361</v>
      </c>
      <c r="X2452" t="s">
        <v>7366</v>
      </c>
      <c r="Y2452" t="s">
        <v>7386</v>
      </c>
      <c r="Z2452" t="s">
        <v>9269</v>
      </c>
      <c r="AB2452" t="s">
        <v>11947</v>
      </c>
      <c r="AC2452">
        <v>66</v>
      </c>
      <c r="AD2452" t="s">
        <v>12419</v>
      </c>
      <c r="AE2452" t="s">
        <v>6110</v>
      </c>
      <c r="AF2452">
        <v>2</v>
      </c>
      <c r="AG2452">
        <v>1</v>
      </c>
      <c r="AH2452">
        <v>0</v>
      </c>
      <c r="AI2452">
        <v>181.19</v>
      </c>
      <c r="AL2452" t="s">
        <v>12460</v>
      </c>
      <c r="AM2452">
        <v>21996</v>
      </c>
      <c r="AS2452">
        <v>0.6</v>
      </c>
      <c r="AT2452" t="s">
        <v>431</v>
      </c>
      <c r="AU2452" t="s">
        <v>48</v>
      </c>
    </row>
    <row r="2453" spans="1:48">
      <c r="A2453" s="1">
        <f>HYPERLINK("https://cms.ls-nyc.org/matter/dynamic-profile/view/1880693","18-1880693")</f>
        <v>0</v>
      </c>
      <c r="B2453" t="s">
        <v>87</v>
      </c>
      <c r="C2453" t="s">
        <v>256</v>
      </c>
      <c r="E2453" t="s">
        <v>1765</v>
      </c>
      <c r="F2453" t="s">
        <v>3294</v>
      </c>
      <c r="G2453" t="s">
        <v>3732</v>
      </c>
      <c r="H2453">
        <v>1</v>
      </c>
      <c r="I2453" t="s">
        <v>6043</v>
      </c>
      <c r="J2453">
        <v>11221</v>
      </c>
      <c r="K2453" t="s">
        <v>6074</v>
      </c>
      <c r="L2453" t="s">
        <v>6074</v>
      </c>
      <c r="M2453" t="s">
        <v>6146</v>
      </c>
      <c r="N2453" t="s">
        <v>7273</v>
      </c>
      <c r="O2453" t="s">
        <v>7308</v>
      </c>
      <c r="Q2453" t="s">
        <v>7322</v>
      </c>
      <c r="S2453" t="s">
        <v>7324</v>
      </c>
      <c r="U2453" t="s">
        <v>256</v>
      </c>
      <c r="V2453">
        <v>1000</v>
      </c>
      <c r="W2453" t="s">
        <v>7362</v>
      </c>
      <c r="X2453" t="s">
        <v>7368</v>
      </c>
      <c r="Z2453" t="s">
        <v>9270</v>
      </c>
      <c r="AB2453" t="s">
        <v>11948</v>
      </c>
      <c r="AC2453">
        <v>7</v>
      </c>
      <c r="AE2453" t="s">
        <v>6110</v>
      </c>
      <c r="AF2453">
        <v>1</v>
      </c>
      <c r="AG2453">
        <v>1</v>
      </c>
      <c r="AH2453">
        <v>0</v>
      </c>
      <c r="AI2453">
        <v>181.22</v>
      </c>
      <c r="AL2453" t="s">
        <v>12460</v>
      </c>
      <c r="AM2453">
        <v>22000</v>
      </c>
      <c r="AS2453">
        <v>43.2</v>
      </c>
      <c r="AT2453" t="s">
        <v>285</v>
      </c>
      <c r="AU2453" t="s">
        <v>13083</v>
      </c>
    </row>
    <row r="2454" spans="1:48">
      <c r="A2454" s="1">
        <f>HYPERLINK("https://cms.ls-nyc.org/matter/dynamic-profile/view/1900631","19-1900631")</f>
        <v>0</v>
      </c>
      <c r="B2454" t="s">
        <v>92</v>
      </c>
      <c r="C2454" t="s">
        <v>260</v>
      </c>
      <c r="D2454" t="s">
        <v>324</v>
      </c>
      <c r="E2454" t="s">
        <v>1766</v>
      </c>
      <c r="F2454" t="s">
        <v>3295</v>
      </c>
      <c r="G2454" t="s">
        <v>4148</v>
      </c>
      <c r="H2454" t="s">
        <v>5436</v>
      </c>
      <c r="I2454" t="s">
        <v>6043</v>
      </c>
      <c r="J2454">
        <v>11212</v>
      </c>
      <c r="K2454" t="s">
        <v>6074</v>
      </c>
      <c r="L2454" t="s">
        <v>6075</v>
      </c>
      <c r="M2454" t="s">
        <v>6101</v>
      </c>
      <c r="N2454" t="s">
        <v>6104</v>
      </c>
      <c r="O2454" t="s">
        <v>7307</v>
      </c>
      <c r="P2454" t="s">
        <v>7315</v>
      </c>
      <c r="Q2454" t="s">
        <v>7322</v>
      </c>
      <c r="S2454" t="s">
        <v>7324</v>
      </c>
      <c r="T2454" t="s">
        <v>7336</v>
      </c>
      <c r="U2454" t="s">
        <v>280</v>
      </c>
      <c r="V2454">
        <v>1400</v>
      </c>
      <c r="W2454" t="s">
        <v>7362</v>
      </c>
      <c r="X2454" t="s">
        <v>7374</v>
      </c>
      <c r="Y2454" t="s">
        <v>7394</v>
      </c>
      <c r="Z2454" t="s">
        <v>9271</v>
      </c>
      <c r="AB2454" t="s">
        <v>11949</v>
      </c>
      <c r="AC2454">
        <v>4</v>
      </c>
      <c r="AD2454" t="s">
        <v>12422</v>
      </c>
      <c r="AE2454" t="s">
        <v>6110</v>
      </c>
      <c r="AF2454">
        <v>3</v>
      </c>
      <c r="AG2454">
        <v>1</v>
      </c>
      <c r="AH2454">
        <v>0</v>
      </c>
      <c r="AI2454">
        <v>181.49</v>
      </c>
      <c r="AL2454" t="s">
        <v>12460</v>
      </c>
      <c r="AM2454">
        <v>22668</v>
      </c>
      <c r="AS2454">
        <v>0.1</v>
      </c>
      <c r="AT2454" t="s">
        <v>324</v>
      </c>
      <c r="AU2454" t="s">
        <v>218</v>
      </c>
      <c r="AV2454" t="s">
        <v>13145</v>
      </c>
    </row>
    <row r="2455" spans="1:48">
      <c r="A2455" s="1">
        <f>HYPERLINK("https://cms.ls-nyc.org/matter/dynamic-profile/view/1882164","18-1882164")</f>
        <v>0</v>
      </c>
      <c r="B2455" t="s">
        <v>89</v>
      </c>
      <c r="C2455" t="s">
        <v>442</v>
      </c>
      <c r="E2455" t="s">
        <v>1750</v>
      </c>
      <c r="F2455" t="s">
        <v>3275</v>
      </c>
      <c r="G2455" t="s">
        <v>4439</v>
      </c>
      <c r="I2455" t="s">
        <v>6043</v>
      </c>
      <c r="J2455">
        <v>11213</v>
      </c>
      <c r="K2455" t="s">
        <v>6074</v>
      </c>
      <c r="L2455" t="s">
        <v>6074</v>
      </c>
      <c r="M2455" t="s">
        <v>7032</v>
      </c>
      <c r="N2455" t="s">
        <v>7273</v>
      </c>
      <c r="O2455" t="s">
        <v>7308</v>
      </c>
      <c r="Q2455" t="s">
        <v>7322</v>
      </c>
      <c r="R2455" t="s">
        <v>6074</v>
      </c>
      <c r="S2455" t="s">
        <v>7324</v>
      </c>
      <c r="T2455" t="s">
        <v>7336</v>
      </c>
      <c r="U2455" t="s">
        <v>7350</v>
      </c>
      <c r="V2455">
        <v>678.92</v>
      </c>
      <c r="W2455" t="s">
        <v>7362</v>
      </c>
      <c r="X2455" t="s">
        <v>7376</v>
      </c>
      <c r="Z2455" t="s">
        <v>9245</v>
      </c>
      <c r="AA2455" t="s">
        <v>6110</v>
      </c>
      <c r="AB2455" t="s">
        <v>11924</v>
      </c>
      <c r="AC2455">
        <v>35</v>
      </c>
      <c r="AD2455" t="s">
        <v>12422</v>
      </c>
      <c r="AE2455" t="s">
        <v>6110</v>
      </c>
      <c r="AF2455">
        <v>22</v>
      </c>
      <c r="AG2455">
        <v>1</v>
      </c>
      <c r="AH2455">
        <v>0</v>
      </c>
      <c r="AI2455">
        <v>181.64</v>
      </c>
      <c r="AK2455" t="s">
        <v>12458</v>
      </c>
      <c r="AL2455" t="s">
        <v>12460</v>
      </c>
      <c r="AM2455">
        <v>22051</v>
      </c>
      <c r="AS2455">
        <v>0.1</v>
      </c>
      <c r="AT2455" t="s">
        <v>234</v>
      </c>
      <c r="AU2455" t="s">
        <v>218</v>
      </c>
      <c r="AV2455" t="s">
        <v>13145</v>
      </c>
    </row>
    <row r="2456" spans="1:48">
      <c r="A2456" s="1">
        <f>HYPERLINK("https://cms.ls-nyc.org/matter/dynamic-profile/view/1886128","18-1886128")</f>
        <v>0</v>
      </c>
      <c r="B2456" t="s">
        <v>98</v>
      </c>
      <c r="C2456" t="s">
        <v>326</v>
      </c>
      <c r="E2456" t="s">
        <v>784</v>
      </c>
      <c r="F2456" t="s">
        <v>2921</v>
      </c>
      <c r="G2456" t="s">
        <v>3786</v>
      </c>
      <c r="H2456" t="s">
        <v>5489</v>
      </c>
      <c r="I2456" t="s">
        <v>6047</v>
      </c>
      <c r="J2456">
        <v>10457</v>
      </c>
      <c r="K2456" t="s">
        <v>6074</v>
      </c>
      <c r="L2456" t="s">
        <v>6074</v>
      </c>
      <c r="M2456" t="s">
        <v>6191</v>
      </c>
      <c r="N2456" t="s">
        <v>7273</v>
      </c>
      <c r="O2456" t="s">
        <v>7308</v>
      </c>
      <c r="Q2456" t="s">
        <v>7322</v>
      </c>
      <c r="R2456" t="s">
        <v>6074</v>
      </c>
      <c r="S2456" t="s">
        <v>7324</v>
      </c>
      <c r="U2456" t="s">
        <v>472</v>
      </c>
      <c r="V2456">
        <v>1022.34</v>
      </c>
      <c r="W2456" t="s">
        <v>7363</v>
      </c>
      <c r="X2456" t="s">
        <v>7376</v>
      </c>
      <c r="Z2456" t="s">
        <v>9272</v>
      </c>
      <c r="AB2456" t="s">
        <v>11950</v>
      </c>
      <c r="AC2456">
        <v>48</v>
      </c>
      <c r="AD2456" t="s">
        <v>12422</v>
      </c>
      <c r="AE2456" t="s">
        <v>12434</v>
      </c>
      <c r="AF2456">
        <v>15</v>
      </c>
      <c r="AG2456">
        <v>1</v>
      </c>
      <c r="AH2456">
        <v>0</v>
      </c>
      <c r="AI2456">
        <v>182.04</v>
      </c>
      <c r="AL2456" t="s">
        <v>12461</v>
      </c>
      <c r="AM2456">
        <v>22100</v>
      </c>
      <c r="AS2456">
        <v>2.1</v>
      </c>
      <c r="AT2456" t="s">
        <v>254</v>
      </c>
      <c r="AU2456" t="s">
        <v>106</v>
      </c>
    </row>
    <row r="2457" spans="1:48">
      <c r="A2457" s="1">
        <f>HYPERLINK("https://cms.ls-nyc.org/matter/dynamic-profile/view/1895465","19-1895465")</f>
        <v>0</v>
      </c>
      <c r="B2457" t="s">
        <v>78</v>
      </c>
      <c r="C2457" t="s">
        <v>457</v>
      </c>
      <c r="E2457" t="s">
        <v>690</v>
      </c>
      <c r="F2457" t="s">
        <v>3296</v>
      </c>
      <c r="G2457" t="s">
        <v>3866</v>
      </c>
      <c r="I2457" t="s">
        <v>6043</v>
      </c>
      <c r="J2457">
        <v>11206</v>
      </c>
      <c r="K2457" t="s">
        <v>6074</v>
      </c>
      <c r="L2457" t="s">
        <v>6074</v>
      </c>
      <c r="M2457" t="s">
        <v>6806</v>
      </c>
      <c r="N2457" t="s">
        <v>7279</v>
      </c>
      <c r="O2457" t="s">
        <v>7309</v>
      </c>
      <c r="Q2457" t="s">
        <v>7322</v>
      </c>
      <c r="R2457" t="s">
        <v>6074</v>
      </c>
      <c r="S2457" t="s">
        <v>7324</v>
      </c>
      <c r="U2457" t="s">
        <v>405</v>
      </c>
      <c r="V2457">
        <v>588</v>
      </c>
      <c r="W2457" t="s">
        <v>7362</v>
      </c>
      <c r="X2457" t="s">
        <v>7368</v>
      </c>
      <c r="Z2457" t="s">
        <v>9273</v>
      </c>
      <c r="AB2457" t="s">
        <v>11951</v>
      </c>
      <c r="AC2457">
        <v>8</v>
      </c>
      <c r="AD2457" t="s">
        <v>12422</v>
      </c>
      <c r="AF2457">
        <v>4</v>
      </c>
      <c r="AG2457">
        <v>1</v>
      </c>
      <c r="AH2457">
        <v>1</v>
      </c>
      <c r="AI2457">
        <v>182.14</v>
      </c>
      <c r="AL2457" t="s">
        <v>12460</v>
      </c>
      <c r="AM2457">
        <v>30800</v>
      </c>
      <c r="AN2457" t="s">
        <v>12691</v>
      </c>
      <c r="AS2457">
        <v>0.1</v>
      </c>
      <c r="AT2457" t="s">
        <v>324</v>
      </c>
      <c r="AU2457" t="s">
        <v>180</v>
      </c>
      <c r="AV2457" t="s">
        <v>13145</v>
      </c>
    </row>
    <row r="2458" spans="1:48">
      <c r="A2458" s="1">
        <f>HYPERLINK("https://cms.ls-nyc.org/matter/dynamic-profile/view/1895474","19-1895474")</f>
        <v>0</v>
      </c>
      <c r="B2458" t="s">
        <v>92</v>
      </c>
      <c r="C2458" t="s">
        <v>457</v>
      </c>
      <c r="D2458" t="s">
        <v>324</v>
      </c>
      <c r="E2458" t="s">
        <v>690</v>
      </c>
      <c r="F2458" t="s">
        <v>3296</v>
      </c>
      <c r="G2458" t="s">
        <v>3866</v>
      </c>
      <c r="I2458" t="s">
        <v>6043</v>
      </c>
      <c r="J2458">
        <v>11206</v>
      </c>
      <c r="K2458" t="s">
        <v>6074</v>
      </c>
      <c r="L2458" t="s">
        <v>6074</v>
      </c>
      <c r="M2458" t="s">
        <v>6081</v>
      </c>
      <c r="N2458" t="s">
        <v>6104</v>
      </c>
      <c r="O2458" t="s">
        <v>7307</v>
      </c>
      <c r="P2458" t="s">
        <v>7315</v>
      </c>
      <c r="Q2458" t="s">
        <v>7322</v>
      </c>
      <c r="R2458" t="s">
        <v>6074</v>
      </c>
      <c r="S2458" t="s">
        <v>7324</v>
      </c>
      <c r="U2458" t="s">
        <v>247</v>
      </c>
      <c r="V2458">
        <v>588</v>
      </c>
      <c r="W2458" t="s">
        <v>7362</v>
      </c>
      <c r="X2458" t="s">
        <v>7368</v>
      </c>
      <c r="Y2458" t="s">
        <v>7387</v>
      </c>
      <c r="Z2458" t="s">
        <v>9273</v>
      </c>
      <c r="AB2458" t="s">
        <v>11951</v>
      </c>
      <c r="AC2458">
        <v>8</v>
      </c>
      <c r="AD2458" t="s">
        <v>12422</v>
      </c>
      <c r="AF2458">
        <v>4</v>
      </c>
      <c r="AG2458">
        <v>1</v>
      </c>
      <c r="AH2458">
        <v>1</v>
      </c>
      <c r="AI2458">
        <v>182.14</v>
      </c>
      <c r="AL2458" t="s">
        <v>12460</v>
      </c>
      <c r="AM2458">
        <v>30800</v>
      </c>
      <c r="AN2458" t="s">
        <v>12691</v>
      </c>
      <c r="AS2458">
        <v>0.1</v>
      </c>
      <c r="AT2458" t="s">
        <v>324</v>
      </c>
      <c r="AU2458" t="s">
        <v>180</v>
      </c>
      <c r="AV2458" t="s">
        <v>13145</v>
      </c>
    </row>
    <row r="2459" spans="1:48">
      <c r="A2459" s="1">
        <f>HYPERLINK("https://cms.ls-nyc.org/matter/dynamic-profile/view/1890441","19-1890441")</f>
        <v>0</v>
      </c>
      <c r="B2459" t="s">
        <v>112</v>
      </c>
      <c r="C2459" t="s">
        <v>326</v>
      </c>
      <c r="E2459" t="s">
        <v>586</v>
      </c>
      <c r="F2459" t="s">
        <v>2390</v>
      </c>
      <c r="G2459" t="s">
        <v>3793</v>
      </c>
      <c r="H2459" t="s">
        <v>5400</v>
      </c>
      <c r="I2459" t="s">
        <v>6047</v>
      </c>
      <c r="J2459">
        <v>10453</v>
      </c>
      <c r="K2459" t="s">
        <v>6074</v>
      </c>
      <c r="L2459" t="s">
        <v>6074</v>
      </c>
      <c r="N2459" t="s">
        <v>7279</v>
      </c>
      <c r="O2459" t="s">
        <v>7311</v>
      </c>
      <c r="Q2459" t="s">
        <v>7322</v>
      </c>
      <c r="R2459" t="s">
        <v>6074</v>
      </c>
      <c r="S2459" t="s">
        <v>7324</v>
      </c>
      <c r="U2459" t="s">
        <v>457</v>
      </c>
      <c r="V2459">
        <v>692.88</v>
      </c>
      <c r="W2459" t="s">
        <v>7363</v>
      </c>
      <c r="X2459" t="s">
        <v>7376</v>
      </c>
      <c r="Z2459" t="s">
        <v>9274</v>
      </c>
      <c r="AB2459" t="s">
        <v>11952</v>
      </c>
      <c r="AC2459">
        <v>0</v>
      </c>
      <c r="AD2459" t="s">
        <v>12422</v>
      </c>
      <c r="AE2459" t="s">
        <v>6110</v>
      </c>
      <c r="AF2459">
        <v>27</v>
      </c>
      <c r="AG2459">
        <v>2</v>
      </c>
      <c r="AH2459">
        <v>0</v>
      </c>
      <c r="AI2459">
        <v>182.26</v>
      </c>
      <c r="AL2459" t="s">
        <v>12460</v>
      </c>
      <c r="AM2459">
        <v>30000</v>
      </c>
      <c r="AS2459">
        <v>0</v>
      </c>
      <c r="AU2459" t="s">
        <v>13095</v>
      </c>
    </row>
    <row r="2460" spans="1:48">
      <c r="A2460" s="1">
        <f>HYPERLINK("https://cms.ls-nyc.org/matter/dynamic-profile/view/1890433","19-1890433")</f>
        <v>0</v>
      </c>
      <c r="B2460" t="s">
        <v>112</v>
      </c>
      <c r="C2460" t="s">
        <v>326</v>
      </c>
      <c r="E2460" t="s">
        <v>586</v>
      </c>
      <c r="F2460" t="s">
        <v>2390</v>
      </c>
      <c r="G2460" t="s">
        <v>3793</v>
      </c>
      <c r="H2460" t="s">
        <v>5400</v>
      </c>
      <c r="I2460" t="s">
        <v>6047</v>
      </c>
      <c r="J2460">
        <v>10453</v>
      </c>
      <c r="K2460" t="s">
        <v>6074</v>
      </c>
      <c r="L2460" t="s">
        <v>6074</v>
      </c>
      <c r="N2460" t="s">
        <v>7273</v>
      </c>
      <c r="O2460" t="s">
        <v>7308</v>
      </c>
      <c r="Q2460" t="s">
        <v>7322</v>
      </c>
      <c r="S2460" t="s">
        <v>7324</v>
      </c>
      <c r="U2460" t="s">
        <v>330</v>
      </c>
      <c r="V2460">
        <v>692.88</v>
      </c>
      <c r="W2460" t="s">
        <v>7363</v>
      </c>
      <c r="X2460" t="s">
        <v>7376</v>
      </c>
      <c r="Z2460" t="s">
        <v>9274</v>
      </c>
      <c r="AB2460" t="s">
        <v>11952</v>
      </c>
      <c r="AC2460">
        <v>44</v>
      </c>
      <c r="AD2460" t="s">
        <v>12422</v>
      </c>
      <c r="AE2460" t="s">
        <v>6110</v>
      </c>
      <c r="AF2460">
        <v>27</v>
      </c>
      <c r="AG2460">
        <v>2</v>
      </c>
      <c r="AH2460">
        <v>0</v>
      </c>
      <c r="AI2460">
        <v>182.26</v>
      </c>
      <c r="AL2460" t="s">
        <v>12460</v>
      </c>
      <c r="AM2460">
        <v>30000</v>
      </c>
      <c r="AS2460">
        <v>0</v>
      </c>
      <c r="AU2460" t="s">
        <v>13095</v>
      </c>
    </row>
    <row r="2461" spans="1:48">
      <c r="A2461" s="1">
        <f>HYPERLINK("https://cms.ls-nyc.org/matter/dynamic-profile/view/1884286","18-1884286")</f>
        <v>0</v>
      </c>
      <c r="B2461" t="s">
        <v>99</v>
      </c>
      <c r="C2461" t="s">
        <v>297</v>
      </c>
      <c r="D2461" t="s">
        <v>465</v>
      </c>
      <c r="E2461" t="s">
        <v>1767</v>
      </c>
      <c r="F2461" t="s">
        <v>3297</v>
      </c>
      <c r="G2461" t="s">
        <v>5057</v>
      </c>
      <c r="I2461" t="s">
        <v>6047</v>
      </c>
      <c r="J2461">
        <v>10451</v>
      </c>
      <c r="K2461" t="s">
        <v>6074</v>
      </c>
      <c r="L2461" t="s">
        <v>6074</v>
      </c>
      <c r="N2461" t="s">
        <v>7292</v>
      </c>
      <c r="O2461" t="s">
        <v>7306</v>
      </c>
      <c r="P2461" t="s">
        <v>7314</v>
      </c>
      <c r="Q2461" t="s">
        <v>7322</v>
      </c>
      <c r="R2461" t="s">
        <v>6076</v>
      </c>
      <c r="S2461" t="s">
        <v>7326</v>
      </c>
      <c r="T2461" t="s">
        <v>7336</v>
      </c>
      <c r="U2461" t="s">
        <v>465</v>
      </c>
      <c r="V2461">
        <v>0</v>
      </c>
      <c r="W2461" t="s">
        <v>7363</v>
      </c>
      <c r="X2461" t="s">
        <v>7376</v>
      </c>
      <c r="Y2461" t="s">
        <v>7386</v>
      </c>
      <c r="Z2461" t="s">
        <v>9275</v>
      </c>
      <c r="AB2461" t="s">
        <v>11953</v>
      </c>
      <c r="AC2461">
        <v>0</v>
      </c>
      <c r="AD2461" t="s">
        <v>6322</v>
      </c>
      <c r="AE2461" t="s">
        <v>6110</v>
      </c>
      <c r="AF2461">
        <v>0</v>
      </c>
      <c r="AG2461">
        <v>1</v>
      </c>
      <c r="AH2461">
        <v>1</v>
      </c>
      <c r="AI2461">
        <v>182.26</v>
      </c>
      <c r="AL2461" t="s">
        <v>12460</v>
      </c>
      <c r="AM2461">
        <v>30000</v>
      </c>
      <c r="AS2461">
        <v>1.15</v>
      </c>
      <c r="AT2461" t="s">
        <v>465</v>
      </c>
      <c r="AU2461" t="s">
        <v>99</v>
      </c>
    </row>
    <row r="2462" spans="1:48">
      <c r="A2462" s="1">
        <f>HYPERLINK("https://cms.ls-nyc.org/matter/dynamic-profile/view/1875857","18-1875857")</f>
        <v>0</v>
      </c>
      <c r="B2462" t="s">
        <v>133</v>
      </c>
      <c r="C2462" t="s">
        <v>281</v>
      </c>
      <c r="D2462" t="s">
        <v>243</v>
      </c>
      <c r="E2462" t="s">
        <v>737</v>
      </c>
      <c r="F2462" t="s">
        <v>3298</v>
      </c>
      <c r="G2462" t="s">
        <v>5058</v>
      </c>
      <c r="H2462" t="s">
        <v>5373</v>
      </c>
      <c r="I2462" t="s">
        <v>6049</v>
      </c>
      <c r="J2462">
        <v>10032</v>
      </c>
      <c r="K2462" t="s">
        <v>6074</v>
      </c>
      <c r="L2462" t="s">
        <v>6074</v>
      </c>
      <c r="N2462" t="s">
        <v>6104</v>
      </c>
      <c r="O2462" t="s">
        <v>7307</v>
      </c>
      <c r="P2462" t="s">
        <v>7314</v>
      </c>
      <c r="Q2462" t="s">
        <v>7322</v>
      </c>
      <c r="R2462" t="s">
        <v>6076</v>
      </c>
      <c r="S2462" t="s">
        <v>7324</v>
      </c>
      <c r="U2462" t="s">
        <v>281</v>
      </c>
      <c r="V2462">
        <v>1537.34</v>
      </c>
      <c r="W2462" t="s">
        <v>7365</v>
      </c>
      <c r="X2462" t="s">
        <v>7367</v>
      </c>
      <c r="Y2462" t="s">
        <v>7386</v>
      </c>
      <c r="Z2462" t="s">
        <v>9276</v>
      </c>
      <c r="AB2462" t="s">
        <v>11954</v>
      </c>
      <c r="AC2462">
        <v>74</v>
      </c>
      <c r="AD2462" t="s">
        <v>12422</v>
      </c>
      <c r="AE2462" t="s">
        <v>6110</v>
      </c>
      <c r="AF2462">
        <v>14</v>
      </c>
      <c r="AG2462">
        <v>2</v>
      </c>
      <c r="AH2462">
        <v>0</v>
      </c>
      <c r="AI2462">
        <v>182.26</v>
      </c>
      <c r="AL2462" t="s">
        <v>12461</v>
      </c>
      <c r="AM2462">
        <v>30000</v>
      </c>
      <c r="AS2462">
        <v>0.3</v>
      </c>
      <c r="AT2462" t="s">
        <v>243</v>
      </c>
      <c r="AU2462" t="s">
        <v>13106</v>
      </c>
    </row>
    <row r="2463" spans="1:48">
      <c r="A2463" s="1">
        <f>HYPERLINK("https://cms.ls-nyc.org/matter/dynamic-profile/view/1881268","18-1881268")</f>
        <v>0</v>
      </c>
      <c r="B2463" t="s">
        <v>126</v>
      </c>
      <c r="C2463" t="s">
        <v>240</v>
      </c>
      <c r="E2463" t="s">
        <v>636</v>
      </c>
      <c r="F2463" t="s">
        <v>3299</v>
      </c>
      <c r="G2463" t="s">
        <v>4323</v>
      </c>
      <c r="H2463">
        <v>34</v>
      </c>
      <c r="I2463" t="s">
        <v>6049</v>
      </c>
      <c r="J2463">
        <v>10039</v>
      </c>
      <c r="K2463" t="s">
        <v>6074</v>
      </c>
      <c r="L2463" t="s">
        <v>6074</v>
      </c>
      <c r="M2463" t="s">
        <v>6569</v>
      </c>
      <c r="N2463" t="s">
        <v>7273</v>
      </c>
      <c r="O2463" t="s">
        <v>7308</v>
      </c>
      <c r="Q2463" t="s">
        <v>7322</v>
      </c>
      <c r="R2463" t="s">
        <v>6074</v>
      </c>
      <c r="S2463" t="s">
        <v>7324</v>
      </c>
      <c r="T2463" t="s">
        <v>7336</v>
      </c>
      <c r="U2463" t="s">
        <v>464</v>
      </c>
      <c r="V2463">
        <v>1600</v>
      </c>
      <c r="W2463" t="s">
        <v>7365</v>
      </c>
      <c r="X2463" t="s">
        <v>7367</v>
      </c>
      <c r="Z2463" t="s">
        <v>9277</v>
      </c>
      <c r="AB2463" t="s">
        <v>11955</v>
      </c>
      <c r="AC2463">
        <v>24</v>
      </c>
      <c r="AD2463" t="s">
        <v>12431</v>
      </c>
      <c r="AE2463" t="s">
        <v>6110</v>
      </c>
      <c r="AF2463">
        <v>4</v>
      </c>
      <c r="AG2463">
        <v>1</v>
      </c>
      <c r="AH2463">
        <v>0</v>
      </c>
      <c r="AI2463">
        <v>182.37</v>
      </c>
      <c r="AL2463" t="s">
        <v>12460</v>
      </c>
      <c r="AM2463">
        <v>22140</v>
      </c>
      <c r="AS2463">
        <v>43.4</v>
      </c>
      <c r="AT2463" t="s">
        <v>421</v>
      </c>
      <c r="AU2463" t="s">
        <v>13107</v>
      </c>
    </row>
    <row r="2464" spans="1:48">
      <c r="A2464" s="1">
        <f>HYPERLINK("https://cms.ls-nyc.org/matter/dynamic-profile/view/1897061","19-1897061")</f>
        <v>0</v>
      </c>
      <c r="B2464" t="s">
        <v>133</v>
      </c>
      <c r="C2464" t="s">
        <v>268</v>
      </c>
      <c r="E2464" t="s">
        <v>1768</v>
      </c>
      <c r="F2464" t="s">
        <v>2318</v>
      </c>
      <c r="G2464" t="s">
        <v>4207</v>
      </c>
      <c r="H2464">
        <v>1</v>
      </c>
      <c r="I2464" t="s">
        <v>6049</v>
      </c>
      <c r="J2464">
        <v>10034</v>
      </c>
      <c r="K2464" t="s">
        <v>6074</v>
      </c>
      <c r="L2464" t="s">
        <v>6074</v>
      </c>
      <c r="N2464" t="s">
        <v>7273</v>
      </c>
      <c r="O2464" t="s">
        <v>7306</v>
      </c>
      <c r="Q2464" t="s">
        <v>7322</v>
      </c>
      <c r="R2464" t="s">
        <v>6074</v>
      </c>
      <c r="S2464" t="s">
        <v>7324</v>
      </c>
      <c r="U2464" t="s">
        <v>268</v>
      </c>
      <c r="V2464">
        <v>1400</v>
      </c>
      <c r="W2464" t="s">
        <v>7365</v>
      </c>
      <c r="X2464" t="s">
        <v>7367</v>
      </c>
      <c r="Z2464" t="s">
        <v>9278</v>
      </c>
      <c r="AB2464" t="s">
        <v>11956</v>
      </c>
      <c r="AC2464">
        <v>20</v>
      </c>
      <c r="AD2464" t="s">
        <v>12422</v>
      </c>
      <c r="AE2464" t="s">
        <v>7305</v>
      </c>
      <c r="AF2464">
        <v>10</v>
      </c>
      <c r="AG2464">
        <v>1</v>
      </c>
      <c r="AH2464">
        <v>0</v>
      </c>
      <c r="AI2464">
        <v>182.55</v>
      </c>
      <c r="AL2464" t="s">
        <v>12461</v>
      </c>
      <c r="AM2464">
        <v>22800</v>
      </c>
      <c r="AS2464">
        <v>9.800000000000001</v>
      </c>
      <c r="AT2464" t="s">
        <v>265</v>
      </c>
      <c r="AU2464" t="s">
        <v>13106</v>
      </c>
    </row>
    <row r="2465" spans="1:48">
      <c r="A2465" s="1">
        <f>HYPERLINK("https://cms.ls-nyc.org/matter/dynamic-profile/view/1849721","17-1849721")</f>
        <v>0</v>
      </c>
      <c r="B2465" t="s">
        <v>132</v>
      </c>
      <c r="C2465" t="s">
        <v>529</v>
      </c>
      <c r="D2465" t="s">
        <v>312</v>
      </c>
      <c r="E2465" t="s">
        <v>1769</v>
      </c>
      <c r="F2465" t="s">
        <v>2558</v>
      </c>
      <c r="G2465" t="s">
        <v>4903</v>
      </c>
      <c r="H2465" t="s">
        <v>5491</v>
      </c>
      <c r="I2465" t="s">
        <v>6049</v>
      </c>
      <c r="J2465">
        <v>10034</v>
      </c>
      <c r="K2465" t="s">
        <v>6074</v>
      </c>
      <c r="L2465" t="s">
        <v>6074</v>
      </c>
      <c r="N2465" t="s">
        <v>7305</v>
      </c>
      <c r="O2465" t="s">
        <v>7308</v>
      </c>
      <c r="P2465" t="s">
        <v>7316</v>
      </c>
      <c r="Q2465" t="s">
        <v>7322</v>
      </c>
      <c r="R2465" t="s">
        <v>6076</v>
      </c>
      <c r="S2465" t="s">
        <v>7324</v>
      </c>
      <c r="U2465" t="s">
        <v>7344</v>
      </c>
      <c r="V2465">
        <v>1100</v>
      </c>
      <c r="W2465" t="s">
        <v>7365</v>
      </c>
      <c r="X2465" t="s">
        <v>7367</v>
      </c>
      <c r="Y2465" t="s">
        <v>7388</v>
      </c>
      <c r="Z2465" t="s">
        <v>9279</v>
      </c>
      <c r="AB2465" t="s">
        <v>11957</v>
      </c>
      <c r="AC2465">
        <v>66</v>
      </c>
      <c r="AD2465" t="s">
        <v>12422</v>
      </c>
      <c r="AE2465" t="s">
        <v>6110</v>
      </c>
      <c r="AF2465">
        <v>31</v>
      </c>
      <c r="AG2465">
        <v>1</v>
      </c>
      <c r="AH2465">
        <v>0</v>
      </c>
      <c r="AI2465">
        <v>183.25</v>
      </c>
      <c r="AL2465" t="s">
        <v>12461</v>
      </c>
      <c r="AM2465">
        <v>22100</v>
      </c>
      <c r="AS2465">
        <v>18.4</v>
      </c>
      <c r="AT2465" t="s">
        <v>262</v>
      </c>
      <c r="AU2465" t="s">
        <v>13106</v>
      </c>
    </row>
    <row r="2466" spans="1:48">
      <c r="A2466" s="1">
        <f>HYPERLINK("https://cms.ls-nyc.org/matter/dynamic-profile/view/1893957","19-1893957")</f>
        <v>0</v>
      </c>
      <c r="B2466" t="s">
        <v>97</v>
      </c>
      <c r="C2466" t="s">
        <v>335</v>
      </c>
      <c r="E2466" t="s">
        <v>1770</v>
      </c>
      <c r="F2466" t="s">
        <v>2390</v>
      </c>
      <c r="G2466" t="s">
        <v>3939</v>
      </c>
      <c r="H2466" t="s">
        <v>5446</v>
      </c>
      <c r="I2466" t="s">
        <v>6047</v>
      </c>
      <c r="J2466">
        <v>10456</v>
      </c>
      <c r="K2466" t="s">
        <v>6074</v>
      </c>
      <c r="L2466" t="s">
        <v>6074</v>
      </c>
      <c r="N2466" t="s">
        <v>6104</v>
      </c>
      <c r="O2466" t="s">
        <v>7306</v>
      </c>
      <c r="Q2466" t="s">
        <v>7322</v>
      </c>
      <c r="R2466" t="s">
        <v>6076</v>
      </c>
      <c r="S2466" t="s">
        <v>7324</v>
      </c>
      <c r="U2466" t="s">
        <v>335</v>
      </c>
      <c r="V2466">
        <v>1404.38</v>
      </c>
      <c r="W2466" t="s">
        <v>7363</v>
      </c>
      <c r="X2466" t="s">
        <v>7376</v>
      </c>
      <c r="Z2466" t="s">
        <v>9189</v>
      </c>
      <c r="AB2466" t="s">
        <v>11871</v>
      </c>
      <c r="AC2466">
        <v>131</v>
      </c>
      <c r="AD2466" t="s">
        <v>12422</v>
      </c>
      <c r="AE2466" t="s">
        <v>6110</v>
      </c>
      <c r="AF2466">
        <v>4</v>
      </c>
      <c r="AG2466">
        <v>1</v>
      </c>
      <c r="AH2466">
        <v>1</v>
      </c>
      <c r="AI2466">
        <v>183.28</v>
      </c>
      <c r="AL2466" t="s">
        <v>12461</v>
      </c>
      <c r="AM2466">
        <v>30992</v>
      </c>
      <c r="AS2466">
        <v>1.7</v>
      </c>
      <c r="AT2466" t="s">
        <v>386</v>
      </c>
      <c r="AU2466" t="s">
        <v>97</v>
      </c>
    </row>
    <row r="2467" spans="1:48">
      <c r="A2467" s="1">
        <f>HYPERLINK("https://cms.ls-nyc.org/matter/dynamic-profile/view/1888399","19-1888399")</f>
        <v>0</v>
      </c>
      <c r="B2467" t="s">
        <v>128</v>
      </c>
      <c r="C2467" t="s">
        <v>339</v>
      </c>
      <c r="E2467" t="s">
        <v>737</v>
      </c>
      <c r="F2467" t="s">
        <v>2471</v>
      </c>
      <c r="G2467" t="s">
        <v>3934</v>
      </c>
      <c r="H2467">
        <v>55</v>
      </c>
      <c r="I2467" t="s">
        <v>6049</v>
      </c>
      <c r="J2467">
        <v>10034</v>
      </c>
      <c r="K2467" t="s">
        <v>6074</v>
      </c>
      <c r="L2467" t="s">
        <v>6074</v>
      </c>
      <c r="M2467" t="s">
        <v>6500</v>
      </c>
      <c r="N2467" t="s">
        <v>7273</v>
      </c>
      <c r="O2467" t="s">
        <v>7308</v>
      </c>
      <c r="Q2467" t="s">
        <v>7322</v>
      </c>
      <c r="R2467" t="s">
        <v>6074</v>
      </c>
      <c r="S2467" t="s">
        <v>7324</v>
      </c>
      <c r="U2467" t="s">
        <v>339</v>
      </c>
      <c r="V2467">
        <v>925.0700000000001</v>
      </c>
      <c r="W2467" t="s">
        <v>7365</v>
      </c>
      <c r="X2467" t="s">
        <v>7367</v>
      </c>
      <c r="Z2467" t="s">
        <v>9280</v>
      </c>
      <c r="AB2467" t="s">
        <v>11958</v>
      </c>
      <c r="AC2467">
        <v>25</v>
      </c>
      <c r="AD2467" t="s">
        <v>12422</v>
      </c>
      <c r="AE2467" t="s">
        <v>12434</v>
      </c>
      <c r="AF2467">
        <v>27</v>
      </c>
      <c r="AG2467">
        <v>2</v>
      </c>
      <c r="AH2467">
        <v>0</v>
      </c>
      <c r="AI2467">
        <v>183.32</v>
      </c>
      <c r="AL2467" t="s">
        <v>12461</v>
      </c>
      <c r="AM2467">
        <v>31000</v>
      </c>
      <c r="AS2467">
        <v>1.42</v>
      </c>
      <c r="AT2467" t="s">
        <v>457</v>
      </c>
      <c r="AU2467" t="s">
        <v>13106</v>
      </c>
      <c r="AV2467" t="s">
        <v>13145</v>
      </c>
    </row>
    <row r="2468" spans="1:48">
      <c r="A2468" s="1">
        <f>HYPERLINK("https://cms.ls-nyc.org/matter/dynamic-profile/view/1897124","19-1897124")</f>
        <v>0</v>
      </c>
      <c r="B2468" t="s">
        <v>61</v>
      </c>
      <c r="C2468" t="s">
        <v>279</v>
      </c>
      <c r="E2468" t="s">
        <v>1771</v>
      </c>
      <c r="F2468" t="s">
        <v>2059</v>
      </c>
      <c r="G2468" t="s">
        <v>5059</v>
      </c>
      <c r="I2468" t="s">
        <v>6039</v>
      </c>
      <c r="J2468">
        <v>11368</v>
      </c>
      <c r="K2468" t="s">
        <v>6074</v>
      </c>
      <c r="L2468" t="s">
        <v>6074</v>
      </c>
      <c r="M2468" t="s">
        <v>7077</v>
      </c>
      <c r="N2468" t="s">
        <v>7275</v>
      </c>
      <c r="O2468" t="s">
        <v>7309</v>
      </c>
      <c r="Q2468" t="s">
        <v>7322</v>
      </c>
      <c r="R2468" t="s">
        <v>6076</v>
      </c>
      <c r="S2468" t="s">
        <v>7324</v>
      </c>
      <c r="T2468" t="s">
        <v>7338</v>
      </c>
      <c r="U2468" t="s">
        <v>279</v>
      </c>
      <c r="V2468">
        <v>2010</v>
      </c>
      <c r="W2468" t="s">
        <v>7361</v>
      </c>
      <c r="X2468" t="s">
        <v>7366</v>
      </c>
      <c r="Z2468" t="s">
        <v>9281</v>
      </c>
      <c r="AB2468" t="s">
        <v>11959</v>
      </c>
      <c r="AC2468">
        <v>232</v>
      </c>
      <c r="AD2468" t="s">
        <v>12422</v>
      </c>
      <c r="AF2468">
        <v>1</v>
      </c>
      <c r="AG2468">
        <v>1</v>
      </c>
      <c r="AH2468">
        <v>2</v>
      </c>
      <c r="AI2468">
        <v>183.33</v>
      </c>
      <c r="AL2468" t="s">
        <v>12460</v>
      </c>
      <c r="AM2468">
        <v>39104.04</v>
      </c>
      <c r="AS2468">
        <v>0</v>
      </c>
      <c r="AU2468" t="s">
        <v>66</v>
      </c>
    </row>
    <row r="2469" spans="1:48">
      <c r="A2469" s="1">
        <f>HYPERLINK("https://cms.ls-nyc.org/matter/dynamic-profile/view/1893945","19-1893945")</f>
        <v>0</v>
      </c>
      <c r="B2469" t="s">
        <v>66</v>
      </c>
      <c r="C2469" t="s">
        <v>335</v>
      </c>
      <c r="E2469" t="s">
        <v>1771</v>
      </c>
      <c r="F2469" t="s">
        <v>2059</v>
      </c>
      <c r="G2469" t="s">
        <v>5059</v>
      </c>
      <c r="I2469" t="s">
        <v>6039</v>
      </c>
      <c r="J2469">
        <v>11368</v>
      </c>
      <c r="K2469" t="s">
        <v>6074</v>
      </c>
      <c r="L2469" t="s">
        <v>6074</v>
      </c>
      <c r="M2469" t="s">
        <v>7077</v>
      </c>
      <c r="N2469" t="s">
        <v>7276</v>
      </c>
      <c r="O2469" t="s">
        <v>7308</v>
      </c>
      <c r="Q2469" t="s">
        <v>7322</v>
      </c>
      <c r="R2469" t="s">
        <v>6076</v>
      </c>
      <c r="S2469" t="s">
        <v>7324</v>
      </c>
      <c r="T2469" t="s">
        <v>7338</v>
      </c>
      <c r="U2469" t="s">
        <v>335</v>
      </c>
      <c r="V2469">
        <v>2010</v>
      </c>
      <c r="W2469" t="s">
        <v>7361</v>
      </c>
      <c r="X2469" t="s">
        <v>7366</v>
      </c>
      <c r="Z2469" t="s">
        <v>9281</v>
      </c>
      <c r="AB2469" t="s">
        <v>11959</v>
      </c>
      <c r="AC2469">
        <v>232</v>
      </c>
      <c r="AD2469" t="s">
        <v>12422</v>
      </c>
      <c r="AE2469" t="s">
        <v>6110</v>
      </c>
      <c r="AF2469">
        <v>1</v>
      </c>
      <c r="AG2469">
        <v>1</v>
      </c>
      <c r="AH2469">
        <v>2</v>
      </c>
      <c r="AI2469">
        <v>183.33</v>
      </c>
      <c r="AL2469" t="s">
        <v>12460</v>
      </c>
      <c r="AM2469">
        <v>39104</v>
      </c>
      <c r="AS2469">
        <v>26.1</v>
      </c>
      <c r="AT2469" t="s">
        <v>382</v>
      </c>
      <c r="AU2469" t="s">
        <v>189</v>
      </c>
    </row>
    <row r="2470" spans="1:48">
      <c r="A2470" s="1">
        <f>HYPERLINK("https://cms.ls-nyc.org/matter/dynamic-profile/view/1899661","19-1899661")</f>
        <v>0</v>
      </c>
      <c r="B2470" t="s">
        <v>69</v>
      </c>
      <c r="C2470" t="s">
        <v>446</v>
      </c>
      <c r="D2470" t="s">
        <v>317</v>
      </c>
      <c r="E2470" t="s">
        <v>686</v>
      </c>
      <c r="F2470" t="s">
        <v>3300</v>
      </c>
      <c r="G2470" t="s">
        <v>5060</v>
      </c>
      <c r="H2470" t="s">
        <v>5387</v>
      </c>
      <c r="I2470" t="s">
        <v>6043</v>
      </c>
      <c r="J2470">
        <v>11206</v>
      </c>
      <c r="K2470" t="s">
        <v>6074</v>
      </c>
      <c r="L2470" t="s">
        <v>6075</v>
      </c>
      <c r="O2470" t="s">
        <v>7306</v>
      </c>
      <c r="P2470" t="s">
        <v>7314</v>
      </c>
      <c r="Q2470" t="s">
        <v>7322</v>
      </c>
      <c r="S2470" t="s">
        <v>7324</v>
      </c>
      <c r="U2470" t="s">
        <v>446</v>
      </c>
      <c r="V2470">
        <v>0</v>
      </c>
      <c r="W2470" t="s">
        <v>7362</v>
      </c>
      <c r="Y2470" t="s">
        <v>7395</v>
      </c>
      <c r="Z2470" t="s">
        <v>9282</v>
      </c>
      <c r="AB2470" t="s">
        <v>11960</v>
      </c>
      <c r="AC2470">
        <v>0</v>
      </c>
      <c r="AF2470">
        <v>0</v>
      </c>
      <c r="AG2470">
        <v>1</v>
      </c>
      <c r="AH2470">
        <v>0</v>
      </c>
      <c r="AI2470">
        <v>184.15</v>
      </c>
      <c r="AL2470" t="s">
        <v>12460</v>
      </c>
      <c r="AM2470">
        <v>23000</v>
      </c>
      <c r="AS2470">
        <v>0.5</v>
      </c>
      <c r="AT2470" t="s">
        <v>317</v>
      </c>
      <c r="AU2470" t="s">
        <v>69</v>
      </c>
    </row>
    <row r="2471" spans="1:48">
      <c r="A2471" s="1">
        <f>HYPERLINK("https://cms.ls-nyc.org/matter/dynamic-profile/view/1890547","19-1890547")</f>
        <v>0</v>
      </c>
      <c r="B2471" t="s">
        <v>98</v>
      </c>
      <c r="C2471" t="s">
        <v>448</v>
      </c>
      <c r="D2471" t="s">
        <v>554</v>
      </c>
      <c r="E2471" t="s">
        <v>630</v>
      </c>
      <c r="F2471" t="s">
        <v>3301</v>
      </c>
      <c r="G2471" t="s">
        <v>5061</v>
      </c>
      <c r="H2471" t="s">
        <v>5880</v>
      </c>
      <c r="I2471" t="s">
        <v>6047</v>
      </c>
      <c r="J2471">
        <v>10452</v>
      </c>
      <c r="K2471" t="s">
        <v>6074</v>
      </c>
      <c r="L2471" t="s">
        <v>6074</v>
      </c>
      <c r="M2471" t="s">
        <v>6844</v>
      </c>
      <c r="N2471" t="s">
        <v>7276</v>
      </c>
      <c r="O2471" t="s">
        <v>7308</v>
      </c>
      <c r="P2471" t="s">
        <v>7316</v>
      </c>
      <c r="Q2471" t="s">
        <v>7322</v>
      </c>
      <c r="R2471" t="s">
        <v>6076</v>
      </c>
      <c r="S2471" t="s">
        <v>7324</v>
      </c>
      <c r="T2471" t="s">
        <v>7338</v>
      </c>
      <c r="U2471" t="s">
        <v>329</v>
      </c>
      <c r="V2471">
        <v>876</v>
      </c>
      <c r="W2471" t="s">
        <v>7363</v>
      </c>
      <c r="X2471" t="s">
        <v>7366</v>
      </c>
      <c r="Y2471" t="s">
        <v>7388</v>
      </c>
      <c r="Z2471" t="s">
        <v>9283</v>
      </c>
      <c r="AB2471" t="s">
        <v>11961</v>
      </c>
      <c r="AC2471">
        <v>120</v>
      </c>
      <c r="AD2471" t="s">
        <v>12422</v>
      </c>
      <c r="AE2471" t="s">
        <v>12441</v>
      </c>
      <c r="AF2471">
        <v>28</v>
      </c>
      <c r="AG2471">
        <v>1</v>
      </c>
      <c r="AH2471">
        <v>0</v>
      </c>
      <c r="AI2471">
        <v>184.15</v>
      </c>
      <c r="AL2471" t="s">
        <v>12460</v>
      </c>
      <c r="AM2471">
        <v>23000</v>
      </c>
      <c r="AO2471" t="s">
        <v>12847</v>
      </c>
      <c r="AP2471" t="s">
        <v>12903</v>
      </c>
      <c r="AQ2471" t="s">
        <v>12909</v>
      </c>
      <c r="AR2471" t="s">
        <v>13046</v>
      </c>
      <c r="AS2471">
        <v>31.5</v>
      </c>
      <c r="AT2471" t="s">
        <v>505</v>
      </c>
      <c r="AU2471" t="s">
        <v>13104</v>
      </c>
      <c r="AV2471" t="s">
        <v>13145</v>
      </c>
    </row>
    <row r="2472" spans="1:48">
      <c r="A2472" s="1">
        <f>HYPERLINK("https://cms.ls-nyc.org/matter/dynamic-profile/view/1878313","18-1878313")</f>
        <v>0</v>
      </c>
      <c r="B2472" t="s">
        <v>140</v>
      </c>
      <c r="C2472" t="s">
        <v>373</v>
      </c>
      <c r="E2472" t="s">
        <v>891</v>
      </c>
      <c r="F2472" t="s">
        <v>3302</v>
      </c>
      <c r="G2472" t="s">
        <v>5062</v>
      </c>
      <c r="H2472" t="s">
        <v>5537</v>
      </c>
      <c r="I2472" t="s">
        <v>6049</v>
      </c>
      <c r="J2472">
        <v>10128</v>
      </c>
      <c r="K2472" t="s">
        <v>6074</v>
      </c>
      <c r="L2472" t="s">
        <v>6074</v>
      </c>
      <c r="M2472" t="s">
        <v>7078</v>
      </c>
      <c r="N2472" t="s">
        <v>7276</v>
      </c>
      <c r="O2472" t="s">
        <v>7306</v>
      </c>
      <c r="Q2472" t="s">
        <v>7322</v>
      </c>
      <c r="R2472" t="s">
        <v>6076</v>
      </c>
      <c r="S2472" t="s">
        <v>7324</v>
      </c>
      <c r="U2472" t="s">
        <v>373</v>
      </c>
      <c r="V2472">
        <v>1741.4</v>
      </c>
      <c r="W2472" t="s">
        <v>7365</v>
      </c>
      <c r="X2472" t="s">
        <v>7305</v>
      </c>
      <c r="Z2472" t="s">
        <v>9284</v>
      </c>
      <c r="AB2472" t="s">
        <v>11962</v>
      </c>
      <c r="AC2472">
        <v>20</v>
      </c>
      <c r="AD2472" t="s">
        <v>12422</v>
      </c>
      <c r="AE2472" t="s">
        <v>6110</v>
      </c>
      <c r="AF2472">
        <v>28</v>
      </c>
      <c r="AG2472">
        <v>1</v>
      </c>
      <c r="AH2472">
        <v>0</v>
      </c>
      <c r="AI2472">
        <v>184.18</v>
      </c>
      <c r="AL2472" t="s">
        <v>12460</v>
      </c>
      <c r="AM2472">
        <v>22360</v>
      </c>
      <c r="AS2472">
        <v>1.8</v>
      </c>
      <c r="AT2472" t="s">
        <v>425</v>
      </c>
      <c r="AU2472" t="s">
        <v>13107</v>
      </c>
    </row>
    <row r="2473" spans="1:48">
      <c r="A2473" s="1">
        <f>HYPERLINK("https://cms.ls-nyc.org/matter/dynamic-profile/view/1873754","18-1873754")</f>
        <v>0</v>
      </c>
      <c r="B2473" t="s">
        <v>97</v>
      </c>
      <c r="C2473" t="s">
        <v>402</v>
      </c>
      <c r="D2473" t="s">
        <v>402</v>
      </c>
      <c r="E2473" t="s">
        <v>1772</v>
      </c>
      <c r="F2473" t="s">
        <v>3303</v>
      </c>
      <c r="G2473" t="s">
        <v>5063</v>
      </c>
      <c r="H2473">
        <v>1</v>
      </c>
      <c r="I2473" t="s">
        <v>6047</v>
      </c>
      <c r="J2473">
        <v>10459</v>
      </c>
      <c r="K2473" t="s">
        <v>6074</v>
      </c>
      <c r="L2473" t="s">
        <v>6074</v>
      </c>
      <c r="N2473" t="s">
        <v>6104</v>
      </c>
      <c r="O2473" t="s">
        <v>7306</v>
      </c>
      <c r="P2473" t="s">
        <v>7314</v>
      </c>
      <c r="Q2473" t="s">
        <v>7322</v>
      </c>
      <c r="R2473" t="s">
        <v>6076</v>
      </c>
      <c r="S2473" t="s">
        <v>7326</v>
      </c>
      <c r="U2473" t="s">
        <v>467</v>
      </c>
      <c r="V2473">
        <v>1599.75</v>
      </c>
      <c r="W2473" t="s">
        <v>7363</v>
      </c>
      <c r="X2473" t="s">
        <v>7368</v>
      </c>
      <c r="Y2473" t="s">
        <v>7386</v>
      </c>
      <c r="Z2473" t="s">
        <v>9285</v>
      </c>
      <c r="AA2473" t="s">
        <v>10265</v>
      </c>
      <c r="AB2473" t="s">
        <v>11963</v>
      </c>
      <c r="AC2473">
        <v>53</v>
      </c>
      <c r="AD2473" t="s">
        <v>12422</v>
      </c>
      <c r="AE2473" t="s">
        <v>6110</v>
      </c>
      <c r="AF2473">
        <v>5</v>
      </c>
      <c r="AG2473">
        <v>3</v>
      </c>
      <c r="AH2473">
        <v>2</v>
      </c>
      <c r="AI2473">
        <v>184.41</v>
      </c>
      <c r="AL2473" t="s">
        <v>12461</v>
      </c>
      <c r="AM2473">
        <v>54254.2</v>
      </c>
      <c r="AS2473">
        <v>1</v>
      </c>
      <c r="AT2473" t="s">
        <v>402</v>
      </c>
      <c r="AU2473" t="s">
        <v>97</v>
      </c>
    </row>
    <row r="2474" spans="1:48">
      <c r="A2474" s="1">
        <f>HYPERLINK("https://cms.ls-nyc.org/matter/dynamic-profile/view/1895315","19-1895315")</f>
        <v>0</v>
      </c>
      <c r="B2474" t="s">
        <v>174</v>
      </c>
      <c r="C2474" t="s">
        <v>247</v>
      </c>
      <c r="E2474" t="s">
        <v>1010</v>
      </c>
      <c r="F2474" t="s">
        <v>3304</v>
      </c>
      <c r="G2474" t="s">
        <v>4855</v>
      </c>
      <c r="H2474" t="s">
        <v>5439</v>
      </c>
      <c r="I2474" t="s">
        <v>6043</v>
      </c>
      <c r="J2474">
        <v>11221</v>
      </c>
      <c r="K2474" t="s">
        <v>6076</v>
      </c>
      <c r="L2474" t="s">
        <v>6076</v>
      </c>
      <c r="N2474" t="s">
        <v>7287</v>
      </c>
      <c r="O2474" t="s">
        <v>7308</v>
      </c>
      <c r="Q2474" t="s">
        <v>7322</v>
      </c>
      <c r="R2474" t="s">
        <v>6074</v>
      </c>
      <c r="S2474" t="s">
        <v>7324</v>
      </c>
      <c r="U2474" t="s">
        <v>247</v>
      </c>
      <c r="V2474">
        <v>1292.5</v>
      </c>
      <c r="W2474" t="s">
        <v>7362</v>
      </c>
      <c r="Z2474" t="s">
        <v>8967</v>
      </c>
      <c r="AB2474" t="s">
        <v>11964</v>
      </c>
      <c r="AC2474">
        <v>16</v>
      </c>
      <c r="AD2474" t="s">
        <v>12422</v>
      </c>
      <c r="AE2474" t="s">
        <v>6110</v>
      </c>
      <c r="AF2474">
        <v>10</v>
      </c>
      <c r="AG2474">
        <v>2</v>
      </c>
      <c r="AH2474">
        <v>0</v>
      </c>
      <c r="AI2474">
        <v>184.51</v>
      </c>
      <c r="AL2474" t="s">
        <v>12460</v>
      </c>
      <c r="AM2474">
        <v>31200</v>
      </c>
      <c r="AS2474">
        <v>7</v>
      </c>
      <c r="AT2474" t="s">
        <v>501</v>
      </c>
      <c r="AU2474" t="s">
        <v>218</v>
      </c>
    </row>
    <row r="2475" spans="1:48">
      <c r="A2475" s="1">
        <f>HYPERLINK("https://cms.ls-nyc.org/matter/dynamic-profile/view/1889954","19-1889954")</f>
        <v>0</v>
      </c>
      <c r="B2475" t="s">
        <v>96</v>
      </c>
      <c r="C2475" t="s">
        <v>351</v>
      </c>
      <c r="E2475" t="s">
        <v>1773</v>
      </c>
      <c r="F2475" t="s">
        <v>3057</v>
      </c>
      <c r="G2475" t="s">
        <v>3792</v>
      </c>
      <c r="H2475" t="s">
        <v>5558</v>
      </c>
      <c r="I2475" t="s">
        <v>6047</v>
      </c>
      <c r="J2475">
        <v>10453</v>
      </c>
      <c r="K2475" t="s">
        <v>6074</v>
      </c>
      <c r="L2475" t="s">
        <v>6074</v>
      </c>
      <c r="N2475" t="s">
        <v>7279</v>
      </c>
      <c r="O2475" t="s">
        <v>7311</v>
      </c>
      <c r="Q2475" t="s">
        <v>7322</v>
      </c>
      <c r="R2475" t="s">
        <v>6074</v>
      </c>
      <c r="S2475" t="s">
        <v>7324</v>
      </c>
      <c r="U2475" t="s">
        <v>457</v>
      </c>
      <c r="V2475">
        <v>950</v>
      </c>
      <c r="W2475" t="s">
        <v>7363</v>
      </c>
      <c r="X2475" t="s">
        <v>7375</v>
      </c>
      <c r="Z2475" t="s">
        <v>8154</v>
      </c>
      <c r="AB2475" t="s">
        <v>11965</v>
      </c>
      <c r="AC2475">
        <v>0</v>
      </c>
      <c r="AD2475" t="s">
        <v>12422</v>
      </c>
      <c r="AE2475" t="s">
        <v>6110</v>
      </c>
      <c r="AF2475">
        <v>5</v>
      </c>
      <c r="AG2475">
        <v>2</v>
      </c>
      <c r="AH2475">
        <v>0</v>
      </c>
      <c r="AI2475">
        <v>184.51</v>
      </c>
      <c r="AL2475" t="s">
        <v>12461</v>
      </c>
      <c r="AM2475">
        <v>31200</v>
      </c>
      <c r="AS2475">
        <v>0</v>
      </c>
      <c r="AU2475" t="s">
        <v>13093</v>
      </c>
    </row>
    <row r="2476" spans="1:48">
      <c r="A2476" s="1">
        <f>HYPERLINK("https://cms.ls-nyc.org/matter/dynamic-profile/view/1889980","19-1889980")</f>
        <v>0</v>
      </c>
      <c r="B2476" t="s">
        <v>96</v>
      </c>
      <c r="C2476" t="s">
        <v>351</v>
      </c>
      <c r="E2476" t="s">
        <v>1773</v>
      </c>
      <c r="F2476" t="s">
        <v>3057</v>
      </c>
      <c r="G2476" t="s">
        <v>3792</v>
      </c>
      <c r="H2476" t="s">
        <v>5558</v>
      </c>
      <c r="I2476" t="s">
        <v>6047</v>
      </c>
      <c r="J2476">
        <v>10453</v>
      </c>
      <c r="K2476" t="s">
        <v>6074</v>
      </c>
      <c r="L2476" t="s">
        <v>6074</v>
      </c>
      <c r="M2476" t="s">
        <v>6259</v>
      </c>
      <c r="N2476" t="s">
        <v>7273</v>
      </c>
      <c r="O2476" t="s">
        <v>7308</v>
      </c>
      <c r="Q2476" t="s">
        <v>7322</v>
      </c>
      <c r="R2476" t="s">
        <v>6074</v>
      </c>
      <c r="S2476" t="s">
        <v>7324</v>
      </c>
      <c r="U2476" t="s">
        <v>457</v>
      </c>
      <c r="V2476">
        <v>950</v>
      </c>
      <c r="W2476" t="s">
        <v>7363</v>
      </c>
      <c r="X2476" t="s">
        <v>7376</v>
      </c>
      <c r="Z2476" t="s">
        <v>8154</v>
      </c>
      <c r="AB2476" t="s">
        <v>11965</v>
      </c>
      <c r="AC2476">
        <v>0</v>
      </c>
      <c r="AD2476" t="s">
        <v>12422</v>
      </c>
      <c r="AF2476">
        <v>5</v>
      </c>
      <c r="AG2476">
        <v>2</v>
      </c>
      <c r="AH2476">
        <v>0</v>
      </c>
      <c r="AI2476">
        <v>184.51</v>
      </c>
      <c r="AL2476" t="s">
        <v>12461</v>
      </c>
      <c r="AM2476">
        <v>31200</v>
      </c>
      <c r="AS2476">
        <v>0</v>
      </c>
      <c r="AU2476" t="s">
        <v>13093</v>
      </c>
    </row>
    <row r="2477" spans="1:48">
      <c r="A2477" s="1">
        <f>HYPERLINK("https://cms.ls-nyc.org/matter/dynamic-profile/view/1876963","18-1876963")</f>
        <v>0</v>
      </c>
      <c r="B2477" t="s">
        <v>117</v>
      </c>
      <c r="C2477" t="s">
        <v>372</v>
      </c>
      <c r="D2477" t="s">
        <v>320</v>
      </c>
      <c r="E2477" t="s">
        <v>690</v>
      </c>
      <c r="F2477" t="s">
        <v>2104</v>
      </c>
      <c r="G2477" t="s">
        <v>5064</v>
      </c>
      <c r="I2477" t="s">
        <v>6048</v>
      </c>
      <c r="J2477">
        <v>10301</v>
      </c>
      <c r="K2477" t="s">
        <v>6074</v>
      </c>
      <c r="L2477" t="s">
        <v>6074</v>
      </c>
      <c r="M2477" t="s">
        <v>7079</v>
      </c>
      <c r="N2477" t="s">
        <v>7276</v>
      </c>
      <c r="O2477" t="s">
        <v>7308</v>
      </c>
      <c r="P2477" t="s">
        <v>7316</v>
      </c>
      <c r="Q2477" t="s">
        <v>7322</v>
      </c>
      <c r="R2477" t="s">
        <v>6076</v>
      </c>
      <c r="S2477" t="s">
        <v>7324</v>
      </c>
      <c r="T2477" t="s">
        <v>7336</v>
      </c>
      <c r="U2477" t="s">
        <v>372</v>
      </c>
      <c r="V2477">
        <v>1099</v>
      </c>
      <c r="W2477" t="s">
        <v>7364</v>
      </c>
      <c r="X2477" t="s">
        <v>7367</v>
      </c>
      <c r="Y2477" t="s">
        <v>7388</v>
      </c>
      <c r="Z2477" t="s">
        <v>9286</v>
      </c>
      <c r="AC2477">
        <v>148</v>
      </c>
      <c r="AD2477" t="s">
        <v>12422</v>
      </c>
      <c r="AE2477" t="s">
        <v>6110</v>
      </c>
      <c r="AF2477">
        <v>1</v>
      </c>
      <c r="AG2477">
        <v>1</v>
      </c>
      <c r="AH2477">
        <v>0</v>
      </c>
      <c r="AI2477">
        <v>184.51</v>
      </c>
      <c r="AL2477" t="s">
        <v>12460</v>
      </c>
      <c r="AM2477">
        <v>22400</v>
      </c>
      <c r="AO2477" t="s">
        <v>12846</v>
      </c>
      <c r="AP2477" t="s">
        <v>12868</v>
      </c>
      <c r="AQ2477" t="s">
        <v>12909</v>
      </c>
      <c r="AR2477" t="s">
        <v>13047</v>
      </c>
      <c r="AS2477">
        <v>2.6</v>
      </c>
      <c r="AT2477" t="s">
        <v>320</v>
      </c>
      <c r="AU2477" t="s">
        <v>210</v>
      </c>
    </row>
    <row r="2478" spans="1:48">
      <c r="A2478" s="1">
        <f>HYPERLINK("https://cms.ls-nyc.org/matter/dynamic-profile/view/1891601","19-1891601")</f>
        <v>0</v>
      </c>
      <c r="B2478" t="s">
        <v>130</v>
      </c>
      <c r="C2478" t="s">
        <v>364</v>
      </c>
      <c r="D2478" t="s">
        <v>361</v>
      </c>
      <c r="E2478" t="s">
        <v>1745</v>
      </c>
      <c r="F2478" t="s">
        <v>3305</v>
      </c>
      <c r="G2478" t="s">
        <v>5065</v>
      </c>
      <c r="H2478" t="s">
        <v>5418</v>
      </c>
      <c r="I2478" t="s">
        <v>6049</v>
      </c>
      <c r="J2478">
        <v>10040</v>
      </c>
      <c r="K2478" t="s">
        <v>6075</v>
      </c>
      <c r="L2478" t="s">
        <v>6075</v>
      </c>
      <c r="N2478" t="s">
        <v>6104</v>
      </c>
      <c r="O2478" t="s">
        <v>7306</v>
      </c>
      <c r="P2478" t="s">
        <v>7314</v>
      </c>
      <c r="Q2478" t="s">
        <v>7322</v>
      </c>
      <c r="R2478" t="s">
        <v>6076</v>
      </c>
      <c r="S2478" t="s">
        <v>7324</v>
      </c>
      <c r="U2478" t="s">
        <v>364</v>
      </c>
      <c r="V2478">
        <v>2300</v>
      </c>
      <c r="W2478" t="s">
        <v>7365</v>
      </c>
      <c r="X2478" t="s">
        <v>7367</v>
      </c>
      <c r="Y2478" t="s">
        <v>7386</v>
      </c>
      <c r="Z2478" t="s">
        <v>9287</v>
      </c>
      <c r="AB2478" t="s">
        <v>11966</v>
      </c>
      <c r="AC2478">
        <v>55</v>
      </c>
      <c r="AD2478" t="s">
        <v>12422</v>
      </c>
      <c r="AE2478" t="s">
        <v>6110</v>
      </c>
      <c r="AF2478">
        <v>11</v>
      </c>
      <c r="AG2478">
        <v>2</v>
      </c>
      <c r="AH2478">
        <v>2</v>
      </c>
      <c r="AI2478">
        <v>184.85</v>
      </c>
      <c r="AL2478" t="s">
        <v>12461</v>
      </c>
      <c r="AM2478">
        <v>47600</v>
      </c>
      <c r="AS2478">
        <v>2.43</v>
      </c>
      <c r="AT2478" t="s">
        <v>313</v>
      </c>
      <c r="AU2478" t="s">
        <v>13108</v>
      </c>
    </row>
    <row r="2479" spans="1:48">
      <c r="A2479" s="1">
        <f>HYPERLINK("https://cms.ls-nyc.org/matter/dynamic-profile/view/1898973","19-1898973")</f>
        <v>0</v>
      </c>
      <c r="B2479" t="s">
        <v>132</v>
      </c>
      <c r="C2479" t="s">
        <v>276</v>
      </c>
      <c r="E2479" t="s">
        <v>1774</v>
      </c>
      <c r="F2479" t="s">
        <v>2360</v>
      </c>
      <c r="G2479" t="s">
        <v>4589</v>
      </c>
      <c r="I2479" t="s">
        <v>6049</v>
      </c>
      <c r="J2479">
        <v>10040</v>
      </c>
      <c r="K2479" t="s">
        <v>6074</v>
      </c>
      <c r="L2479" t="s">
        <v>6075</v>
      </c>
      <c r="N2479" t="s">
        <v>7276</v>
      </c>
      <c r="O2479" t="s">
        <v>7308</v>
      </c>
      <c r="Q2479" t="s">
        <v>7322</v>
      </c>
      <c r="R2479" t="s">
        <v>6074</v>
      </c>
      <c r="S2479" t="s">
        <v>7324</v>
      </c>
      <c r="U2479" t="s">
        <v>276</v>
      </c>
      <c r="V2479">
        <v>1147</v>
      </c>
      <c r="W2479" t="s">
        <v>7365</v>
      </c>
      <c r="X2479" t="s">
        <v>7368</v>
      </c>
      <c r="Z2479" t="s">
        <v>9288</v>
      </c>
      <c r="AB2479" t="s">
        <v>11967</v>
      </c>
      <c r="AC2479">
        <v>44</v>
      </c>
      <c r="AD2479" t="s">
        <v>12422</v>
      </c>
      <c r="AE2479" t="s">
        <v>6110</v>
      </c>
      <c r="AF2479">
        <v>8</v>
      </c>
      <c r="AG2479">
        <v>3</v>
      </c>
      <c r="AH2479">
        <v>0</v>
      </c>
      <c r="AI2479">
        <v>184.87</v>
      </c>
      <c r="AL2479" t="s">
        <v>12461</v>
      </c>
      <c r="AM2479">
        <v>39432</v>
      </c>
      <c r="AS2479">
        <v>1.5</v>
      </c>
      <c r="AT2479" t="s">
        <v>564</v>
      </c>
      <c r="AU2479" t="s">
        <v>13106</v>
      </c>
      <c r="AV2479" t="s">
        <v>13145</v>
      </c>
    </row>
    <row r="2480" spans="1:48">
      <c r="A2480" s="1">
        <f>HYPERLINK("https://cms.ls-nyc.org/matter/dynamic-profile/view/1894678","19-1894678")</f>
        <v>0</v>
      </c>
      <c r="B2480" t="s">
        <v>199</v>
      </c>
      <c r="C2480" t="s">
        <v>235</v>
      </c>
      <c r="E2480" t="s">
        <v>637</v>
      </c>
      <c r="F2480" t="s">
        <v>3306</v>
      </c>
      <c r="G2480" t="s">
        <v>5066</v>
      </c>
      <c r="H2480">
        <v>45</v>
      </c>
      <c r="I2480" t="s">
        <v>6049</v>
      </c>
      <c r="J2480">
        <v>10032</v>
      </c>
      <c r="K2480" t="s">
        <v>6074</v>
      </c>
      <c r="L2480" t="s">
        <v>6074</v>
      </c>
      <c r="M2480" t="s">
        <v>7080</v>
      </c>
      <c r="N2480" t="s">
        <v>7276</v>
      </c>
      <c r="O2480" t="s">
        <v>7307</v>
      </c>
      <c r="Q2480" t="s">
        <v>7322</v>
      </c>
      <c r="R2480" t="s">
        <v>6076</v>
      </c>
      <c r="S2480" t="s">
        <v>7324</v>
      </c>
      <c r="U2480" t="s">
        <v>235</v>
      </c>
      <c r="V2480">
        <v>1088.62</v>
      </c>
      <c r="W2480" t="s">
        <v>7365</v>
      </c>
      <c r="X2480" t="s">
        <v>7366</v>
      </c>
      <c r="Z2480" t="s">
        <v>9289</v>
      </c>
      <c r="AB2480" t="s">
        <v>11968</v>
      </c>
      <c r="AC2480">
        <v>0</v>
      </c>
      <c r="AD2480" t="s">
        <v>12422</v>
      </c>
      <c r="AE2480" t="s">
        <v>6110</v>
      </c>
      <c r="AF2480">
        <v>16</v>
      </c>
      <c r="AG2480">
        <v>5</v>
      </c>
      <c r="AH2480">
        <v>1</v>
      </c>
      <c r="AI2480">
        <v>185.02</v>
      </c>
      <c r="AL2480" t="s">
        <v>12461</v>
      </c>
      <c r="AM2480">
        <v>64000</v>
      </c>
      <c r="AS2480">
        <v>0.5</v>
      </c>
      <c r="AT2480" t="s">
        <v>279</v>
      </c>
      <c r="AU2480" t="s">
        <v>13109</v>
      </c>
    </row>
    <row r="2481" spans="1:48">
      <c r="A2481" s="1">
        <f>HYPERLINK("https://cms.ls-nyc.org/matter/dynamic-profile/view/1877487","18-1877487")</f>
        <v>0</v>
      </c>
      <c r="B2481" t="s">
        <v>72</v>
      </c>
      <c r="C2481" t="s">
        <v>372</v>
      </c>
      <c r="E2481" t="s">
        <v>1775</v>
      </c>
      <c r="F2481" t="s">
        <v>3138</v>
      </c>
      <c r="G2481" t="s">
        <v>5067</v>
      </c>
      <c r="H2481" t="s">
        <v>5881</v>
      </c>
      <c r="I2481" t="s">
        <v>6043</v>
      </c>
      <c r="J2481">
        <v>11239</v>
      </c>
      <c r="K2481" t="s">
        <v>6074</v>
      </c>
      <c r="L2481" t="s">
        <v>6074</v>
      </c>
      <c r="M2481" t="s">
        <v>7081</v>
      </c>
      <c r="N2481" t="s">
        <v>7276</v>
      </c>
      <c r="O2481" t="s">
        <v>7308</v>
      </c>
      <c r="Q2481" t="s">
        <v>7322</v>
      </c>
      <c r="R2481" t="s">
        <v>6076</v>
      </c>
      <c r="S2481" t="s">
        <v>7324</v>
      </c>
      <c r="U2481" t="s">
        <v>238</v>
      </c>
      <c r="V2481">
        <v>2300</v>
      </c>
      <c r="W2481" t="s">
        <v>7362</v>
      </c>
      <c r="X2481" t="s">
        <v>7368</v>
      </c>
      <c r="Z2481" t="s">
        <v>9290</v>
      </c>
      <c r="AB2481" t="s">
        <v>11969</v>
      </c>
      <c r="AC2481">
        <v>1463</v>
      </c>
      <c r="AD2481" t="s">
        <v>12420</v>
      </c>
      <c r="AE2481" t="s">
        <v>12434</v>
      </c>
      <c r="AF2481">
        <v>3</v>
      </c>
      <c r="AG2481">
        <v>1</v>
      </c>
      <c r="AH2481">
        <v>2</v>
      </c>
      <c r="AI2481">
        <v>185.27</v>
      </c>
      <c r="AL2481" t="s">
        <v>12460</v>
      </c>
      <c r="AM2481">
        <v>38500</v>
      </c>
      <c r="AN2481" t="s">
        <v>12491</v>
      </c>
      <c r="AS2481">
        <v>6.5</v>
      </c>
      <c r="AT2481" t="s">
        <v>313</v>
      </c>
      <c r="AU2481" t="s">
        <v>218</v>
      </c>
    </row>
    <row r="2482" spans="1:48">
      <c r="A2482" s="1">
        <f>HYPERLINK("https://cms.ls-nyc.org/matter/dynamic-profile/view/1889830","19-1889830")</f>
        <v>0</v>
      </c>
      <c r="B2482" t="s">
        <v>96</v>
      </c>
      <c r="C2482" t="s">
        <v>286</v>
      </c>
      <c r="D2482" t="s">
        <v>287</v>
      </c>
      <c r="E2482" t="s">
        <v>1776</v>
      </c>
      <c r="F2482" t="s">
        <v>3307</v>
      </c>
      <c r="G2482" t="s">
        <v>5068</v>
      </c>
      <c r="H2482" t="s">
        <v>5350</v>
      </c>
      <c r="I2482" t="s">
        <v>6047</v>
      </c>
      <c r="J2482">
        <v>10452</v>
      </c>
      <c r="K2482" t="s">
        <v>6074</v>
      </c>
      <c r="L2482" t="s">
        <v>6074</v>
      </c>
      <c r="O2482" t="s">
        <v>7306</v>
      </c>
      <c r="P2482" t="s">
        <v>7314</v>
      </c>
      <c r="Q2482" t="s">
        <v>7322</v>
      </c>
      <c r="R2482" t="s">
        <v>6076</v>
      </c>
      <c r="S2482" t="s">
        <v>7324</v>
      </c>
      <c r="U2482" t="s">
        <v>359</v>
      </c>
      <c r="V2482">
        <v>788.67</v>
      </c>
      <c r="W2482" t="s">
        <v>7363</v>
      </c>
      <c r="X2482" t="s">
        <v>7376</v>
      </c>
      <c r="Y2482" t="s">
        <v>7386</v>
      </c>
      <c r="Z2482" t="s">
        <v>9291</v>
      </c>
      <c r="AB2482" t="s">
        <v>11970</v>
      </c>
      <c r="AC2482">
        <v>62</v>
      </c>
      <c r="AD2482" t="s">
        <v>12419</v>
      </c>
      <c r="AE2482" t="s">
        <v>6110</v>
      </c>
      <c r="AF2482">
        <v>29</v>
      </c>
      <c r="AG2482">
        <v>2</v>
      </c>
      <c r="AH2482">
        <v>1</v>
      </c>
      <c r="AI2482">
        <v>185.28</v>
      </c>
      <c r="AL2482" t="s">
        <v>12461</v>
      </c>
      <c r="AM2482">
        <v>39520</v>
      </c>
      <c r="AS2482">
        <v>0.1</v>
      </c>
      <c r="AT2482" t="s">
        <v>393</v>
      </c>
      <c r="AU2482" t="s">
        <v>13092</v>
      </c>
    </row>
    <row r="2483" spans="1:48">
      <c r="A2483" s="1">
        <f>HYPERLINK("https://cms.ls-nyc.org/matter/dynamic-profile/view/1895560","19-1895560")</f>
        <v>0</v>
      </c>
      <c r="B2483" t="s">
        <v>118</v>
      </c>
      <c r="C2483" t="s">
        <v>302</v>
      </c>
      <c r="D2483" t="s">
        <v>260</v>
      </c>
      <c r="E2483" t="s">
        <v>1777</v>
      </c>
      <c r="F2483" t="s">
        <v>2584</v>
      </c>
      <c r="G2483" t="s">
        <v>5064</v>
      </c>
      <c r="H2483" t="s">
        <v>5857</v>
      </c>
      <c r="I2483" t="s">
        <v>6048</v>
      </c>
      <c r="J2483">
        <v>10301</v>
      </c>
      <c r="K2483" t="s">
        <v>6075</v>
      </c>
      <c r="L2483" t="s">
        <v>6075</v>
      </c>
      <c r="M2483" t="s">
        <v>7082</v>
      </c>
      <c r="N2483" t="s">
        <v>7276</v>
      </c>
      <c r="O2483" t="s">
        <v>7308</v>
      </c>
      <c r="P2483" t="s">
        <v>7316</v>
      </c>
      <c r="Q2483" t="s">
        <v>7322</v>
      </c>
      <c r="R2483" t="s">
        <v>6076</v>
      </c>
      <c r="S2483" t="s">
        <v>7324</v>
      </c>
      <c r="T2483" t="s">
        <v>7339</v>
      </c>
      <c r="U2483" t="s">
        <v>302</v>
      </c>
      <c r="V2483">
        <v>1413.57</v>
      </c>
      <c r="W2483" t="s">
        <v>7364</v>
      </c>
      <c r="X2483" t="s">
        <v>7368</v>
      </c>
      <c r="Y2483" t="s">
        <v>7388</v>
      </c>
      <c r="Z2483" t="s">
        <v>9292</v>
      </c>
      <c r="AB2483" t="s">
        <v>11971</v>
      </c>
      <c r="AC2483">
        <v>0</v>
      </c>
      <c r="AD2483" t="s">
        <v>12422</v>
      </c>
      <c r="AE2483" t="s">
        <v>6110</v>
      </c>
      <c r="AF2483">
        <v>20</v>
      </c>
      <c r="AG2483">
        <v>3</v>
      </c>
      <c r="AH2483">
        <v>0</v>
      </c>
      <c r="AI2483">
        <v>185.32</v>
      </c>
      <c r="AL2483" t="s">
        <v>12460</v>
      </c>
      <c r="AM2483">
        <v>39528</v>
      </c>
      <c r="AS2483">
        <v>11.85</v>
      </c>
      <c r="AT2483" t="s">
        <v>260</v>
      </c>
      <c r="AU2483" t="s">
        <v>13101</v>
      </c>
    </row>
    <row r="2484" spans="1:48">
      <c r="A2484" s="1">
        <f>HYPERLINK("https://cms.ls-nyc.org/matter/dynamic-profile/view/1877180","18-1877180")</f>
        <v>0</v>
      </c>
      <c r="B2484" t="s">
        <v>85</v>
      </c>
      <c r="C2484" t="s">
        <v>273</v>
      </c>
      <c r="E2484" t="s">
        <v>1778</v>
      </c>
      <c r="F2484" t="s">
        <v>3308</v>
      </c>
      <c r="G2484" t="s">
        <v>5069</v>
      </c>
      <c r="H2484">
        <v>1</v>
      </c>
      <c r="I2484" t="s">
        <v>6043</v>
      </c>
      <c r="J2484">
        <v>11203</v>
      </c>
      <c r="K2484" t="s">
        <v>6074</v>
      </c>
      <c r="L2484" t="s">
        <v>6075</v>
      </c>
      <c r="M2484" t="s">
        <v>7083</v>
      </c>
      <c r="N2484" t="s">
        <v>7276</v>
      </c>
      <c r="O2484" t="s">
        <v>7308</v>
      </c>
      <c r="Q2484" t="s">
        <v>7322</v>
      </c>
      <c r="S2484" t="s">
        <v>7324</v>
      </c>
      <c r="U2484" t="s">
        <v>350</v>
      </c>
      <c r="V2484">
        <v>2400</v>
      </c>
      <c r="W2484" t="s">
        <v>7362</v>
      </c>
      <c r="X2484" t="s">
        <v>7366</v>
      </c>
      <c r="Z2484" t="s">
        <v>9293</v>
      </c>
      <c r="AB2484" t="s">
        <v>11972</v>
      </c>
      <c r="AC2484">
        <v>15</v>
      </c>
      <c r="AE2484" t="s">
        <v>6110</v>
      </c>
      <c r="AF2484">
        <v>-2</v>
      </c>
      <c r="AG2484">
        <v>1</v>
      </c>
      <c r="AH2484">
        <v>0</v>
      </c>
      <c r="AI2484">
        <v>185.34</v>
      </c>
      <c r="AL2484" t="s">
        <v>12460</v>
      </c>
      <c r="AM2484">
        <v>22500</v>
      </c>
      <c r="AS2484">
        <v>52</v>
      </c>
      <c r="AT2484" t="s">
        <v>284</v>
      </c>
      <c r="AU2484" t="s">
        <v>13082</v>
      </c>
      <c r="AV2484" t="s">
        <v>13145</v>
      </c>
    </row>
    <row r="2485" spans="1:48">
      <c r="A2485" s="1">
        <f>HYPERLINK("https://cms.ls-nyc.org/matter/dynamic-profile/view/1891717","19-1891717")</f>
        <v>0</v>
      </c>
      <c r="B2485" t="s">
        <v>72</v>
      </c>
      <c r="C2485" t="s">
        <v>364</v>
      </c>
      <c r="E2485" t="s">
        <v>1219</v>
      </c>
      <c r="F2485" t="s">
        <v>2740</v>
      </c>
      <c r="G2485" t="s">
        <v>3700</v>
      </c>
      <c r="H2485" t="s">
        <v>5838</v>
      </c>
      <c r="I2485" t="s">
        <v>6043</v>
      </c>
      <c r="J2485">
        <v>11233</v>
      </c>
      <c r="K2485" t="s">
        <v>6074</v>
      </c>
      <c r="L2485" t="s">
        <v>6074</v>
      </c>
      <c r="M2485" t="s">
        <v>6101</v>
      </c>
      <c r="N2485" t="s">
        <v>7275</v>
      </c>
      <c r="O2485" t="s">
        <v>7307</v>
      </c>
      <c r="Q2485" t="s">
        <v>7322</v>
      </c>
      <c r="R2485" t="s">
        <v>6074</v>
      </c>
      <c r="S2485" t="s">
        <v>7324</v>
      </c>
      <c r="T2485" t="s">
        <v>7336</v>
      </c>
      <c r="U2485" t="s">
        <v>287</v>
      </c>
      <c r="V2485">
        <v>1076.55</v>
      </c>
      <c r="W2485" t="s">
        <v>7362</v>
      </c>
      <c r="Z2485" t="s">
        <v>9294</v>
      </c>
      <c r="AB2485" t="s">
        <v>11973</v>
      </c>
      <c r="AC2485">
        <v>359</v>
      </c>
      <c r="AD2485" t="s">
        <v>12422</v>
      </c>
      <c r="AE2485" t="s">
        <v>12441</v>
      </c>
      <c r="AF2485">
        <v>21</v>
      </c>
      <c r="AG2485">
        <v>1</v>
      </c>
      <c r="AH2485">
        <v>0</v>
      </c>
      <c r="AI2485">
        <v>185.37</v>
      </c>
      <c r="AL2485" t="s">
        <v>12460</v>
      </c>
      <c r="AM2485">
        <v>23152.8</v>
      </c>
      <c r="AN2485" t="s">
        <v>12692</v>
      </c>
      <c r="AS2485">
        <v>0</v>
      </c>
      <c r="AU2485" t="s">
        <v>218</v>
      </c>
    </row>
    <row r="2486" spans="1:48">
      <c r="A2486" s="1">
        <f>HYPERLINK("https://cms.ls-nyc.org/matter/dynamic-profile/view/1875602","18-1875602")</f>
        <v>0</v>
      </c>
      <c r="B2486" t="s">
        <v>176</v>
      </c>
      <c r="C2486" t="s">
        <v>233</v>
      </c>
      <c r="D2486" t="s">
        <v>281</v>
      </c>
      <c r="E2486" t="s">
        <v>1779</v>
      </c>
      <c r="F2486" t="s">
        <v>2441</v>
      </c>
      <c r="G2486" t="s">
        <v>3651</v>
      </c>
      <c r="H2486">
        <v>605</v>
      </c>
      <c r="I2486" t="s">
        <v>6024</v>
      </c>
      <c r="J2486">
        <v>11692</v>
      </c>
      <c r="K2486" t="s">
        <v>6074</v>
      </c>
      <c r="L2486" t="s">
        <v>6074</v>
      </c>
      <c r="M2486" t="s">
        <v>7084</v>
      </c>
      <c r="N2486" t="s">
        <v>7276</v>
      </c>
      <c r="O2486" t="s">
        <v>7306</v>
      </c>
      <c r="P2486" t="s">
        <v>7314</v>
      </c>
      <c r="Q2486" t="s">
        <v>7322</v>
      </c>
      <c r="R2486" t="s">
        <v>6076</v>
      </c>
      <c r="S2486" t="s">
        <v>7324</v>
      </c>
      <c r="T2486" t="s">
        <v>7339</v>
      </c>
      <c r="U2486" t="s">
        <v>233</v>
      </c>
      <c r="V2486">
        <v>1400</v>
      </c>
      <c r="W2486" t="s">
        <v>7361</v>
      </c>
      <c r="X2486" t="s">
        <v>7366</v>
      </c>
      <c r="Y2486" t="s">
        <v>7386</v>
      </c>
      <c r="Z2486" t="s">
        <v>9295</v>
      </c>
      <c r="AA2486" t="s">
        <v>6110</v>
      </c>
      <c r="AB2486" t="s">
        <v>11974</v>
      </c>
      <c r="AC2486">
        <v>217</v>
      </c>
      <c r="AD2486" t="s">
        <v>6322</v>
      </c>
      <c r="AE2486" t="s">
        <v>6110</v>
      </c>
      <c r="AF2486">
        <v>4</v>
      </c>
      <c r="AG2486">
        <v>1</v>
      </c>
      <c r="AH2486">
        <v>0</v>
      </c>
      <c r="AI2486">
        <v>185.54</v>
      </c>
      <c r="AL2486" t="s">
        <v>12460</v>
      </c>
      <c r="AM2486">
        <v>22524</v>
      </c>
      <c r="AS2486">
        <v>2.3</v>
      </c>
      <c r="AT2486" t="s">
        <v>281</v>
      </c>
      <c r="AU2486" t="s">
        <v>48</v>
      </c>
    </row>
    <row r="2487" spans="1:48">
      <c r="A2487" s="1">
        <f>HYPERLINK("https://cms.ls-nyc.org/matter/dynamic-profile/view/1878187","18-1878187")</f>
        <v>0</v>
      </c>
      <c r="B2487" t="s">
        <v>54</v>
      </c>
      <c r="C2487" t="s">
        <v>255</v>
      </c>
      <c r="E2487" t="s">
        <v>1780</v>
      </c>
      <c r="F2487" t="s">
        <v>3309</v>
      </c>
      <c r="G2487" t="s">
        <v>5070</v>
      </c>
      <c r="H2487" t="s">
        <v>5354</v>
      </c>
      <c r="I2487" t="s">
        <v>6025</v>
      </c>
      <c r="J2487">
        <v>11691</v>
      </c>
      <c r="K2487" t="s">
        <v>6074</v>
      </c>
      <c r="L2487" t="s">
        <v>6074</v>
      </c>
      <c r="M2487" t="s">
        <v>7085</v>
      </c>
      <c r="N2487" t="s">
        <v>7276</v>
      </c>
      <c r="O2487" t="s">
        <v>7310</v>
      </c>
      <c r="Q2487" t="s">
        <v>7322</v>
      </c>
      <c r="R2487" t="s">
        <v>6076</v>
      </c>
      <c r="S2487" t="s">
        <v>7324</v>
      </c>
      <c r="T2487" t="s">
        <v>7339</v>
      </c>
      <c r="U2487" t="s">
        <v>255</v>
      </c>
      <c r="V2487">
        <v>733</v>
      </c>
      <c r="W2487" t="s">
        <v>7361</v>
      </c>
      <c r="X2487" t="s">
        <v>7366</v>
      </c>
      <c r="Z2487" t="s">
        <v>9296</v>
      </c>
      <c r="AA2487" t="s">
        <v>10266</v>
      </c>
      <c r="AB2487" t="s">
        <v>11975</v>
      </c>
      <c r="AC2487">
        <v>140</v>
      </c>
      <c r="AD2487" t="s">
        <v>12420</v>
      </c>
      <c r="AE2487" t="s">
        <v>12434</v>
      </c>
      <c r="AF2487">
        <v>8</v>
      </c>
      <c r="AG2487">
        <v>1</v>
      </c>
      <c r="AH2487">
        <v>1</v>
      </c>
      <c r="AI2487">
        <v>185.95</v>
      </c>
      <c r="AL2487" t="s">
        <v>12460</v>
      </c>
      <c r="AM2487">
        <v>30608</v>
      </c>
      <c r="AS2487">
        <v>0.8</v>
      </c>
      <c r="AT2487" t="s">
        <v>373</v>
      </c>
      <c r="AU2487" t="s">
        <v>189</v>
      </c>
    </row>
    <row r="2488" spans="1:48">
      <c r="A2488" s="1">
        <f>HYPERLINK("https://cms.ls-nyc.org/matter/dynamic-profile/view/1875562","18-1875562")</f>
        <v>0</v>
      </c>
      <c r="B2488" t="s">
        <v>184</v>
      </c>
      <c r="C2488" t="s">
        <v>233</v>
      </c>
      <c r="D2488" t="s">
        <v>233</v>
      </c>
      <c r="E2488" t="s">
        <v>1781</v>
      </c>
      <c r="F2488" t="s">
        <v>2778</v>
      </c>
      <c r="G2488" t="s">
        <v>5071</v>
      </c>
      <c r="H2488" t="s">
        <v>5717</v>
      </c>
      <c r="I2488" t="s">
        <v>6047</v>
      </c>
      <c r="J2488">
        <v>10473</v>
      </c>
      <c r="K2488" t="s">
        <v>6074</v>
      </c>
      <c r="L2488" t="s">
        <v>6074</v>
      </c>
      <c r="N2488" t="s">
        <v>7300</v>
      </c>
      <c r="O2488" t="s">
        <v>7306</v>
      </c>
      <c r="P2488" t="s">
        <v>7314</v>
      </c>
      <c r="Q2488" t="s">
        <v>7322</v>
      </c>
      <c r="R2488" t="s">
        <v>6076</v>
      </c>
      <c r="S2488" t="s">
        <v>7324</v>
      </c>
      <c r="U2488" t="s">
        <v>233</v>
      </c>
      <c r="V2488">
        <v>272</v>
      </c>
      <c r="W2488" t="s">
        <v>7363</v>
      </c>
      <c r="X2488" t="s">
        <v>7376</v>
      </c>
      <c r="Y2488" t="s">
        <v>7386</v>
      </c>
      <c r="Z2488" t="s">
        <v>7807</v>
      </c>
      <c r="AB2488" t="s">
        <v>11976</v>
      </c>
      <c r="AC2488">
        <v>775</v>
      </c>
      <c r="AD2488" t="s">
        <v>12427</v>
      </c>
      <c r="AE2488" t="s">
        <v>6110</v>
      </c>
      <c r="AF2488">
        <v>6</v>
      </c>
      <c r="AG2488">
        <v>1</v>
      </c>
      <c r="AH2488">
        <v>0</v>
      </c>
      <c r="AI2488">
        <v>186</v>
      </c>
      <c r="AL2488" t="s">
        <v>12460</v>
      </c>
      <c r="AM2488">
        <v>22580</v>
      </c>
      <c r="AS2488">
        <v>0.2</v>
      </c>
      <c r="AT2488" t="s">
        <v>233</v>
      </c>
      <c r="AU2488" t="s">
        <v>13092</v>
      </c>
    </row>
    <row r="2489" spans="1:48">
      <c r="A2489" s="1">
        <f>HYPERLINK("https://cms.ls-nyc.org/matter/dynamic-profile/view/1900641","19-1900641")</f>
        <v>0</v>
      </c>
      <c r="B2489" t="s">
        <v>148</v>
      </c>
      <c r="C2489" t="s">
        <v>260</v>
      </c>
      <c r="E2489" t="s">
        <v>1576</v>
      </c>
      <c r="F2489" t="s">
        <v>3077</v>
      </c>
      <c r="G2489" t="s">
        <v>3871</v>
      </c>
      <c r="H2489" t="s">
        <v>5417</v>
      </c>
      <c r="I2489" t="s">
        <v>6043</v>
      </c>
      <c r="J2489">
        <v>11213</v>
      </c>
      <c r="K2489" t="s">
        <v>6074</v>
      </c>
      <c r="L2489" t="s">
        <v>6075</v>
      </c>
      <c r="M2489" t="s">
        <v>6462</v>
      </c>
      <c r="N2489" t="s">
        <v>7276</v>
      </c>
      <c r="O2489" t="s">
        <v>7308</v>
      </c>
      <c r="Q2489" t="s">
        <v>7322</v>
      </c>
      <c r="R2489" t="s">
        <v>6074</v>
      </c>
      <c r="S2489" t="s">
        <v>7324</v>
      </c>
      <c r="T2489" t="s">
        <v>7336</v>
      </c>
      <c r="U2489" t="s">
        <v>505</v>
      </c>
      <c r="V2489">
        <v>1507.16</v>
      </c>
      <c r="W2489" t="s">
        <v>7362</v>
      </c>
      <c r="X2489" t="s">
        <v>7381</v>
      </c>
      <c r="Z2489" t="s">
        <v>9297</v>
      </c>
      <c r="AA2489" t="s">
        <v>10267</v>
      </c>
      <c r="AB2489" t="s">
        <v>11617</v>
      </c>
      <c r="AC2489">
        <v>19</v>
      </c>
      <c r="AD2489" t="s">
        <v>12422</v>
      </c>
      <c r="AE2489" t="s">
        <v>12434</v>
      </c>
      <c r="AF2489">
        <v>22</v>
      </c>
      <c r="AG2489">
        <v>4</v>
      </c>
      <c r="AH2489">
        <v>0</v>
      </c>
      <c r="AI2489">
        <v>186.06</v>
      </c>
      <c r="AL2489" t="s">
        <v>12460</v>
      </c>
      <c r="AM2489">
        <v>47909.8</v>
      </c>
      <c r="AN2489" t="s">
        <v>12693</v>
      </c>
      <c r="AS2489">
        <v>1.45</v>
      </c>
      <c r="AT2489" t="s">
        <v>324</v>
      </c>
      <c r="AU2489" t="s">
        <v>218</v>
      </c>
      <c r="AV2489" t="s">
        <v>6110</v>
      </c>
    </row>
    <row r="2490" spans="1:48">
      <c r="A2490" s="1">
        <f>HYPERLINK("https://cms.ls-nyc.org/matter/dynamic-profile/view/1895303","19-1895303")</f>
        <v>0</v>
      </c>
      <c r="B2490" t="s">
        <v>148</v>
      </c>
      <c r="C2490" t="s">
        <v>247</v>
      </c>
      <c r="E2490" t="s">
        <v>1576</v>
      </c>
      <c r="F2490" t="s">
        <v>3077</v>
      </c>
      <c r="G2490" t="s">
        <v>3871</v>
      </c>
      <c r="H2490" t="s">
        <v>5417</v>
      </c>
      <c r="I2490" t="s">
        <v>6043</v>
      </c>
      <c r="J2490">
        <v>11213</v>
      </c>
      <c r="K2490" t="s">
        <v>6074</v>
      </c>
      <c r="L2490" t="s">
        <v>6074</v>
      </c>
      <c r="N2490" t="s">
        <v>7287</v>
      </c>
      <c r="O2490" t="s">
        <v>7312</v>
      </c>
      <c r="Q2490" t="s">
        <v>7322</v>
      </c>
      <c r="R2490" t="s">
        <v>6074</v>
      </c>
      <c r="S2490" t="s">
        <v>7329</v>
      </c>
      <c r="U2490" t="s">
        <v>247</v>
      </c>
      <c r="V2490">
        <v>1507.16</v>
      </c>
      <c r="W2490" t="s">
        <v>7362</v>
      </c>
      <c r="X2490" t="s">
        <v>7381</v>
      </c>
      <c r="Z2490" t="s">
        <v>9297</v>
      </c>
      <c r="AB2490" t="s">
        <v>11617</v>
      </c>
      <c r="AC2490">
        <v>19</v>
      </c>
      <c r="AD2490" t="s">
        <v>12422</v>
      </c>
      <c r="AE2490" t="s">
        <v>12434</v>
      </c>
      <c r="AF2490">
        <v>22</v>
      </c>
      <c r="AG2490">
        <v>4</v>
      </c>
      <c r="AH2490">
        <v>0</v>
      </c>
      <c r="AI2490">
        <v>186.06</v>
      </c>
      <c r="AL2490" t="s">
        <v>12460</v>
      </c>
      <c r="AM2490">
        <v>47909.8</v>
      </c>
      <c r="AS2490">
        <v>18.05</v>
      </c>
      <c r="AT2490" t="s">
        <v>241</v>
      </c>
      <c r="AU2490" t="s">
        <v>180</v>
      </c>
    </row>
    <row r="2491" spans="1:48">
      <c r="A2491" s="1">
        <f>HYPERLINK("https://cms.ls-nyc.org/matter/dynamic-profile/view/1887469","19-1887469")</f>
        <v>0</v>
      </c>
      <c r="B2491" t="s">
        <v>100</v>
      </c>
      <c r="C2491" t="s">
        <v>340</v>
      </c>
      <c r="E2491" t="s">
        <v>1651</v>
      </c>
      <c r="F2491" t="s">
        <v>3310</v>
      </c>
      <c r="G2491" t="s">
        <v>5072</v>
      </c>
      <c r="H2491" t="s">
        <v>5510</v>
      </c>
      <c r="I2491" t="s">
        <v>6048</v>
      </c>
      <c r="J2491">
        <v>10304</v>
      </c>
      <c r="K2491" t="s">
        <v>6074</v>
      </c>
      <c r="L2491" t="s">
        <v>6074</v>
      </c>
      <c r="M2491" t="s">
        <v>7086</v>
      </c>
      <c r="N2491" t="s">
        <v>7276</v>
      </c>
      <c r="O2491" t="s">
        <v>7307</v>
      </c>
      <c r="Q2491" t="s">
        <v>7322</v>
      </c>
      <c r="R2491" t="s">
        <v>6076</v>
      </c>
      <c r="S2491" t="s">
        <v>7324</v>
      </c>
      <c r="U2491" t="s">
        <v>251</v>
      </c>
      <c r="V2491">
        <v>1540</v>
      </c>
      <c r="W2491" t="s">
        <v>7364</v>
      </c>
      <c r="Z2491" t="s">
        <v>9298</v>
      </c>
      <c r="AC2491">
        <v>3</v>
      </c>
      <c r="AF2491">
        <v>0</v>
      </c>
      <c r="AG2491">
        <v>2</v>
      </c>
      <c r="AH2491">
        <v>2</v>
      </c>
      <c r="AI2491">
        <v>186.45</v>
      </c>
      <c r="AL2491" t="s">
        <v>12461</v>
      </c>
      <c r="AM2491">
        <v>46800</v>
      </c>
      <c r="AS2491">
        <v>1.5</v>
      </c>
      <c r="AT2491" t="s">
        <v>251</v>
      </c>
      <c r="AU2491" t="s">
        <v>13088</v>
      </c>
    </row>
    <row r="2492" spans="1:48">
      <c r="A2492" s="1">
        <f>HYPERLINK("https://cms.ls-nyc.org/matter/dynamic-profile/view/1872538","18-1872538")</f>
        <v>0</v>
      </c>
      <c r="B2492" t="s">
        <v>58</v>
      </c>
      <c r="C2492" t="s">
        <v>242</v>
      </c>
      <c r="D2492" t="s">
        <v>526</v>
      </c>
      <c r="E2492" t="s">
        <v>1782</v>
      </c>
      <c r="F2492" t="s">
        <v>3311</v>
      </c>
      <c r="G2492" t="s">
        <v>3647</v>
      </c>
      <c r="H2492" t="s">
        <v>5489</v>
      </c>
      <c r="I2492" t="s">
        <v>6024</v>
      </c>
      <c r="J2492">
        <v>11692</v>
      </c>
      <c r="K2492" t="s">
        <v>6074</v>
      </c>
      <c r="L2492" t="s">
        <v>6074</v>
      </c>
      <c r="M2492" t="s">
        <v>7087</v>
      </c>
      <c r="N2492" t="s">
        <v>7273</v>
      </c>
      <c r="O2492" t="s">
        <v>7306</v>
      </c>
      <c r="P2492" t="s">
        <v>7314</v>
      </c>
      <c r="Q2492" t="s">
        <v>7322</v>
      </c>
      <c r="R2492" t="s">
        <v>6076</v>
      </c>
      <c r="S2492" t="s">
        <v>7324</v>
      </c>
      <c r="T2492" t="s">
        <v>7336</v>
      </c>
      <c r="U2492" t="s">
        <v>394</v>
      </c>
      <c r="V2492">
        <v>1141.84</v>
      </c>
      <c r="W2492" t="s">
        <v>7361</v>
      </c>
      <c r="X2492" t="s">
        <v>7366</v>
      </c>
      <c r="Y2492" t="s">
        <v>7386</v>
      </c>
      <c r="Z2492" t="s">
        <v>9299</v>
      </c>
      <c r="AA2492" t="s">
        <v>6110</v>
      </c>
      <c r="AB2492" t="s">
        <v>11977</v>
      </c>
      <c r="AC2492">
        <v>53</v>
      </c>
      <c r="AD2492" t="s">
        <v>12420</v>
      </c>
      <c r="AE2492" t="s">
        <v>12434</v>
      </c>
      <c r="AF2492">
        <v>5</v>
      </c>
      <c r="AG2492">
        <v>1</v>
      </c>
      <c r="AH2492">
        <v>1</v>
      </c>
      <c r="AI2492">
        <v>186.69</v>
      </c>
      <c r="AL2492" t="s">
        <v>12460</v>
      </c>
      <c r="AM2492">
        <v>30729</v>
      </c>
      <c r="AS2492">
        <v>1</v>
      </c>
      <c r="AT2492" t="s">
        <v>397</v>
      </c>
      <c r="AU2492" t="s">
        <v>48</v>
      </c>
      <c r="AV2492" t="s">
        <v>13145</v>
      </c>
    </row>
    <row r="2493" spans="1:48">
      <c r="A2493" s="1">
        <f>HYPERLINK("https://cms.ls-nyc.org/matter/dynamic-profile/view/1876715","18-1876715")</f>
        <v>0</v>
      </c>
      <c r="B2493" t="s">
        <v>101</v>
      </c>
      <c r="C2493" t="s">
        <v>243</v>
      </c>
      <c r="E2493" t="s">
        <v>1131</v>
      </c>
      <c r="F2493" t="s">
        <v>2297</v>
      </c>
      <c r="G2493" t="s">
        <v>3939</v>
      </c>
      <c r="H2493" t="s">
        <v>5455</v>
      </c>
      <c r="I2493" t="s">
        <v>6047</v>
      </c>
      <c r="J2493">
        <v>10456</v>
      </c>
      <c r="K2493" t="s">
        <v>6074</v>
      </c>
      <c r="L2493" t="s">
        <v>6074</v>
      </c>
      <c r="M2493" t="s">
        <v>6305</v>
      </c>
      <c r="N2493" t="s">
        <v>7279</v>
      </c>
      <c r="O2493" t="s">
        <v>7309</v>
      </c>
      <c r="Q2493" t="s">
        <v>7322</v>
      </c>
      <c r="R2493" t="s">
        <v>6074</v>
      </c>
      <c r="S2493" t="s">
        <v>7324</v>
      </c>
      <c r="U2493" t="s">
        <v>243</v>
      </c>
      <c r="V2493">
        <v>1047</v>
      </c>
      <c r="W2493" t="s">
        <v>7363</v>
      </c>
      <c r="X2493" t="s">
        <v>7376</v>
      </c>
      <c r="Z2493" t="s">
        <v>8105</v>
      </c>
      <c r="AB2493" t="s">
        <v>10895</v>
      </c>
      <c r="AC2493">
        <v>131</v>
      </c>
      <c r="AD2493" t="s">
        <v>12422</v>
      </c>
      <c r="AE2493" t="s">
        <v>6110</v>
      </c>
      <c r="AF2493">
        <v>13</v>
      </c>
      <c r="AG2493">
        <v>2</v>
      </c>
      <c r="AH2493">
        <v>0</v>
      </c>
      <c r="AI2493">
        <v>186.72</v>
      </c>
      <c r="AL2493" t="s">
        <v>12461</v>
      </c>
      <c r="AM2493">
        <v>30734.8</v>
      </c>
      <c r="AS2493">
        <v>0</v>
      </c>
      <c r="AU2493" t="s">
        <v>13095</v>
      </c>
    </row>
    <row r="2494" spans="1:48">
      <c r="A2494" s="1">
        <f>HYPERLINK("https://cms.ls-nyc.org/matter/dynamic-profile/view/1876718","18-1876718")</f>
        <v>0</v>
      </c>
      <c r="B2494" t="s">
        <v>101</v>
      </c>
      <c r="C2494" t="s">
        <v>243</v>
      </c>
      <c r="E2494" t="s">
        <v>1131</v>
      </c>
      <c r="F2494" t="s">
        <v>2297</v>
      </c>
      <c r="G2494" t="s">
        <v>3939</v>
      </c>
      <c r="H2494" t="s">
        <v>5455</v>
      </c>
      <c r="I2494" t="s">
        <v>6047</v>
      </c>
      <c r="J2494">
        <v>10456</v>
      </c>
      <c r="K2494" t="s">
        <v>6074</v>
      </c>
      <c r="L2494" t="s">
        <v>6074</v>
      </c>
      <c r="M2494" t="s">
        <v>6287</v>
      </c>
      <c r="N2494" t="s">
        <v>7273</v>
      </c>
      <c r="O2494" t="s">
        <v>7308</v>
      </c>
      <c r="Q2494" t="s">
        <v>7322</v>
      </c>
      <c r="R2494" t="s">
        <v>6074</v>
      </c>
      <c r="S2494" t="s">
        <v>7324</v>
      </c>
      <c r="U2494" t="s">
        <v>243</v>
      </c>
      <c r="V2494">
        <v>1047</v>
      </c>
      <c r="W2494" t="s">
        <v>7363</v>
      </c>
      <c r="X2494" t="s">
        <v>7376</v>
      </c>
      <c r="Z2494" t="s">
        <v>8105</v>
      </c>
      <c r="AB2494" t="s">
        <v>10895</v>
      </c>
      <c r="AC2494">
        <v>131</v>
      </c>
      <c r="AD2494" t="s">
        <v>12422</v>
      </c>
      <c r="AE2494" t="s">
        <v>6110</v>
      </c>
      <c r="AF2494">
        <v>13</v>
      </c>
      <c r="AG2494">
        <v>2</v>
      </c>
      <c r="AH2494">
        <v>0</v>
      </c>
      <c r="AI2494">
        <v>186.72</v>
      </c>
      <c r="AL2494" t="s">
        <v>12461</v>
      </c>
      <c r="AM2494">
        <v>30734.8</v>
      </c>
      <c r="AS2494">
        <v>0</v>
      </c>
      <c r="AU2494" t="s">
        <v>13095</v>
      </c>
    </row>
    <row r="2495" spans="1:48">
      <c r="A2495" s="1">
        <f>HYPERLINK("https://cms.ls-nyc.org/matter/dynamic-profile/view/1888896","19-1888896")</f>
        <v>0</v>
      </c>
      <c r="B2495" t="s">
        <v>99</v>
      </c>
      <c r="C2495" t="s">
        <v>456</v>
      </c>
      <c r="D2495" t="s">
        <v>477</v>
      </c>
      <c r="E2495" t="s">
        <v>1783</v>
      </c>
      <c r="F2495" t="s">
        <v>3312</v>
      </c>
      <c r="G2495" t="s">
        <v>5073</v>
      </c>
      <c r="I2495" t="s">
        <v>6047</v>
      </c>
      <c r="J2495">
        <v>10463</v>
      </c>
      <c r="K2495" t="s">
        <v>6074</v>
      </c>
      <c r="L2495" t="s">
        <v>6074</v>
      </c>
      <c r="M2495" t="s">
        <v>7088</v>
      </c>
      <c r="N2495" t="s">
        <v>7278</v>
      </c>
      <c r="O2495" t="s">
        <v>7306</v>
      </c>
      <c r="P2495" t="s">
        <v>7314</v>
      </c>
      <c r="Q2495" t="s">
        <v>7322</v>
      </c>
      <c r="R2495" t="s">
        <v>6076</v>
      </c>
      <c r="S2495" t="s">
        <v>7324</v>
      </c>
      <c r="T2495" t="s">
        <v>7336</v>
      </c>
      <c r="U2495" t="s">
        <v>456</v>
      </c>
      <c r="V2495">
        <v>0</v>
      </c>
      <c r="W2495" t="s">
        <v>7363</v>
      </c>
      <c r="X2495" t="s">
        <v>7371</v>
      </c>
      <c r="Y2495" t="s">
        <v>7386</v>
      </c>
      <c r="Z2495" t="s">
        <v>9300</v>
      </c>
      <c r="AA2495" t="s">
        <v>6110</v>
      </c>
      <c r="AB2495" t="s">
        <v>11978</v>
      </c>
      <c r="AC2495">
        <v>0</v>
      </c>
      <c r="AD2495" t="s">
        <v>6322</v>
      </c>
      <c r="AE2495" t="s">
        <v>12441</v>
      </c>
      <c r="AF2495">
        <v>0</v>
      </c>
      <c r="AG2495">
        <v>1</v>
      </c>
      <c r="AH2495">
        <v>0</v>
      </c>
      <c r="AI2495">
        <v>187.16</v>
      </c>
      <c r="AL2495" t="s">
        <v>12460</v>
      </c>
      <c r="AM2495">
        <v>23376</v>
      </c>
      <c r="AS2495">
        <v>2.05</v>
      </c>
      <c r="AT2495" t="s">
        <v>477</v>
      </c>
      <c r="AU2495" t="s">
        <v>99</v>
      </c>
    </row>
    <row r="2496" spans="1:48">
      <c r="A2496" s="1">
        <f>HYPERLINK("https://cms.ls-nyc.org/matter/dynamic-profile/view/1895413","19-1895413")</f>
        <v>0</v>
      </c>
      <c r="B2496" t="s">
        <v>116</v>
      </c>
      <c r="C2496" t="s">
        <v>322</v>
      </c>
      <c r="D2496" t="s">
        <v>343</v>
      </c>
      <c r="E2496" t="s">
        <v>1784</v>
      </c>
      <c r="F2496" t="s">
        <v>1312</v>
      </c>
      <c r="G2496" t="s">
        <v>5074</v>
      </c>
      <c r="I2496" t="s">
        <v>6047</v>
      </c>
      <c r="J2496">
        <v>10473</v>
      </c>
      <c r="K2496" t="s">
        <v>6074</v>
      </c>
      <c r="L2496" t="s">
        <v>6074</v>
      </c>
      <c r="N2496" t="s">
        <v>6104</v>
      </c>
      <c r="O2496" t="s">
        <v>7306</v>
      </c>
      <c r="P2496" t="s">
        <v>7314</v>
      </c>
      <c r="Q2496" t="s">
        <v>7322</v>
      </c>
      <c r="R2496" t="s">
        <v>6076</v>
      </c>
      <c r="S2496" t="s">
        <v>7324</v>
      </c>
      <c r="U2496" t="s">
        <v>322</v>
      </c>
      <c r="V2496">
        <v>650</v>
      </c>
      <c r="W2496" t="s">
        <v>7363</v>
      </c>
      <c r="X2496" t="s">
        <v>7376</v>
      </c>
      <c r="Y2496" t="s">
        <v>7386</v>
      </c>
      <c r="Z2496" t="s">
        <v>9301</v>
      </c>
      <c r="AB2496" t="s">
        <v>11979</v>
      </c>
      <c r="AC2496">
        <v>0</v>
      </c>
      <c r="AD2496" t="s">
        <v>12422</v>
      </c>
      <c r="AE2496" t="s">
        <v>12434</v>
      </c>
      <c r="AF2496">
        <v>7</v>
      </c>
      <c r="AG2496">
        <v>1</v>
      </c>
      <c r="AH2496">
        <v>0</v>
      </c>
      <c r="AI2496">
        <v>187.35</v>
      </c>
      <c r="AL2496" t="s">
        <v>12460</v>
      </c>
      <c r="AM2496">
        <v>23400</v>
      </c>
      <c r="AS2496">
        <v>1.5</v>
      </c>
      <c r="AT2496" t="s">
        <v>457</v>
      </c>
      <c r="AU2496" t="s">
        <v>116</v>
      </c>
    </row>
    <row r="2497" spans="1:48">
      <c r="A2497" s="1">
        <f>HYPERLINK("https://cms.ls-nyc.org/matter/dynamic-profile/view/1891835","19-1891835")</f>
        <v>0</v>
      </c>
      <c r="B2497" t="s">
        <v>96</v>
      </c>
      <c r="C2497" t="s">
        <v>366</v>
      </c>
      <c r="E2497" t="s">
        <v>1785</v>
      </c>
      <c r="F2497" t="s">
        <v>2861</v>
      </c>
      <c r="G2497" t="s">
        <v>3792</v>
      </c>
      <c r="H2497" t="s">
        <v>5882</v>
      </c>
      <c r="I2497" t="s">
        <v>6047</v>
      </c>
      <c r="J2497">
        <v>10453</v>
      </c>
      <c r="K2497" t="s">
        <v>6074</v>
      </c>
      <c r="L2497" t="s">
        <v>6074</v>
      </c>
      <c r="N2497" t="s">
        <v>7279</v>
      </c>
      <c r="O2497" t="s">
        <v>7311</v>
      </c>
      <c r="Q2497" t="s">
        <v>7322</v>
      </c>
      <c r="R2497" t="s">
        <v>6074</v>
      </c>
      <c r="S2497" t="s">
        <v>7324</v>
      </c>
      <c r="U2497" t="s">
        <v>457</v>
      </c>
      <c r="V2497">
        <v>1523</v>
      </c>
      <c r="W2497" t="s">
        <v>7363</v>
      </c>
      <c r="X2497" t="s">
        <v>7376</v>
      </c>
      <c r="Z2497" t="s">
        <v>9302</v>
      </c>
      <c r="AB2497" t="s">
        <v>11980</v>
      </c>
      <c r="AC2497">
        <v>170</v>
      </c>
      <c r="AD2497" t="s">
        <v>12422</v>
      </c>
      <c r="AE2497" t="s">
        <v>6110</v>
      </c>
      <c r="AF2497">
        <v>7</v>
      </c>
      <c r="AG2497">
        <v>1</v>
      </c>
      <c r="AH2497">
        <v>0</v>
      </c>
      <c r="AI2497">
        <v>187.35</v>
      </c>
      <c r="AL2497" t="s">
        <v>12461</v>
      </c>
      <c r="AM2497">
        <v>23400</v>
      </c>
      <c r="AS2497">
        <v>0</v>
      </c>
      <c r="AU2497" t="s">
        <v>13095</v>
      </c>
    </row>
    <row r="2498" spans="1:48">
      <c r="A2498" s="1">
        <f>HYPERLINK("https://cms.ls-nyc.org/matter/dynamic-profile/view/1891826","19-1891826")</f>
        <v>0</v>
      </c>
      <c r="B2498" t="s">
        <v>96</v>
      </c>
      <c r="C2498" t="s">
        <v>366</v>
      </c>
      <c r="E2498" t="s">
        <v>1785</v>
      </c>
      <c r="F2498" t="s">
        <v>2861</v>
      </c>
      <c r="G2498" t="s">
        <v>3792</v>
      </c>
      <c r="H2498" t="s">
        <v>5882</v>
      </c>
      <c r="I2498" t="s">
        <v>6047</v>
      </c>
      <c r="J2498">
        <v>10453</v>
      </c>
      <c r="K2498" t="s">
        <v>6074</v>
      </c>
      <c r="L2498" t="s">
        <v>6074</v>
      </c>
      <c r="M2498" t="s">
        <v>6259</v>
      </c>
      <c r="N2498" t="s">
        <v>7273</v>
      </c>
      <c r="O2498" t="s">
        <v>7308</v>
      </c>
      <c r="Q2498" t="s">
        <v>7322</v>
      </c>
      <c r="R2498" t="s">
        <v>6074</v>
      </c>
      <c r="S2498" t="s">
        <v>7324</v>
      </c>
      <c r="U2498" t="s">
        <v>457</v>
      </c>
      <c r="V2498">
        <v>1523</v>
      </c>
      <c r="W2498" t="s">
        <v>7363</v>
      </c>
      <c r="X2498" t="s">
        <v>7376</v>
      </c>
      <c r="Z2498" t="s">
        <v>9302</v>
      </c>
      <c r="AB2498" t="s">
        <v>11980</v>
      </c>
      <c r="AC2498">
        <v>170</v>
      </c>
      <c r="AD2498" t="s">
        <v>12422</v>
      </c>
      <c r="AE2498" t="s">
        <v>6110</v>
      </c>
      <c r="AF2498">
        <v>7</v>
      </c>
      <c r="AG2498">
        <v>1</v>
      </c>
      <c r="AH2498">
        <v>0</v>
      </c>
      <c r="AI2498">
        <v>187.35</v>
      </c>
      <c r="AL2498" t="s">
        <v>12461</v>
      </c>
      <c r="AM2498">
        <v>23400</v>
      </c>
      <c r="AS2498">
        <v>0</v>
      </c>
      <c r="AU2498" t="s">
        <v>13095</v>
      </c>
    </row>
    <row r="2499" spans="1:48">
      <c r="A2499" s="1">
        <f>HYPERLINK("https://cms.ls-nyc.org/matter/dynamic-profile/view/1879323","18-1879323")</f>
        <v>0</v>
      </c>
      <c r="B2499" t="s">
        <v>54</v>
      </c>
      <c r="C2499" t="s">
        <v>249</v>
      </c>
      <c r="D2499" t="s">
        <v>249</v>
      </c>
      <c r="E2499" t="s">
        <v>665</v>
      </c>
      <c r="F2499" t="s">
        <v>2522</v>
      </c>
      <c r="G2499" t="s">
        <v>5075</v>
      </c>
      <c r="H2499" t="s">
        <v>5426</v>
      </c>
      <c r="I2499" t="s">
        <v>6039</v>
      </c>
      <c r="J2499">
        <v>11368</v>
      </c>
      <c r="K2499" t="s">
        <v>6074</v>
      </c>
      <c r="L2499" t="s">
        <v>6074</v>
      </c>
      <c r="M2499" t="s">
        <v>7089</v>
      </c>
      <c r="N2499" t="s">
        <v>7276</v>
      </c>
      <c r="O2499" t="s">
        <v>7306</v>
      </c>
      <c r="P2499" t="s">
        <v>7314</v>
      </c>
      <c r="Q2499" t="s">
        <v>7322</v>
      </c>
      <c r="R2499" t="s">
        <v>6076</v>
      </c>
      <c r="S2499" t="s">
        <v>7324</v>
      </c>
      <c r="T2499" t="s">
        <v>7338</v>
      </c>
      <c r="U2499" t="s">
        <v>249</v>
      </c>
      <c r="V2499">
        <v>1681</v>
      </c>
      <c r="W2499" t="s">
        <v>7361</v>
      </c>
      <c r="X2499" t="s">
        <v>7366</v>
      </c>
      <c r="Y2499" t="s">
        <v>7386</v>
      </c>
      <c r="Z2499" t="s">
        <v>9303</v>
      </c>
      <c r="AB2499" t="s">
        <v>11981</v>
      </c>
      <c r="AC2499">
        <v>252</v>
      </c>
      <c r="AD2499" t="s">
        <v>12422</v>
      </c>
      <c r="AE2499" t="s">
        <v>6110</v>
      </c>
      <c r="AF2499">
        <v>30</v>
      </c>
      <c r="AG2499">
        <v>1</v>
      </c>
      <c r="AH2499">
        <v>0</v>
      </c>
      <c r="AI2499">
        <v>187.51</v>
      </c>
      <c r="AL2499" t="s">
        <v>12461</v>
      </c>
      <c r="AM2499">
        <v>22764</v>
      </c>
      <c r="AS2499">
        <v>0.6</v>
      </c>
      <c r="AT2499" t="s">
        <v>249</v>
      </c>
      <c r="AU2499" t="s">
        <v>189</v>
      </c>
    </row>
    <row r="2500" spans="1:48">
      <c r="A2500" s="1">
        <f>HYPERLINK("https://cms.ls-nyc.org/matter/dynamic-profile/view/1889616","19-1889616")</f>
        <v>0</v>
      </c>
      <c r="B2500" t="s">
        <v>70</v>
      </c>
      <c r="C2500" t="s">
        <v>285</v>
      </c>
      <c r="E2500" t="s">
        <v>1786</v>
      </c>
      <c r="F2500" t="s">
        <v>2778</v>
      </c>
      <c r="G2500" t="s">
        <v>5076</v>
      </c>
      <c r="I2500" t="s">
        <v>6043</v>
      </c>
      <c r="J2500">
        <v>11238</v>
      </c>
      <c r="K2500" t="s">
        <v>6074</v>
      </c>
      <c r="L2500" t="s">
        <v>6074</v>
      </c>
      <c r="M2500" t="s">
        <v>7090</v>
      </c>
      <c r="N2500" t="s">
        <v>7276</v>
      </c>
      <c r="O2500" t="s">
        <v>7308</v>
      </c>
      <c r="Q2500" t="s">
        <v>7322</v>
      </c>
      <c r="R2500" t="s">
        <v>6076</v>
      </c>
      <c r="S2500" t="s">
        <v>7324</v>
      </c>
      <c r="U2500" t="s">
        <v>379</v>
      </c>
      <c r="V2500">
        <v>0</v>
      </c>
      <c r="W2500" t="s">
        <v>7362</v>
      </c>
      <c r="X2500" t="s">
        <v>7368</v>
      </c>
      <c r="Z2500" t="s">
        <v>9304</v>
      </c>
      <c r="AC2500">
        <v>0</v>
      </c>
      <c r="AD2500" t="s">
        <v>12420</v>
      </c>
      <c r="AF2500">
        <v>0</v>
      </c>
      <c r="AG2500">
        <v>2</v>
      </c>
      <c r="AH2500">
        <v>1</v>
      </c>
      <c r="AI2500">
        <v>187.53</v>
      </c>
      <c r="AL2500" t="s">
        <v>12460</v>
      </c>
      <c r="AM2500">
        <v>40000</v>
      </c>
      <c r="AS2500">
        <v>41.5</v>
      </c>
      <c r="AT2500" t="s">
        <v>362</v>
      </c>
      <c r="AU2500" t="s">
        <v>88</v>
      </c>
    </row>
    <row r="2501" spans="1:48">
      <c r="A2501" s="1">
        <f>HYPERLINK("https://cms.ls-nyc.org/matter/dynamic-profile/view/1895693","19-1895693")</f>
        <v>0</v>
      </c>
      <c r="B2501" t="s">
        <v>69</v>
      </c>
      <c r="C2501" t="s">
        <v>264</v>
      </c>
      <c r="D2501" t="s">
        <v>264</v>
      </c>
      <c r="E2501" t="s">
        <v>1367</v>
      </c>
      <c r="F2501" t="s">
        <v>2485</v>
      </c>
      <c r="G2501" t="s">
        <v>5077</v>
      </c>
      <c r="H2501" t="s">
        <v>5372</v>
      </c>
      <c r="I2501" t="s">
        <v>6043</v>
      </c>
      <c r="J2501">
        <v>11230</v>
      </c>
      <c r="K2501" t="s">
        <v>6075</v>
      </c>
      <c r="L2501" t="s">
        <v>6075</v>
      </c>
      <c r="N2501" t="s">
        <v>6104</v>
      </c>
      <c r="O2501" t="s">
        <v>7306</v>
      </c>
      <c r="P2501" t="s">
        <v>7314</v>
      </c>
      <c r="Q2501" t="s">
        <v>7322</v>
      </c>
      <c r="R2501" t="s">
        <v>6076</v>
      </c>
      <c r="S2501" t="s">
        <v>7324</v>
      </c>
      <c r="U2501" t="s">
        <v>264</v>
      </c>
      <c r="V2501">
        <v>0</v>
      </c>
      <c r="W2501" t="s">
        <v>7362</v>
      </c>
      <c r="Y2501" t="s">
        <v>7386</v>
      </c>
      <c r="Z2501" t="s">
        <v>9305</v>
      </c>
      <c r="AB2501" t="s">
        <v>11982</v>
      </c>
      <c r="AC2501">
        <v>0</v>
      </c>
      <c r="AF2501">
        <v>0</v>
      </c>
      <c r="AG2501">
        <v>2</v>
      </c>
      <c r="AH2501">
        <v>1</v>
      </c>
      <c r="AI2501">
        <v>187.53</v>
      </c>
      <c r="AL2501" t="s">
        <v>12460</v>
      </c>
      <c r="AM2501">
        <v>40000</v>
      </c>
      <c r="AS2501">
        <v>1.2</v>
      </c>
      <c r="AT2501" t="s">
        <v>264</v>
      </c>
      <c r="AU2501" t="s">
        <v>69</v>
      </c>
    </row>
    <row r="2502" spans="1:48">
      <c r="A2502" s="1">
        <f>HYPERLINK("https://cms.ls-nyc.org/matter/dynamic-profile/view/1874880","18-1874880")</f>
        <v>0</v>
      </c>
      <c r="B2502" t="s">
        <v>73</v>
      </c>
      <c r="C2502" t="s">
        <v>274</v>
      </c>
      <c r="D2502" t="s">
        <v>472</v>
      </c>
      <c r="E2502" t="s">
        <v>1369</v>
      </c>
      <c r="F2502" t="s">
        <v>3313</v>
      </c>
      <c r="G2502" t="s">
        <v>5078</v>
      </c>
      <c r="H2502" t="s">
        <v>5883</v>
      </c>
      <c r="I2502" t="s">
        <v>6043</v>
      </c>
      <c r="J2502">
        <v>11236</v>
      </c>
      <c r="K2502" t="s">
        <v>6074</v>
      </c>
      <c r="L2502" t="s">
        <v>6074</v>
      </c>
      <c r="M2502" t="s">
        <v>7091</v>
      </c>
      <c r="N2502" t="s">
        <v>7274</v>
      </c>
      <c r="O2502" t="s">
        <v>7308</v>
      </c>
      <c r="P2502" t="s">
        <v>7317</v>
      </c>
      <c r="Q2502" t="s">
        <v>7322</v>
      </c>
      <c r="R2502" t="s">
        <v>6076</v>
      </c>
      <c r="S2502" t="s">
        <v>7324</v>
      </c>
      <c r="U2502" t="s">
        <v>472</v>
      </c>
      <c r="V2502">
        <v>1142.33</v>
      </c>
      <c r="W2502" t="s">
        <v>7362</v>
      </c>
      <c r="X2502" t="s">
        <v>7372</v>
      </c>
      <c r="Y2502" t="s">
        <v>7388</v>
      </c>
      <c r="Z2502" t="s">
        <v>9306</v>
      </c>
      <c r="AA2502" t="s">
        <v>10268</v>
      </c>
      <c r="AB2502" t="s">
        <v>11983</v>
      </c>
      <c r="AC2502">
        <v>113</v>
      </c>
      <c r="AD2502" t="s">
        <v>12422</v>
      </c>
      <c r="AE2502" t="s">
        <v>6110</v>
      </c>
      <c r="AF2502">
        <v>15</v>
      </c>
      <c r="AG2502">
        <v>1</v>
      </c>
      <c r="AH2502">
        <v>2</v>
      </c>
      <c r="AI2502">
        <v>187.68</v>
      </c>
      <c r="AL2502" t="s">
        <v>12460</v>
      </c>
      <c r="AM2502">
        <v>39000</v>
      </c>
      <c r="AS2502">
        <v>4.2</v>
      </c>
      <c r="AT2502" t="s">
        <v>383</v>
      </c>
      <c r="AU2502" t="s">
        <v>218</v>
      </c>
    </row>
    <row r="2503" spans="1:48">
      <c r="A2503" s="1">
        <f>HYPERLINK("https://cms.ls-nyc.org/matter/dynamic-profile/view/1875210","18-1875210")</f>
        <v>0</v>
      </c>
      <c r="B2503" t="s">
        <v>70</v>
      </c>
      <c r="C2503" t="s">
        <v>427</v>
      </c>
      <c r="D2503" t="s">
        <v>285</v>
      </c>
      <c r="E2503" t="s">
        <v>651</v>
      </c>
      <c r="F2503" t="s">
        <v>2429</v>
      </c>
      <c r="G2503" t="s">
        <v>5079</v>
      </c>
      <c r="H2503" t="s">
        <v>5884</v>
      </c>
      <c r="I2503" t="s">
        <v>6043</v>
      </c>
      <c r="J2503">
        <v>11226</v>
      </c>
      <c r="K2503" t="s">
        <v>6074</v>
      </c>
      <c r="L2503" t="s">
        <v>6075</v>
      </c>
      <c r="M2503" t="s">
        <v>7092</v>
      </c>
      <c r="N2503" t="s">
        <v>7276</v>
      </c>
      <c r="O2503" t="s">
        <v>7308</v>
      </c>
      <c r="P2503" t="s">
        <v>7316</v>
      </c>
      <c r="Q2503" t="s">
        <v>7322</v>
      </c>
      <c r="R2503" t="s">
        <v>6076</v>
      </c>
      <c r="S2503" t="s">
        <v>7324</v>
      </c>
      <c r="T2503" t="s">
        <v>7338</v>
      </c>
      <c r="U2503" t="s">
        <v>464</v>
      </c>
      <c r="V2503">
        <v>1510</v>
      </c>
      <c r="W2503" t="s">
        <v>7362</v>
      </c>
      <c r="X2503" t="s">
        <v>7376</v>
      </c>
      <c r="Y2503" t="s">
        <v>7388</v>
      </c>
      <c r="Z2503" t="s">
        <v>9307</v>
      </c>
      <c r="AA2503">
        <v>9307154</v>
      </c>
      <c r="AB2503" t="s">
        <v>11984</v>
      </c>
      <c r="AC2503">
        <v>30</v>
      </c>
      <c r="AD2503" t="s">
        <v>12422</v>
      </c>
      <c r="AE2503" t="s">
        <v>6110</v>
      </c>
      <c r="AF2503">
        <v>28</v>
      </c>
      <c r="AG2503">
        <v>3</v>
      </c>
      <c r="AH2503">
        <v>0</v>
      </c>
      <c r="AI2503">
        <v>187.68</v>
      </c>
      <c r="AL2503" t="s">
        <v>12460</v>
      </c>
      <c r="AM2503">
        <v>39000</v>
      </c>
      <c r="AP2503" t="s">
        <v>12863</v>
      </c>
      <c r="AQ2503" t="s">
        <v>12909</v>
      </c>
      <c r="AR2503" t="s">
        <v>13033</v>
      </c>
      <c r="AS2503">
        <v>28.7</v>
      </c>
      <c r="AT2503" t="s">
        <v>258</v>
      </c>
      <c r="AU2503" t="s">
        <v>13087</v>
      </c>
      <c r="AV2503" t="s">
        <v>13145</v>
      </c>
    </row>
    <row r="2504" spans="1:48">
      <c r="A2504" s="1">
        <f>HYPERLINK("https://cms.ls-nyc.org/matter/dynamic-profile/view/1881758","18-1881758")</f>
        <v>0</v>
      </c>
      <c r="B2504" t="s">
        <v>83</v>
      </c>
      <c r="C2504" t="s">
        <v>451</v>
      </c>
      <c r="E2504" t="s">
        <v>1787</v>
      </c>
      <c r="F2504" t="s">
        <v>3314</v>
      </c>
      <c r="G2504" t="s">
        <v>5080</v>
      </c>
      <c r="H2504">
        <v>26</v>
      </c>
      <c r="I2504" t="s">
        <v>6043</v>
      </c>
      <c r="J2504">
        <v>11215</v>
      </c>
      <c r="K2504" t="s">
        <v>6074</v>
      </c>
      <c r="L2504" t="s">
        <v>6074</v>
      </c>
      <c r="M2504" t="s">
        <v>7093</v>
      </c>
      <c r="N2504" t="s">
        <v>7274</v>
      </c>
      <c r="O2504" t="s">
        <v>7308</v>
      </c>
      <c r="Q2504" t="s">
        <v>7322</v>
      </c>
      <c r="R2504" t="s">
        <v>6076</v>
      </c>
      <c r="S2504" t="s">
        <v>7324</v>
      </c>
      <c r="T2504" t="s">
        <v>7336</v>
      </c>
      <c r="U2504" t="s">
        <v>442</v>
      </c>
      <c r="V2504">
        <v>1380</v>
      </c>
      <c r="W2504" t="s">
        <v>7362</v>
      </c>
      <c r="X2504" t="s">
        <v>7366</v>
      </c>
      <c r="Z2504" t="s">
        <v>9308</v>
      </c>
      <c r="AB2504" t="s">
        <v>11985</v>
      </c>
      <c r="AC2504">
        <v>26</v>
      </c>
      <c r="AD2504" t="s">
        <v>12422</v>
      </c>
      <c r="AE2504" t="s">
        <v>6110</v>
      </c>
      <c r="AF2504">
        <v>7</v>
      </c>
      <c r="AG2504">
        <v>1</v>
      </c>
      <c r="AH2504">
        <v>2</v>
      </c>
      <c r="AI2504">
        <v>187.68</v>
      </c>
      <c r="AL2504" t="s">
        <v>12460</v>
      </c>
      <c r="AM2504">
        <v>39000</v>
      </c>
      <c r="AS2504">
        <v>117.6</v>
      </c>
      <c r="AT2504" t="s">
        <v>445</v>
      </c>
      <c r="AU2504" t="s">
        <v>13083</v>
      </c>
    </row>
    <row r="2505" spans="1:48">
      <c r="A2505" s="1">
        <f>HYPERLINK("https://cms.ls-nyc.org/matter/dynamic-profile/view/1877561","18-1877561")</f>
        <v>0</v>
      </c>
      <c r="B2505" t="s">
        <v>62</v>
      </c>
      <c r="C2505" t="s">
        <v>372</v>
      </c>
      <c r="D2505" t="s">
        <v>472</v>
      </c>
      <c r="E2505" t="s">
        <v>1788</v>
      </c>
      <c r="F2505" t="s">
        <v>3315</v>
      </c>
      <c r="G2505" t="s">
        <v>5081</v>
      </c>
      <c r="H2505">
        <v>55</v>
      </c>
      <c r="I2505" t="s">
        <v>6045</v>
      </c>
      <c r="J2505">
        <v>11101</v>
      </c>
      <c r="K2505" t="s">
        <v>6074</v>
      </c>
      <c r="L2505" t="s">
        <v>6074</v>
      </c>
      <c r="M2505" t="s">
        <v>7094</v>
      </c>
      <c r="N2505" t="s">
        <v>7276</v>
      </c>
      <c r="O2505" t="s">
        <v>7306</v>
      </c>
      <c r="P2505" t="s">
        <v>7314</v>
      </c>
      <c r="Q2505" t="s">
        <v>7322</v>
      </c>
      <c r="R2505" t="s">
        <v>6076</v>
      </c>
      <c r="S2505" t="s">
        <v>7324</v>
      </c>
      <c r="T2505" t="s">
        <v>7338</v>
      </c>
      <c r="U2505" t="s">
        <v>383</v>
      </c>
      <c r="V2505">
        <v>1600</v>
      </c>
      <c r="W2505" t="s">
        <v>7361</v>
      </c>
      <c r="X2505" t="s">
        <v>7366</v>
      </c>
      <c r="Y2505" t="s">
        <v>7386</v>
      </c>
      <c r="Z2505" t="s">
        <v>9309</v>
      </c>
      <c r="AB2505" t="s">
        <v>11986</v>
      </c>
      <c r="AC2505">
        <v>30</v>
      </c>
      <c r="AD2505" t="s">
        <v>12422</v>
      </c>
      <c r="AE2505" t="s">
        <v>6110</v>
      </c>
      <c r="AF2505">
        <v>1</v>
      </c>
      <c r="AG2505">
        <v>2</v>
      </c>
      <c r="AH2505">
        <v>1</v>
      </c>
      <c r="AI2505">
        <v>187.68</v>
      </c>
      <c r="AL2505" t="s">
        <v>12460</v>
      </c>
      <c r="AM2505">
        <v>39000</v>
      </c>
      <c r="AS2505">
        <v>0.5</v>
      </c>
      <c r="AT2505" t="s">
        <v>372</v>
      </c>
      <c r="AU2505" t="s">
        <v>48</v>
      </c>
    </row>
    <row r="2506" spans="1:48">
      <c r="A2506" s="1">
        <f>HYPERLINK("https://cms.ls-nyc.org/matter/dynamic-profile/view/1875983","18-1875983")</f>
        <v>0</v>
      </c>
      <c r="B2506" t="s">
        <v>96</v>
      </c>
      <c r="C2506" t="s">
        <v>301</v>
      </c>
      <c r="E2506" t="s">
        <v>1789</v>
      </c>
      <c r="F2506" t="s">
        <v>3316</v>
      </c>
      <c r="G2506" t="s">
        <v>4152</v>
      </c>
      <c r="H2506" t="s">
        <v>5786</v>
      </c>
      <c r="I2506" t="s">
        <v>6047</v>
      </c>
      <c r="J2506">
        <v>10456</v>
      </c>
      <c r="K2506" t="s">
        <v>6074</v>
      </c>
      <c r="L2506" t="s">
        <v>6074</v>
      </c>
      <c r="M2506" t="s">
        <v>6446</v>
      </c>
      <c r="N2506" t="s">
        <v>7279</v>
      </c>
      <c r="O2506" t="s">
        <v>7311</v>
      </c>
      <c r="Q2506" t="s">
        <v>7322</v>
      </c>
      <c r="R2506" t="s">
        <v>6074</v>
      </c>
      <c r="S2506" t="s">
        <v>7324</v>
      </c>
      <c r="U2506" t="s">
        <v>502</v>
      </c>
      <c r="V2506">
        <v>1255</v>
      </c>
      <c r="W2506" t="s">
        <v>7363</v>
      </c>
      <c r="X2506" t="s">
        <v>7376</v>
      </c>
      <c r="Z2506" t="s">
        <v>7819</v>
      </c>
      <c r="AB2506" t="s">
        <v>11987</v>
      </c>
      <c r="AC2506">
        <v>61</v>
      </c>
      <c r="AD2506" t="s">
        <v>12422</v>
      </c>
      <c r="AE2506" t="s">
        <v>12434</v>
      </c>
      <c r="AF2506">
        <v>19</v>
      </c>
      <c r="AG2506">
        <v>3</v>
      </c>
      <c r="AH2506">
        <v>0</v>
      </c>
      <c r="AI2506">
        <v>187.68</v>
      </c>
      <c r="AL2506" t="s">
        <v>12461</v>
      </c>
      <c r="AM2506">
        <v>39000</v>
      </c>
      <c r="AS2506">
        <v>0</v>
      </c>
      <c r="AU2506" t="s">
        <v>13095</v>
      </c>
    </row>
    <row r="2507" spans="1:48">
      <c r="A2507" s="1">
        <f>HYPERLINK("https://cms.ls-nyc.org/matter/dynamic-profile/view/1880618","18-1880618")</f>
        <v>0</v>
      </c>
      <c r="B2507" t="s">
        <v>96</v>
      </c>
      <c r="C2507" t="s">
        <v>360</v>
      </c>
      <c r="E2507" t="s">
        <v>1789</v>
      </c>
      <c r="F2507" t="s">
        <v>3316</v>
      </c>
      <c r="G2507" t="s">
        <v>4152</v>
      </c>
      <c r="H2507" t="s">
        <v>5786</v>
      </c>
      <c r="I2507" t="s">
        <v>6047</v>
      </c>
      <c r="J2507">
        <v>10456</v>
      </c>
      <c r="K2507" t="s">
        <v>6074</v>
      </c>
      <c r="L2507" t="s">
        <v>6074</v>
      </c>
      <c r="M2507" t="s">
        <v>6498</v>
      </c>
      <c r="N2507" t="s">
        <v>7279</v>
      </c>
      <c r="O2507" t="s">
        <v>7311</v>
      </c>
      <c r="Q2507" t="s">
        <v>7322</v>
      </c>
      <c r="R2507" t="s">
        <v>6074</v>
      </c>
      <c r="S2507" t="s">
        <v>7324</v>
      </c>
      <c r="U2507" t="s">
        <v>472</v>
      </c>
      <c r="V2507">
        <v>1255</v>
      </c>
      <c r="W2507" t="s">
        <v>7363</v>
      </c>
      <c r="X2507" t="s">
        <v>7376</v>
      </c>
      <c r="Z2507" t="s">
        <v>7819</v>
      </c>
      <c r="AB2507" t="s">
        <v>11987</v>
      </c>
      <c r="AC2507">
        <v>61</v>
      </c>
      <c r="AD2507" t="s">
        <v>12422</v>
      </c>
      <c r="AE2507" t="s">
        <v>12434</v>
      </c>
      <c r="AF2507">
        <v>19</v>
      </c>
      <c r="AG2507">
        <v>3</v>
      </c>
      <c r="AH2507">
        <v>0</v>
      </c>
      <c r="AI2507">
        <v>187.68</v>
      </c>
      <c r="AL2507" t="s">
        <v>12461</v>
      </c>
      <c r="AM2507">
        <v>39000</v>
      </c>
      <c r="AS2507">
        <v>0</v>
      </c>
      <c r="AU2507" t="s">
        <v>13092</v>
      </c>
    </row>
    <row r="2508" spans="1:48">
      <c r="A2508" s="1">
        <f>HYPERLINK("https://cms.ls-nyc.org/matter/dynamic-profile/view/1872290","18-1872290")</f>
        <v>0</v>
      </c>
      <c r="B2508" t="s">
        <v>158</v>
      </c>
      <c r="C2508" t="s">
        <v>394</v>
      </c>
      <c r="D2508" t="s">
        <v>465</v>
      </c>
      <c r="E2508" t="s">
        <v>655</v>
      </c>
      <c r="F2508" t="s">
        <v>2287</v>
      </c>
      <c r="G2508" t="s">
        <v>5082</v>
      </c>
      <c r="H2508" t="s">
        <v>5438</v>
      </c>
      <c r="I2508" t="s">
        <v>6047</v>
      </c>
      <c r="J2508">
        <v>10455</v>
      </c>
      <c r="K2508" t="s">
        <v>6074</v>
      </c>
      <c r="L2508" t="s">
        <v>6074</v>
      </c>
      <c r="M2508" t="s">
        <v>7095</v>
      </c>
      <c r="N2508" t="s">
        <v>7276</v>
      </c>
      <c r="O2508" t="s">
        <v>7308</v>
      </c>
      <c r="P2508" t="s">
        <v>7316</v>
      </c>
      <c r="Q2508" t="s">
        <v>7322</v>
      </c>
      <c r="R2508" t="s">
        <v>6076</v>
      </c>
      <c r="S2508" t="s">
        <v>7324</v>
      </c>
      <c r="T2508" t="s">
        <v>7337</v>
      </c>
      <c r="U2508" t="s">
        <v>394</v>
      </c>
      <c r="V2508">
        <v>1019</v>
      </c>
      <c r="W2508" t="s">
        <v>7363</v>
      </c>
      <c r="X2508" t="s">
        <v>7377</v>
      </c>
      <c r="Y2508" t="s">
        <v>7388</v>
      </c>
      <c r="Z2508" t="s">
        <v>9310</v>
      </c>
      <c r="AA2508" t="s">
        <v>10269</v>
      </c>
      <c r="AB2508" t="s">
        <v>11988</v>
      </c>
      <c r="AC2508">
        <v>110</v>
      </c>
      <c r="AD2508" t="s">
        <v>12422</v>
      </c>
      <c r="AE2508" t="s">
        <v>12434</v>
      </c>
      <c r="AF2508">
        <v>1</v>
      </c>
      <c r="AG2508">
        <v>1</v>
      </c>
      <c r="AH2508">
        <v>2</v>
      </c>
      <c r="AI2508">
        <v>187.68</v>
      </c>
      <c r="AL2508" t="s">
        <v>12460</v>
      </c>
      <c r="AM2508">
        <v>39000</v>
      </c>
      <c r="AN2508" t="s">
        <v>12513</v>
      </c>
      <c r="AO2508" t="s">
        <v>12850</v>
      </c>
      <c r="AP2508" t="s">
        <v>12858</v>
      </c>
      <c r="AQ2508" t="s">
        <v>12909</v>
      </c>
      <c r="AR2508" t="s">
        <v>13048</v>
      </c>
      <c r="AS2508">
        <v>17.4</v>
      </c>
      <c r="AT2508" t="s">
        <v>383</v>
      </c>
      <c r="AU2508" t="s">
        <v>13094</v>
      </c>
    </row>
    <row r="2509" spans="1:48">
      <c r="A2509" s="1">
        <f>HYPERLINK("https://cms.ls-nyc.org/matter/dynamic-profile/view/1875679","18-1875679")</f>
        <v>0</v>
      </c>
      <c r="B2509" t="s">
        <v>215</v>
      </c>
      <c r="C2509" t="s">
        <v>233</v>
      </c>
      <c r="D2509" t="s">
        <v>469</v>
      </c>
      <c r="E2509" t="s">
        <v>663</v>
      </c>
      <c r="F2509" t="s">
        <v>3317</v>
      </c>
      <c r="G2509" t="s">
        <v>5083</v>
      </c>
      <c r="I2509" t="s">
        <v>6047</v>
      </c>
      <c r="J2509">
        <v>10466</v>
      </c>
      <c r="K2509" t="s">
        <v>6074</v>
      </c>
      <c r="L2509" t="s">
        <v>6074</v>
      </c>
      <c r="N2509" t="s">
        <v>7288</v>
      </c>
      <c r="O2509" t="s">
        <v>7309</v>
      </c>
      <c r="P2509" t="s">
        <v>7321</v>
      </c>
      <c r="Q2509" t="s">
        <v>7322</v>
      </c>
      <c r="S2509" t="s">
        <v>7331</v>
      </c>
      <c r="U2509" t="s">
        <v>502</v>
      </c>
      <c r="V2509">
        <v>0</v>
      </c>
      <c r="W2509" t="s">
        <v>7363</v>
      </c>
      <c r="Y2509" t="s">
        <v>7387</v>
      </c>
      <c r="Z2509" t="s">
        <v>9311</v>
      </c>
      <c r="AB2509" t="s">
        <v>11989</v>
      </c>
      <c r="AC2509">
        <v>0</v>
      </c>
      <c r="AD2509" t="s">
        <v>12422</v>
      </c>
      <c r="AE2509" t="s">
        <v>12434</v>
      </c>
      <c r="AF2509">
        <v>0</v>
      </c>
      <c r="AG2509">
        <v>1</v>
      </c>
      <c r="AH2509">
        <v>0</v>
      </c>
      <c r="AI2509">
        <v>187.81</v>
      </c>
      <c r="AL2509" t="s">
        <v>12460</v>
      </c>
      <c r="AM2509">
        <v>22800</v>
      </c>
      <c r="AN2509" t="s">
        <v>12694</v>
      </c>
      <c r="AS2509">
        <v>8.5</v>
      </c>
      <c r="AT2509" t="s">
        <v>292</v>
      </c>
      <c r="AU2509" t="s">
        <v>215</v>
      </c>
    </row>
    <row r="2510" spans="1:48">
      <c r="A2510" s="1">
        <f>HYPERLINK("https://cms.ls-nyc.org/matter/dynamic-profile/view/1891317","19-1891317")</f>
        <v>0</v>
      </c>
      <c r="B2510" t="s">
        <v>96</v>
      </c>
      <c r="C2510" t="s">
        <v>261</v>
      </c>
      <c r="E2510" t="s">
        <v>1005</v>
      </c>
      <c r="F2510" t="s">
        <v>2984</v>
      </c>
      <c r="G2510" t="s">
        <v>3792</v>
      </c>
      <c r="H2510" t="s">
        <v>5483</v>
      </c>
      <c r="I2510" t="s">
        <v>6047</v>
      </c>
      <c r="J2510">
        <v>10453</v>
      </c>
      <c r="K2510" t="s">
        <v>6074</v>
      </c>
      <c r="L2510" t="s">
        <v>6074</v>
      </c>
      <c r="N2510" t="s">
        <v>7279</v>
      </c>
      <c r="O2510" t="s">
        <v>7311</v>
      </c>
      <c r="Q2510" t="s">
        <v>7322</v>
      </c>
      <c r="R2510" t="s">
        <v>6074</v>
      </c>
      <c r="S2510" t="s">
        <v>7324</v>
      </c>
      <c r="U2510" t="s">
        <v>457</v>
      </c>
      <c r="V2510">
        <v>1140</v>
      </c>
      <c r="W2510" t="s">
        <v>7363</v>
      </c>
      <c r="X2510" t="s">
        <v>7376</v>
      </c>
      <c r="Z2510" t="s">
        <v>7543</v>
      </c>
      <c r="AB2510" t="s">
        <v>11990</v>
      </c>
      <c r="AC2510">
        <v>170</v>
      </c>
      <c r="AD2510" t="s">
        <v>12422</v>
      </c>
      <c r="AE2510" t="s">
        <v>6110</v>
      </c>
      <c r="AF2510">
        <v>6</v>
      </c>
      <c r="AG2510">
        <v>1</v>
      </c>
      <c r="AH2510">
        <v>1</v>
      </c>
      <c r="AI2510">
        <v>187.89</v>
      </c>
      <c r="AL2510" t="s">
        <v>12461</v>
      </c>
      <c r="AM2510">
        <v>31772</v>
      </c>
      <c r="AS2510">
        <v>0</v>
      </c>
      <c r="AU2510" t="s">
        <v>13095</v>
      </c>
    </row>
    <row r="2511" spans="1:48">
      <c r="A2511" s="1">
        <f>HYPERLINK("https://cms.ls-nyc.org/matter/dynamic-profile/view/1891311","19-1891311")</f>
        <v>0</v>
      </c>
      <c r="B2511" t="s">
        <v>96</v>
      </c>
      <c r="C2511" t="s">
        <v>261</v>
      </c>
      <c r="E2511" t="s">
        <v>1005</v>
      </c>
      <c r="F2511" t="s">
        <v>2984</v>
      </c>
      <c r="G2511" t="s">
        <v>3792</v>
      </c>
      <c r="H2511" t="s">
        <v>5483</v>
      </c>
      <c r="I2511" t="s">
        <v>6047</v>
      </c>
      <c r="J2511">
        <v>10453</v>
      </c>
      <c r="K2511" t="s">
        <v>6074</v>
      </c>
      <c r="L2511" t="s">
        <v>6074</v>
      </c>
      <c r="M2511" t="s">
        <v>6259</v>
      </c>
      <c r="N2511" t="s">
        <v>7273</v>
      </c>
      <c r="O2511" t="s">
        <v>7308</v>
      </c>
      <c r="Q2511" t="s">
        <v>7322</v>
      </c>
      <c r="R2511" t="s">
        <v>6074</v>
      </c>
      <c r="S2511" t="s">
        <v>7324</v>
      </c>
      <c r="U2511" t="s">
        <v>457</v>
      </c>
      <c r="V2511">
        <v>1140.4</v>
      </c>
      <c r="W2511" t="s">
        <v>7363</v>
      </c>
      <c r="X2511" t="s">
        <v>7376</v>
      </c>
      <c r="Z2511" t="s">
        <v>7543</v>
      </c>
      <c r="AB2511" t="s">
        <v>11990</v>
      </c>
      <c r="AC2511">
        <v>170</v>
      </c>
      <c r="AD2511" t="s">
        <v>12422</v>
      </c>
      <c r="AE2511" t="s">
        <v>6110</v>
      </c>
      <c r="AF2511">
        <v>6</v>
      </c>
      <c r="AG2511">
        <v>1</v>
      </c>
      <c r="AH2511">
        <v>1</v>
      </c>
      <c r="AI2511">
        <v>187.89</v>
      </c>
      <c r="AL2511" t="s">
        <v>12461</v>
      </c>
      <c r="AM2511">
        <v>31772</v>
      </c>
      <c r="AS2511">
        <v>0</v>
      </c>
      <c r="AU2511" t="s">
        <v>13095</v>
      </c>
    </row>
    <row r="2512" spans="1:48">
      <c r="A2512" s="1">
        <f>HYPERLINK("https://cms.ls-nyc.org/matter/dynamic-profile/view/1881667","18-1881667")</f>
        <v>0</v>
      </c>
      <c r="B2512" t="s">
        <v>171</v>
      </c>
      <c r="C2512" t="s">
        <v>298</v>
      </c>
      <c r="E2512" t="s">
        <v>1137</v>
      </c>
      <c r="F2512" t="s">
        <v>2593</v>
      </c>
      <c r="G2512" t="s">
        <v>4248</v>
      </c>
      <c r="H2512">
        <v>201</v>
      </c>
      <c r="I2512" t="s">
        <v>6049</v>
      </c>
      <c r="J2512">
        <v>10025</v>
      </c>
      <c r="K2512" t="s">
        <v>6074</v>
      </c>
      <c r="L2512" t="s">
        <v>6074</v>
      </c>
      <c r="N2512" t="s">
        <v>7292</v>
      </c>
      <c r="O2512" t="s">
        <v>7308</v>
      </c>
      <c r="Q2512" t="s">
        <v>7322</v>
      </c>
      <c r="R2512" t="s">
        <v>6074</v>
      </c>
      <c r="S2512" t="s">
        <v>7324</v>
      </c>
      <c r="T2512" t="s">
        <v>7336</v>
      </c>
      <c r="U2512" t="s">
        <v>240</v>
      </c>
      <c r="V2512">
        <v>0</v>
      </c>
      <c r="W2512" t="s">
        <v>7362</v>
      </c>
      <c r="X2512" t="s">
        <v>7378</v>
      </c>
      <c r="Z2512" t="s">
        <v>8115</v>
      </c>
      <c r="AB2512" t="s">
        <v>10906</v>
      </c>
      <c r="AC2512">
        <v>24</v>
      </c>
      <c r="AD2512" t="s">
        <v>12422</v>
      </c>
      <c r="AE2512" t="s">
        <v>12433</v>
      </c>
      <c r="AF2512">
        <v>0</v>
      </c>
      <c r="AG2512">
        <v>2</v>
      </c>
      <c r="AH2512">
        <v>0</v>
      </c>
      <c r="AI2512">
        <v>187.96</v>
      </c>
      <c r="AK2512" t="s">
        <v>12458</v>
      </c>
      <c r="AL2512" t="s">
        <v>12460</v>
      </c>
      <c r="AM2512">
        <v>30938</v>
      </c>
      <c r="AN2512" t="s">
        <v>12532</v>
      </c>
      <c r="AS2512">
        <v>62.7</v>
      </c>
      <c r="AT2512" t="s">
        <v>276</v>
      </c>
      <c r="AU2512" t="s">
        <v>218</v>
      </c>
    </row>
    <row r="2513" spans="1:48">
      <c r="A2513" s="1">
        <f>HYPERLINK("https://cms.ls-nyc.org/matter/dynamic-profile/view/1875483","18-1875483")</f>
        <v>0</v>
      </c>
      <c r="B2513" t="s">
        <v>82</v>
      </c>
      <c r="C2513" t="s">
        <v>480</v>
      </c>
      <c r="E2513" t="s">
        <v>1086</v>
      </c>
      <c r="F2513" t="s">
        <v>3318</v>
      </c>
      <c r="G2513" t="s">
        <v>5084</v>
      </c>
      <c r="H2513" t="s">
        <v>5885</v>
      </c>
      <c r="I2513" t="s">
        <v>6043</v>
      </c>
      <c r="J2513">
        <v>11226</v>
      </c>
      <c r="K2513" t="s">
        <v>6074</v>
      </c>
      <c r="L2513" t="s">
        <v>6074</v>
      </c>
      <c r="M2513" t="s">
        <v>7096</v>
      </c>
      <c r="N2513" t="s">
        <v>7273</v>
      </c>
      <c r="O2513" t="s">
        <v>7308</v>
      </c>
      <c r="Q2513" t="s">
        <v>7322</v>
      </c>
      <c r="R2513" t="s">
        <v>6076</v>
      </c>
      <c r="S2513" t="s">
        <v>7324</v>
      </c>
      <c r="T2513" t="s">
        <v>7336</v>
      </c>
      <c r="U2513" t="s">
        <v>240</v>
      </c>
      <c r="V2513">
        <v>1500</v>
      </c>
      <c r="W2513" t="s">
        <v>7362</v>
      </c>
      <c r="X2513" t="s">
        <v>7376</v>
      </c>
      <c r="Z2513" t="s">
        <v>9312</v>
      </c>
      <c r="AA2513">
        <v>35171648</v>
      </c>
      <c r="AB2513" t="s">
        <v>11991</v>
      </c>
      <c r="AC2513">
        <v>66</v>
      </c>
      <c r="AD2513" t="s">
        <v>12422</v>
      </c>
      <c r="AE2513" t="s">
        <v>6110</v>
      </c>
      <c r="AF2513">
        <v>4</v>
      </c>
      <c r="AG2513">
        <v>3</v>
      </c>
      <c r="AH2513">
        <v>0</v>
      </c>
      <c r="AI2513">
        <v>188.12</v>
      </c>
      <c r="AL2513" t="s">
        <v>12460</v>
      </c>
      <c r="AM2513">
        <v>39092</v>
      </c>
      <c r="AS2513">
        <v>71.25</v>
      </c>
      <c r="AT2513" t="s">
        <v>386</v>
      </c>
      <c r="AU2513" t="s">
        <v>13087</v>
      </c>
    </row>
    <row r="2514" spans="1:48">
      <c r="A2514" s="1">
        <f>HYPERLINK("https://cms.ls-nyc.org/matter/dynamic-profile/view/1883696","18-1883696")</f>
        <v>0</v>
      </c>
      <c r="B2514" t="s">
        <v>82</v>
      </c>
      <c r="C2514" t="s">
        <v>408</v>
      </c>
      <c r="E2514" t="s">
        <v>1086</v>
      </c>
      <c r="F2514" t="s">
        <v>3318</v>
      </c>
      <c r="G2514" t="s">
        <v>5084</v>
      </c>
      <c r="H2514" t="s">
        <v>5885</v>
      </c>
      <c r="I2514" t="s">
        <v>6043</v>
      </c>
      <c r="J2514">
        <v>11226</v>
      </c>
      <c r="K2514" t="s">
        <v>6074</v>
      </c>
      <c r="L2514" t="s">
        <v>6074</v>
      </c>
      <c r="N2514" t="s">
        <v>7287</v>
      </c>
      <c r="O2514" t="s">
        <v>7308</v>
      </c>
      <c r="Q2514" t="s">
        <v>7322</v>
      </c>
      <c r="S2514" t="s">
        <v>7324</v>
      </c>
      <c r="T2514" t="s">
        <v>7336</v>
      </c>
      <c r="U2514" t="s">
        <v>408</v>
      </c>
      <c r="V2514">
        <v>1500</v>
      </c>
      <c r="W2514" t="s">
        <v>7362</v>
      </c>
      <c r="X2514" t="s">
        <v>7368</v>
      </c>
      <c r="Z2514" t="s">
        <v>9312</v>
      </c>
      <c r="AA2514">
        <v>35171648</v>
      </c>
      <c r="AB2514" t="s">
        <v>11991</v>
      </c>
      <c r="AC2514">
        <v>66</v>
      </c>
      <c r="AF2514">
        <v>4</v>
      </c>
      <c r="AG2514">
        <v>3</v>
      </c>
      <c r="AH2514">
        <v>0</v>
      </c>
      <c r="AI2514">
        <v>188.12</v>
      </c>
      <c r="AL2514" t="s">
        <v>12460</v>
      </c>
      <c r="AM2514">
        <v>39092</v>
      </c>
      <c r="AS2514">
        <v>26.5</v>
      </c>
      <c r="AT2514" t="s">
        <v>340</v>
      </c>
      <c r="AU2514" t="s">
        <v>13084</v>
      </c>
    </row>
    <row r="2515" spans="1:48">
      <c r="A2515" s="1">
        <f>HYPERLINK("https://cms.ls-nyc.org/matter/dynamic-profile/view/1876143","18-1876143")</f>
        <v>0</v>
      </c>
      <c r="B2515" t="s">
        <v>123</v>
      </c>
      <c r="C2515" t="s">
        <v>377</v>
      </c>
      <c r="D2515" t="s">
        <v>300</v>
      </c>
      <c r="E2515" t="s">
        <v>1790</v>
      </c>
      <c r="F2515" t="s">
        <v>2625</v>
      </c>
      <c r="G2515" t="s">
        <v>5085</v>
      </c>
      <c r="H2515" t="s">
        <v>5386</v>
      </c>
      <c r="I2515" t="s">
        <v>6048</v>
      </c>
      <c r="J2515">
        <v>10304</v>
      </c>
      <c r="K2515" t="s">
        <v>6074</v>
      </c>
      <c r="L2515" t="s">
        <v>6074</v>
      </c>
      <c r="M2515" t="s">
        <v>6110</v>
      </c>
      <c r="N2515" t="s">
        <v>7288</v>
      </c>
      <c r="O2515" t="s">
        <v>7306</v>
      </c>
      <c r="P2515" t="s">
        <v>7314</v>
      </c>
      <c r="Q2515" t="s">
        <v>7322</v>
      </c>
      <c r="R2515" t="s">
        <v>6076</v>
      </c>
      <c r="S2515" t="s">
        <v>7324</v>
      </c>
      <c r="U2515" t="s">
        <v>377</v>
      </c>
      <c r="V2515">
        <v>1238</v>
      </c>
      <c r="W2515" t="s">
        <v>7364</v>
      </c>
      <c r="X2515" t="s">
        <v>7378</v>
      </c>
      <c r="Y2515" t="s">
        <v>7386</v>
      </c>
      <c r="Z2515" t="s">
        <v>9313</v>
      </c>
      <c r="AA2515" t="s">
        <v>6110</v>
      </c>
      <c r="AB2515" t="s">
        <v>11992</v>
      </c>
      <c r="AC2515">
        <v>2</v>
      </c>
      <c r="AD2515" t="s">
        <v>12419</v>
      </c>
      <c r="AE2515" t="s">
        <v>12434</v>
      </c>
      <c r="AF2515">
        <v>6</v>
      </c>
      <c r="AG2515">
        <v>2</v>
      </c>
      <c r="AH2515">
        <v>0</v>
      </c>
      <c r="AI2515">
        <v>188.29</v>
      </c>
      <c r="AL2515" t="s">
        <v>12461</v>
      </c>
      <c r="AM2515">
        <v>30992</v>
      </c>
      <c r="AS2515">
        <v>4.25</v>
      </c>
      <c r="AT2515" t="s">
        <v>385</v>
      </c>
      <c r="AU2515" t="s">
        <v>13088</v>
      </c>
    </row>
    <row r="2516" spans="1:48">
      <c r="A2516" s="1">
        <f>HYPERLINK("https://cms.ls-nyc.org/matter/dynamic-profile/view/1871517","18-1871517")</f>
        <v>0</v>
      </c>
      <c r="B2516" t="s">
        <v>62</v>
      </c>
      <c r="C2516" t="s">
        <v>374</v>
      </c>
      <c r="D2516" t="s">
        <v>266</v>
      </c>
      <c r="E2516" t="s">
        <v>1729</v>
      </c>
      <c r="F2516" t="s">
        <v>3319</v>
      </c>
      <c r="G2516" t="s">
        <v>5086</v>
      </c>
      <c r="H2516">
        <v>1906</v>
      </c>
      <c r="I2516" t="s">
        <v>6024</v>
      </c>
      <c r="J2516">
        <v>11692</v>
      </c>
      <c r="K2516" t="s">
        <v>6074</v>
      </c>
      <c r="L2516" t="s">
        <v>6074</v>
      </c>
      <c r="M2516" t="s">
        <v>7097</v>
      </c>
      <c r="N2516" t="s">
        <v>7276</v>
      </c>
      <c r="O2516" t="s">
        <v>7306</v>
      </c>
      <c r="P2516" t="s">
        <v>7314</v>
      </c>
      <c r="Q2516" t="s">
        <v>7322</v>
      </c>
      <c r="R2516" t="s">
        <v>6076</v>
      </c>
      <c r="S2516" t="s">
        <v>7324</v>
      </c>
      <c r="T2516" t="s">
        <v>7336</v>
      </c>
      <c r="U2516" t="s">
        <v>374</v>
      </c>
      <c r="V2516">
        <v>1150</v>
      </c>
      <c r="W2516" t="s">
        <v>7361</v>
      </c>
      <c r="X2516" t="s">
        <v>7366</v>
      </c>
      <c r="Y2516" t="s">
        <v>7386</v>
      </c>
      <c r="Z2516" t="s">
        <v>9314</v>
      </c>
      <c r="AA2516" t="s">
        <v>6101</v>
      </c>
      <c r="AB2516" t="s">
        <v>11993</v>
      </c>
      <c r="AC2516">
        <v>228</v>
      </c>
      <c r="AD2516" t="s">
        <v>12423</v>
      </c>
      <c r="AE2516" t="s">
        <v>12434</v>
      </c>
      <c r="AF2516">
        <v>5</v>
      </c>
      <c r="AG2516">
        <v>1</v>
      </c>
      <c r="AH2516">
        <v>1</v>
      </c>
      <c r="AI2516">
        <v>188.34</v>
      </c>
      <c r="AK2516" t="s">
        <v>12457</v>
      </c>
      <c r="AL2516" t="s">
        <v>12460</v>
      </c>
      <c r="AM2516">
        <v>31000</v>
      </c>
      <c r="AS2516">
        <v>1</v>
      </c>
      <c r="AT2516" t="s">
        <v>440</v>
      </c>
      <c r="AU2516" t="s">
        <v>189</v>
      </c>
    </row>
    <row r="2517" spans="1:48">
      <c r="A2517" s="1">
        <f>HYPERLINK("https://cms.ls-nyc.org/matter/dynamic-profile/view/1882383","18-1882383")</f>
        <v>0</v>
      </c>
      <c r="B2517" t="s">
        <v>68</v>
      </c>
      <c r="C2517" t="s">
        <v>468</v>
      </c>
      <c r="D2517" t="s">
        <v>344</v>
      </c>
      <c r="E2517" t="s">
        <v>1791</v>
      </c>
      <c r="F2517" t="s">
        <v>3320</v>
      </c>
      <c r="G2517" t="s">
        <v>5087</v>
      </c>
      <c r="H2517">
        <v>2</v>
      </c>
      <c r="I2517" t="s">
        <v>6043</v>
      </c>
      <c r="J2517">
        <v>11233</v>
      </c>
      <c r="K2517" t="s">
        <v>6074</v>
      </c>
      <c r="L2517" t="s">
        <v>6074</v>
      </c>
      <c r="M2517" t="s">
        <v>7098</v>
      </c>
      <c r="N2517" t="s">
        <v>7276</v>
      </c>
      <c r="O2517" t="s">
        <v>7306</v>
      </c>
      <c r="P2517" t="s">
        <v>7314</v>
      </c>
      <c r="Q2517" t="s">
        <v>7322</v>
      </c>
      <c r="S2517" t="s">
        <v>7324</v>
      </c>
      <c r="U2517" t="s">
        <v>344</v>
      </c>
      <c r="V2517">
        <v>2550</v>
      </c>
      <c r="W2517" t="s">
        <v>7362</v>
      </c>
      <c r="X2517" t="s">
        <v>7366</v>
      </c>
      <c r="Y2517" t="s">
        <v>7386</v>
      </c>
      <c r="Z2517" t="s">
        <v>9315</v>
      </c>
      <c r="AA2517" t="s">
        <v>10270</v>
      </c>
      <c r="AB2517" t="s">
        <v>11994</v>
      </c>
      <c r="AC2517">
        <v>3</v>
      </c>
      <c r="AE2517" t="s">
        <v>7305</v>
      </c>
      <c r="AF2517">
        <v>-5</v>
      </c>
      <c r="AG2517">
        <v>1</v>
      </c>
      <c r="AH2517">
        <v>1</v>
      </c>
      <c r="AI2517">
        <v>188.34</v>
      </c>
      <c r="AL2517" t="s">
        <v>12460</v>
      </c>
      <c r="AM2517">
        <v>31000</v>
      </c>
      <c r="AS2517">
        <v>4.3</v>
      </c>
      <c r="AT2517" t="s">
        <v>320</v>
      </c>
      <c r="AU2517" t="s">
        <v>13082</v>
      </c>
    </row>
    <row r="2518" spans="1:48">
      <c r="A2518" s="1">
        <f>HYPERLINK("https://cms.ls-nyc.org/matter/dynamic-profile/view/1880273","18-1880273")</f>
        <v>0</v>
      </c>
      <c r="B2518" t="s">
        <v>97</v>
      </c>
      <c r="C2518" t="s">
        <v>391</v>
      </c>
      <c r="D2518" t="s">
        <v>443</v>
      </c>
      <c r="E2518" t="s">
        <v>1033</v>
      </c>
      <c r="F2518" t="s">
        <v>3057</v>
      </c>
      <c r="G2518" t="s">
        <v>4790</v>
      </c>
      <c r="H2518" t="s">
        <v>5441</v>
      </c>
      <c r="I2518" t="s">
        <v>6047</v>
      </c>
      <c r="J2518">
        <v>10453</v>
      </c>
      <c r="K2518" t="s">
        <v>6074</v>
      </c>
      <c r="L2518" t="s">
        <v>6074</v>
      </c>
      <c r="N2518" t="s">
        <v>6104</v>
      </c>
      <c r="O2518" t="s">
        <v>7307</v>
      </c>
      <c r="P2518" t="s">
        <v>7315</v>
      </c>
      <c r="Q2518" t="s">
        <v>7322</v>
      </c>
      <c r="R2518" t="s">
        <v>6076</v>
      </c>
      <c r="S2518" t="s">
        <v>7324</v>
      </c>
      <c r="U2518" t="s">
        <v>391</v>
      </c>
      <c r="V2518">
        <v>1067</v>
      </c>
      <c r="W2518" t="s">
        <v>7363</v>
      </c>
      <c r="X2518" t="s">
        <v>7376</v>
      </c>
      <c r="Y2518" t="s">
        <v>7387</v>
      </c>
      <c r="Z2518" t="s">
        <v>8882</v>
      </c>
      <c r="AB2518" t="s">
        <v>11586</v>
      </c>
      <c r="AC2518">
        <v>70</v>
      </c>
      <c r="AD2518" t="s">
        <v>12422</v>
      </c>
      <c r="AE2518" t="s">
        <v>12434</v>
      </c>
      <c r="AF2518">
        <v>23</v>
      </c>
      <c r="AG2518">
        <v>1</v>
      </c>
      <c r="AH2518">
        <v>0</v>
      </c>
      <c r="AI2518">
        <v>188.47</v>
      </c>
      <c r="AL2518" t="s">
        <v>12461</v>
      </c>
      <c r="AM2518">
        <v>22880</v>
      </c>
      <c r="AS2518">
        <v>1.9</v>
      </c>
      <c r="AT2518" t="s">
        <v>443</v>
      </c>
      <c r="AU2518" t="s">
        <v>97</v>
      </c>
    </row>
    <row r="2519" spans="1:48">
      <c r="A2519" s="1">
        <f>HYPERLINK("https://cms.ls-nyc.org/matter/dynamic-profile/view/1897518","19-1897518")</f>
        <v>0</v>
      </c>
      <c r="B2519" t="s">
        <v>72</v>
      </c>
      <c r="C2519" t="s">
        <v>280</v>
      </c>
      <c r="E2519" t="s">
        <v>891</v>
      </c>
      <c r="F2519" t="s">
        <v>2429</v>
      </c>
      <c r="G2519" t="s">
        <v>3700</v>
      </c>
      <c r="H2519" t="s">
        <v>5886</v>
      </c>
      <c r="I2519" t="s">
        <v>6043</v>
      </c>
      <c r="J2519">
        <v>11233</v>
      </c>
      <c r="K2519" t="s">
        <v>6074</v>
      </c>
      <c r="L2519" t="s">
        <v>6076</v>
      </c>
      <c r="N2519" t="s">
        <v>7279</v>
      </c>
      <c r="O2519" t="s">
        <v>7311</v>
      </c>
      <c r="Q2519" t="s">
        <v>7322</v>
      </c>
      <c r="R2519" t="s">
        <v>6074</v>
      </c>
      <c r="S2519" t="s">
        <v>7324</v>
      </c>
      <c r="T2519" t="s">
        <v>7336</v>
      </c>
      <c r="U2519" t="s">
        <v>330</v>
      </c>
      <c r="V2519">
        <v>981</v>
      </c>
      <c r="W2519" t="s">
        <v>7362</v>
      </c>
      <c r="X2519" t="s">
        <v>7372</v>
      </c>
      <c r="Z2519" t="s">
        <v>9316</v>
      </c>
      <c r="AC2519">
        <v>359</v>
      </c>
      <c r="AD2519" t="s">
        <v>12422</v>
      </c>
      <c r="AF2519">
        <v>20</v>
      </c>
      <c r="AG2519">
        <v>1</v>
      </c>
      <c r="AH2519">
        <v>1</v>
      </c>
      <c r="AI2519">
        <v>189.24</v>
      </c>
      <c r="AL2519" t="s">
        <v>12460</v>
      </c>
      <c r="AM2519">
        <v>32000</v>
      </c>
      <c r="AN2519" t="s">
        <v>12490</v>
      </c>
      <c r="AS2519">
        <v>0</v>
      </c>
      <c r="AU2519" t="s">
        <v>218</v>
      </c>
    </row>
    <row r="2520" spans="1:48">
      <c r="A2520" s="1">
        <f>HYPERLINK("https://cms.ls-nyc.org/matter/dynamic-profile/view/1897521","19-1897521")</f>
        <v>0</v>
      </c>
      <c r="B2520" t="s">
        <v>72</v>
      </c>
      <c r="C2520" t="s">
        <v>280</v>
      </c>
      <c r="E2520" t="s">
        <v>891</v>
      </c>
      <c r="F2520" t="s">
        <v>2429</v>
      </c>
      <c r="G2520" t="s">
        <v>3700</v>
      </c>
      <c r="H2520" t="s">
        <v>5886</v>
      </c>
      <c r="I2520" t="s">
        <v>6043</v>
      </c>
      <c r="J2520">
        <v>11233</v>
      </c>
      <c r="K2520" t="s">
        <v>6074</v>
      </c>
      <c r="L2520" t="s">
        <v>6076</v>
      </c>
      <c r="N2520" t="s">
        <v>7275</v>
      </c>
      <c r="O2520" t="s">
        <v>7307</v>
      </c>
      <c r="Q2520" t="s">
        <v>7322</v>
      </c>
      <c r="R2520" t="s">
        <v>6074</v>
      </c>
      <c r="S2520" t="s">
        <v>7324</v>
      </c>
      <c r="T2520" t="s">
        <v>7336</v>
      </c>
      <c r="U2520" t="s">
        <v>287</v>
      </c>
      <c r="V2520">
        <v>981</v>
      </c>
      <c r="W2520" t="s">
        <v>7362</v>
      </c>
      <c r="Z2520" t="s">
        <v>9316</v>
      </c>
      <c r="AC2520">
        <v>359</v>
      </c>
      <c r="AD2520" t="s">
        <v>12422</v>
      </c>
      <c r="AF2520">
        <v>20</v>
      </c>
      <c r="AG2520">
        <v>1</v>
      </c>
      <c r="AH2520">
        <v>1</v>
      </c>
      <c r="AI2520">
        <v>189.24</v>
      </c>
      <c r="AL2520" t="s">
        <v>12460</v>
      </c>
      <c r="AM2520">
        <v>32000</v>
      </c>
      <c r="AN2520" t="s">
        <v>12695</v>
      </c>
      <c r="AS2520">
        <v>0</v>
      </c>
      <c r="AU2520" t="s">
        <v>218</v>
      </c>
    </row>
    <row r="2521" spans="1:48">
      <c r="A2521" s="1">
        <f>HYPERLINK("https://cms.ls-nyc.org/matter/dynamic-profile/view/1900677","19-1900677")</f>
        <v>0</v>
      </c>
      <c r="B2521" t="s">
        <v>89</v>
      </c>
      <c r="C2521" t="s">
        <v>260</v>
      </c>
      <c r="E2521" t="s">
        <v>1792</v>
      </c>
      <c r="F2521" t="s">
        <v>1504</v>
      </c>
      <c r="G2521" t="s">
        <v>5036</v>
      </c>
      <c r="H2521">
        <v>7</v>
      </c>
      <c r="I2521" t="s">
        <v>6043</v>
      </c>
      <c r="J2521">
        <v>11213</v>
      </c>
      <c r="K2521" t="s">
        <v>6074</v>
      </c>
      <c r="L2521" t="s">
        <v>6075</v>
      </c>
      <c r="N2521" t="s">
        <v>6104</v>
      </c>
      <c r="O2521" t="s">
        <v>7309</v>
      </c>
      <c r="Q2521" t="s">
        <v>7322</v>
      </c>
      <c r="R2521" t="s">
        <v>6074</v>
      </c>
      <c r="S2521" t="s">
        <v>7324</v>
      </c>
      <c r="T2521" t="s">
        <v>7336</v>
      </c>
      <c r="U2521" t="s">
        <v>260</v>
      </c>
      <c r="V2521">
        <v>931.36</v>
      </c>
      <c r="W2521" t="s">
        <v>7362</v>
      </c>
      <c r="X2521" t="s">
        <v>7376</v>
      </c>
      <c r="Z2521" t="s">
        <v>9317</v>
      </c>
      <c r="AA2521" t="s">
        <v>6110</v>
      </c>
      <c r="AC2521">
        <v>31</v>
      </c>
      <c r="AD2521" t="s">
        <v>12422</v>
      </c>
      <c r="AE2521" t="s">
        <v>6110</v>
      </c>
      <c r="AF2521">
        <v>35</v>
      </c>
      <c r="AG2521">
        <v>2</v>
      </c>
      <c r="AH2521">
        <v>0</v>
      </c>
      <c r="AI2521">
        <v>189.24</v>
      </c>
      <c r="AL2521" t="s">
        <v>12460</v>
      </c>
      <c r="AM2521">
        <v>32000</v>
      </c>
      <c r="AN2521" t="s">
        <v>12696</v>
      </c>
      <c r="AS2521">
        <v>0</v>
      </c>
      <c r="AU2521" t="s">
        <v>218</v>
      </c>
      <c r="AV2521" t="s">
        <v>13145</v>
      </c>
    </row>
    <row r="2522" spans="1:48">
      <c r="A2522" s="1">
        <f>HYPERLINK("https://cms.ls-nyc.org/matter/dynamic-profile/view/1900983","19-1900983")</f>
        <v>0</v>
      </c>
      <c r="B2522" t="s">
        <v>133</v>
      </c>
      <c r="C2522" t="s">
        <v>382</v>
      </c>
      <c r="D2522" t="s">
        <v>324</v>
      </c>
      <c r="E2522" t="s">
        <v>737</v>
      </c>
      <c r="F2522" t="s">
        <v>3321</v>
      </c>
      <c r="G2522" t="s">
        <v>5088</v>
      </c>
      <c r="H2522" t="s">
        <v>5887</v>
      </c>
      <c r="I2522" t="s">
        <v>6049</v>
      </c>
      <c r="J2522">
        <v>10032</v>
      </c>
      <c r="K2522" t="s">
        <v>6074</v>
      </c>
      <c r="L2522" t="s">
        <v>6075</v>
      </c>
      <c r="O2522" t="s">
        <v>7306</v>
      </c>
      <c r="P2522" t="s">
        <v>7314</v>
      </c>
      <c r="Q2522" t="s">
        <v>7322</v>
      </c>
      <c r="R2522" t="s">
        <v>6076</v>
      </c>
      <c r="S2522" t="s">
        <v>7324</v>
      </c>
      <c r="U2522" t="s">
        <v>382</v>
      </c>
      <c r="V2522">
        <v>750.87</v>
      </c>
      <c r="W2522" t="s">
        <v>7365</v>
      </c>
      <c r="X2522" t="s">
        <v>7367</v>
      </c>
      <c r="Y2522" t="s">
        <v>7386</v>
      </c>
      <c r="Z2522" t="s">
        <v>8480</v>
      </c>
      <c r="AB2522" t="s">
        <v>11995</v>
      </c>
      <c r="AC2522">
        <v>219</v>
      </c>
      <c r="AD2522" t="s">
        <v>12422</v>
      </c>
      <c r="AE2522" t="s">
        <v>6110</v>
      </c>
      <c r="AF2522">
        <v>8</v>
      </c>
      <c r="AG2522">
        <v>2</v>
      </c>
      <c r="AH2522">
        <v>0</v>
      </c>
      <c r="AI2522">
        <v>189.24</v>
      </c>
      <c r="AL2522" t="s">
        <v>12461</v>
      </c>
      <c r="AM2522">
        <v>32000</v>
      </c>
      <c r="AS2522">
        <v>1</v>
      </c>
      <c r="AT2522" t="s">
        <v>423</v>
      </c>
      <c r="AU2522" t="s">
        <v>13106</v>
      </c>
      <c r="AV2522" t="s">
        <v>13145</v>
      </c>
    </row>
    <row r="2523" spans="1:48">
      <c r="A2523" s="1">
        <f>HYPERLINK("https://cms.ls-nyc.org/matter/dynamic-profile/view/1884541","18-1884541")</f>
        <v>0</v>
      </c>
      <c r="B2523" t="s">
        <v>103</v>
      </c>
      <c r="C2523" t="s">
        <v>283</v>
      </c>
      <c r="E2523" t="s">
        <v>1793</v>
      </c>
      <c r="F2523" t="s">
        <v>2758</v>
      </c>
      <c r="G2523" t="s">
        <v>3810</v>
      </c>
      <c r="H2523" t="s">
        <v>5888</v>
      </c>
      <c r="I2523" t="s">
        <v>6047</v>
      </c>
      <c r="J2523">
        <v>10451</v>
      </c>
      <c r="K2523" t="s">
        <v>6074</v>
      </c>
      <c r="L2523" t="s">
        <v>6074</v>
      </c>
      <c r="M2523" t="s">
        <v>6201</v>
      </c>
      <c r="N2523" t="s">
        <v>7273</v>
      </c>
      <c r="O2523" t="s">
        <v>7308</v>
      </c>
      <c r="Q2523" t="s">
        <v>7322</v>
      </c>
      <c r="R2523" t="s">
        <v>6074</v>
      </c>
      <c r="S2523" t="s">
        <v>7324</v>
      </c>
      <c r="U2523" t="s">
        <v>472</v>
      </c>
      <c r="V2523">
        <v>1468</v>
      </c>
      <c r="W2523" t="s">
        <v>7363</v>
      </c>
      <c r="X2523" t="s">
        <v>7376</v>
      </c>
      <c r="Z2523" t="s">
        <v>9318</v>
      </c>
      <c r="AB2523" t="s">
        <v>11996</v>
      </c>
      <c r="AC2523">
        <v>100</v>
      </c>
      <c r="AD2523" t="s">
        <v>12419</v>
      </c>
      <c r="AE2523" t="s">
        <v>6110</v>
      </c>
      <c r="AF2523">
        <v>35</v>
      </c>
      <c r="AG2523">
        <v>1</v>
      </c>
      <c r="AH2523">
        <v>0</v>
      </c>
      <c r="AI2523">
        <v>189.46</v>
      </c>
      <c r="AL2523" t="s">
        <v>12460</v>
      </c>
      <c r="AM2523">
        <v>23000</v>
      </c>
      <c r="AS2523">
        <v>0</v>
      </c>
      <c r="AU2523" t="s">
        <v>13095</v>
      </c>
    </row>
    <row r="2524" spans="1:48">
      <c r="A2524" s="1">
        <f>HYPERLINK("https://cms.ls-nyc.org/matter/dynamic-profile/view/1882916","18-1882916")</f>
        <v>0</v>
      </c>
      <c r="B2524" t="s">
        <v>70</v>
      </c>
      <c r="C2524" t="s">
        <v>416</v>
      </c>
      <c r="E2524" t="s">
        <v>671</v>
      </c>
      <c r="F2524" t="s">
        <v>2145</v>
      </c>
      <c r="G2524" t="s">
        <v>3737</v>
      </c>
      <c r="H2524" t="s">
        <v>5412</v>
      </c>
      <c r="I2524" t="s">
        <v>6043</v>
      </c>
      <c r="J2524">
        <v>11213</v>
      </c>
      <c r="K2524" t="s">
        <v>6074</v>
      </c>
      <c r="L2524" t="s">
        <v>6074</v>
      </c>
      <c r="M2524" t="s">
        <v>7099</v>
      </c>
      <c r="N2524" t="s">
        <v>7274</v>
      </c>
      <c r="O2524" t="s">
        <v>7308</v>
      </c>
      <c r="Q2524" t="s">
        <v>7322</v>
      </c>
      <c r="R2524" t="s">
        <v>6076</v>
      </c>
      <c r="S2524" t="s">
        <v>7324</v>
      </c>
      <c r="T2524" t="s">
        <v>7336</v>
      </c>
      <c r="U2524" t="s">
        <v>403</v>
      </c>
      <c r="V2524">
        <v>1158.98</v>
      </c>
      <c r="W2524" t="s">
        <v>7362</v>
      </c>
      <c r="X2524" t="s">
        <v>7368</v>
      </c>
      <c r="Z2524" t="s">
        <v>7513</v>
      </c>
      <c r="AA2524" t="s">
        <v>10271</v>
      </c>
      <c r="AB2524" t="s">
        <v>10364</v>
      </c>
      <c r="AC2524">
        <v>134</v>
      </c>
      <c r="AD2524" t="s">
        <v>12422</v>
      </c>
      <c r="AE2524" t="s">
        <v>6110</v>
      </c>
      <c r="AF2524">
        <v>11</v>
      </c>
      <c r="AG2524">
        <v>1</v>
      </c>
      <c r="AH2524">
        <v>1</v>
      </c>
      <c r="AI2524">
        <v>189.55</v>
      </c>
      <c r="AL2524" t="s">
        <v>12460</v>
      </c>
      <c r="AM2524">
        <v>31200</v>
      </c>
      <c r="AO2524" t="s">
        <v>12845</v>
      </c>
      <c r="AS2524">
        <v>39.46</v>
      </c>
      <c r="AT2524" t="s">
        <v>501</v>
      </c>
      <c r="AU2524" t="s">
        <v>13084</v>
      </c>
      <c r="AV2524" t="s">
        <v>13145</v>
      </c>
    </row>
    <row r="2525" spans="1:48">
      <c r="A2525" s="1">
        <f>HYPERLINK("https://cms.ls-nyc.org/matter/dynamic-profile/view/1880089","18-1880089")</f>
        <v>0</v>
      </c>
      <c r="B2525" t="s">
        <v>53</v>
      </c>
      <c r="C2525" t="s">
        <v>245</v>
      </c>
      <c r="D2525" t="s">
        <v>472</v>
      </c>
      <c r="E2525" t="s">
        <v>1366</v>
      </c>
      <c r="F2525" t="s">
        <v>2265</v>
      </c>
      <c r="G2525" t="s">
        <v>5089</v>
      </c>
      <c r="H2525">
        <v>2</v>
      </c>
      <c r="I2525" t="s">
        <v>6025</v>
      </c>
      <c r="J2525">
        <v>11691</v>
      </c>
      <c r="K2525" t="s">
        <v>6074</v>
      </c>
      <c r="L2525" t="s">
        <v>6074</v>
      </c>
      <c r="M2525" t="s">
        <v>7100</v>
      </c>
      <c r="N2525" t="s">
        <v>7274</v>
      </c>
      <c r="O2525" t="s">
        <v>7306</v>
      </c>
      <c r="P2525" t="s">
        <v>7314</v>
      </c>
      <c r="Q2525" t="s">
        <v>7322</v>
      </c>
      <c r="R2525" t="s">
        <v>6076</v>
      </c>
      <c r="S2525" t="s">
        <v>7324</v>
      </c>
      <c r="T2525" t="s">
        <v>7340</v>
      </c>
      <c r="U2525" t="s">
        <v>245</v>
      </c>
      <c r="V2525">
        <v>1800</v>
      </c>
      <c r="W2525" t="s">
        <v>7361</v>
      </c>
      <c r="X2525" t="s">
        <v>7366</v>
      </c>
      <c r="Y2525" t="s">
        <v>7386</v>
      </c>
      <c r="Z2525" t="s">
        <v>9319</v>
      </c>
      <c r="AB2525" t="s">
        <v>11997</v>
      </c>
      <c r="AC2525">
        <v>2</v>
      </c>
      <c r="AD2525" t="s">
        <v>12419</v>
      </c>
      <c r="AE2525" t="s">
        <v>12434</v>
      </c>
      <c r="AF2525">
        <v>11</v>
      </c>
      <c r="AG2525">
        <v>3</v>
      </c>
      <c r="AH2525">
        <v>0</v>
      </c>
      <c r="AI2525">
        <v>189.61</v>
      </c>
      <c r="AL2525" t="s">
        <v>12460</v>
      </c>
      <c r="AM2525">
        <v>39400</v>
      </c>
      <c r="AS2525">
        <v>1.2</v>
      </c>
      <c r="AT2525" t="s">
        <v>272</v>
      </c>
      <c r="AU2525" t="s">
        <v>48</v>
      </c>
    </row>
    <row r="2526" spans="1:48">
      <c r="A2526" s="1">
        <f>HYPERLINK("https://cms.ls-nyc.org/matter/dynamic-profile/view/1873362","18-1873362")</f>
        <v>0</v>
      </c>
      <c r="B2526" t="s">
        <v>95</v>
      </c>
      <c r="C2526" t="s">
        <v>232</v>
      </c>
      <c r="D2526" t="s">
        <v>312</v>
      </c>
      <c r="E2526" t="s">
        <v>1163</v>
      </c>
      <c r="F2526" t="s">
        <v>3322</v>
      </c>
      <c r="G2526" t="s">
        <v>5090</v>
      </c>
      <c r="I2526" t="s">
        <v>6039</v>
      </c>
      <c r="J2526">
        <v>11368</v>
      </c>
      <c r="K2526" t="s">
        <v>6074</v>
      </c>
      <c r="L2526" t="s">
        <v>6074</v>
      </c>
      <c r="M2526" t="s">
        <v>6110</v>
      </c>
      <c r="N2526" t="s">
        <v>6104</v>
      </c>
      <c r="O2526" t="s">
        <v>7306</v>
      </c>
      <c r="P2526" t="s">
        <v>7314</v>
      </c>
      <c r="Q2526" t="s">
        <v>7323</v>
      </c>
      <c r="R2526" t="s">
        <v>6076</v>
      </c>
      <c r="S2526" t="s">
        <v>7324</v>
      </c>
      <c r="T2526" t="s">
        <v>7336</v>
      </c>
      <c r="U2526" t="s">
        <v>232</v>
      </c>
      <c r="V2526">
        <v>1603.78</v>
      </c>
      <c r="W2526" t="s">
        <v>7361</v>
      </c>
      <c r="X2526" t="s">
        <v>7369</v>
      </c>
      <c r="Y2526" t="s">
        <v>7386</v>
      </c>
      <c r="Z2526" t="s">
        <v>9320</v>
      </c>
      <c r="AB2526" t="s">
        <v>11998</v>
      </c>
      <c r="AC2526">
        <v>216</v>
      </c>
      <c r="AD2526" t="s">
        <v>12422</v>
      </c>
      <c r="AE2526" t="s">
        <v>6110</v>
      </c>
      <c r="AF2526">
        <v>9</v>
      </c>
      <c r="AG2526">
        <v>2</v>
      </c>
      <c r="AH2526">
        <v>0</v>
      </c>
      <c r="AI2526">
        <v>189.68</v>
      </c>
      <c r="AJ2526" t="s">
        <v>12443</v>
      </c>
      <c r="AK2526" t="s">
        <v>12455</v>
      </c>
      <c r="AL2526" t="s">
        <v>12461</v>
      </c>
      <c r="AM2526">
        <v>31222.1</v>
      </c>
      <c r="AS2526">
        <v>1.2</v>
      </c>
      <c r="AT2526" t="s">
        <v>232</v>
      </c>
      <c r="AU2526" t="s">
        <v>95</v>
      </c>
    </row>
    <row r="2527" spans="1:48">
      <c r="A2527" s="1">
        <f>HYPERLINK("https://cms.ls-nyc.org/matter/dynamic-profile/view/1897091","19-1897091")</f>
        <v>0</v>
      </c>
      <c r="B2527" t="s">
        <v>54</v>
      </c>
      <c r="C2527" t="s">
        <v>268</v>
      </c>
      <c r="E2527" t="s">
        <v>1794</v>
      </c>
      <c r="F2527" t="s">
        <v>2309</v>
      </c>
      <c r="G2527" t="s">
        <v>3900</v>
      </c>
      <c r="H2527" t="s">
        <v>5889</v>
      </c>
      <c r="I2527" t="s">
        <v>6025</v>
      </c>
      <c r="J2527">
        <v>11691</v>
      </c>
      <c r="K2527" t="s">
        <v>6074</v>
      </c>
      <c r="L2527" t="s">
        <v>6074</v>
      </c>
      <c r="N2527" t="s">
        <v>7279</v>
      </c>
      <c r="O2527" t="s">
        <v>7311</v>
      </c>
      <c r="Q2527" t="s">
        <v>7322</v>
      </c>
      <c r="R2527" t="s">
        <v>6074</v>
      </c>
      <c r="S2527" t="s">
        <v>7324</v>
      </c>
      <c r="U2527" t="s">
        <v>268</v>
      </c>
      <c r="V2527">
        <v>675</v>
      </c>
      <c r="W2527" t="s">
        <v>7361</v>
      </c>
      <c r="X2527" t="s">
        <v>7366</v>
      </c>
      <c r="Z2527" t="s">
        <v>9321</v>
      </c>
      <c r="AB2527" t="s">
        <v>11999</v>
      </c>
      <c r="AC2527">
        <v>43</v>
      </c>
      <c r="AD2527" t="s">
        <v>12431</v>
      </c>
      <c r="AF2527">
        <v>4</v>
      </c>
      <c r="AG2527">
        <v>1</v>
      </c>
      <c r="AH2527">
        <v>0</v>
      </c>
      <c r="AI2527">
        <v>190.47</v>
      </c>
      <c r="AL2527" t="s">
        <v>12460</v>
      </c>
      <c r="AM2527">
        <v>23790</v>
      </c>
      <c r="AS2527">
        <v>0</v>
      </c>
      <c r="AU2527" t="s">
        <v>13078</v>
      </c>
    </row>
    <row r="2528" spans="1:48">
      <c r="A2528" s="1">
        <f>HYPERLINK("https://cms.ls-nyc.org/matter/dynamic-profile/view/1897102","19-1897102")</f>
        <v>0</v>
      </c>
      <c r="B2528" t="s">
        <v>54</v>
      </c>
      <c r="C2528" t="s">
        <v>268</v>
      </c>
      <c r="E2528" t="s">
        <v>1794</v>
      </c>
      <c r="F2528" t="s">
        <v>2309</v>
      </c>
      <c r="G2528" t="s">
        <v>3900</v>
      </c>
      <c r="H2528" t="s">
        <v>5889</v>
      </c>
      <c r="I2528" t="s">
        <v>6025</v>
      </c>
      <c r="J2528">
        <v>11691</v>
      </c>
      <c r="K2528" t="s">
        <v>6074</v>
      </c>
      <c r="L2528" t="s">
        <v>6074</v>
      </c>
      <c r="N2528" t="s">
        <v>7278</v>
      </c>
      <c r="O2528" t="s">
        <v>7307</v>
      </c>
      <c r="Q2528" t="s">
        <v>7322</v>
      </c>
      <c r="R2528" t="s">
        <v>6074</v>
      </c>
      <c r="S2528" t="s">
        <v>7324</v>
      </c>
      <c r="U2528" t="s">
        <v>268</v>
      </c>
      <c r="V2528">
        <v>675</v>
      </c>
      <c r="W2528" t="s">
        <v>7361</v>
      </c>
      <c r="X2528" t="s">
        <v>7366</v>
      </c>
      <c r="Z2528" t="s">
        <v>9321</v>
      </c>
      <c r="AB2528" t="s">
        <v>11999</v>
      </c>
      <c r="AC2528">
        <v>43</v>
      </c>
      <c r="AD2528" t="s">
        <v>12431</v>
      </c>
      <c r="AF2528">
        <v>4</v>
      </c>
      <c r="AG2528">
        <v>1</v>
      </c>
      <c r="AH2528">
        <v>0</v>
      </c>
      <c r="AI2528">
        <v>190.47</v>
      </c>
      <c r="AL2528" t="s">
        <v>12460</v>
      </c>
      <c r="AM2528">
        <v>23790</v>
      </c>
      <c r="AS2528">
        <v>0</v>
      </c>
      <c r="AU2528" t="s">
        <v>13078</v>
      </c>
    </row>
    <row r="2529" spans="1:48">
      <c r="A2529" s="1">
        <f>HYPERLINK("https://cms.ls-nyc.org/matter/dynamic-profile/view/1875209","18-1875209")</f>
        <v>0</v>
      </c>
      <c r="B2529" t="s">
        <v>168</v>
      </c>
      <c r="C2529" t="s">
        <v>427</v>
      </c>
      <c r="E2529" t="s">
        <v>1795</v>
      </c>
      <c r="F2529" t="s">
        <v>2536</v>
      </c>
      <c r="G2529" t="s">
        <v>5091</v>
      </c>
      <c r="H2529" t="s">
        <v>5422</v>
      </c>
      <c r="I2529" t="s">
        <v>6043</v>
      </c>
      <c r="J2529">
        <v>11233</v>
      </c>
      <c r="K2529" t="s">
        <v>6074</v>
      </c>
      <c r="L2529" t="s">
        <v>6074</v>
      </c>
      <c r="M2529" t="s">
        <v>7101</v>
      </c>
      <c r="N2529" t="s">
        <v>7274</v>
      </c>
      <c r="O2529" t="s">
        <v>7307</v>
      </c>
      <c r="Q2529" t="s">
        <v>7322</v>
      </c>
      <c r="R2529" t="s">
        <v>6076</v>
      </c>
      <c r="S2529" t="s">
        <v>7324</v>
      </c>
      <c r="U2529" t="s">
        <v>427</v>
      </c>
      <c r="V2529">
        <v>650</v>
      </c>
      <c r="W2529" t="s">
        <v>7362</v>
      </c>
      <c r="X2529" t="s">
        <v>7374</v>
      </c>
      <c r="Z2529" t="s">
        <v>9322</v>
      </c>
      <c r="AA2529" t="s">
        <v>6322</v>
      </c>
      <c r="AB2529" t="s">
        <v>12000</v>
      </c>
      <c r="AC2529">
        <v>6</v>
      </c>
      <c r="AD2529" t="s">
        <v>12422</v>
      </c>
      <c r="AE2529" t="s">
        <v>6110</v>
      </c>
      <c r="AF2529">
        <v>31</v>
      </c>
      <c r="AG2529">
        <v>2</v>
      </c>
      <c r="AH2529">
        <v>0</v>
      </c>
      <c r="AI2529">
        <v>190.47</v>
      </c>
      <c r="AL2529" t="s">
        <v>12460</v>
      </c>
      <c r="AM2529">
        <v>31352</v>
      </c>
      <c r="AN2529" t="s">
        <v>12697</v>
      </c>
      <c r="AS2529">
        <v>7.75</v>
      </c>
      <c r="AT2529" t="s">
        <v>425</v>
      </c>
      <c r="AU2529" t="s">
        <v>218</v>
      </c>
    </row>
    <row r="2530" spans="1:48">
      <c r="A2530" s="1">
        <f>HYPERLINK("https://cms.ls-nyc.org/matter/dynamic-profile/view/1882511","18-1882511")</f>
        <v>0</v>
      </c>
      <c r="B2530" t="s">
        <v>76</v>
      </c>
      <c r="C2530" t="s">
        <v>283</v>
      </c>
      <c r="E2530" t="s">
        <v>1457</v>
      </c>
      <c r="F2530" t="s">
        <v>3323</v>
      </c>
      <c r="G2530" t="s">
        <v>5092</v>
      </c>
      <c r="H2530">
        <v>2</v>
      </c>
      <c r="I2530" t="s">
        <v>6043</v>
      </c>
      <c r="J2530">
        <v>11233</v>
      </c>
      <c r="K2530" t="s">
        <v>6074</v>
      </c>
      <c r="L2530" t="s">
        <v>6074</v>
      </c>
      <c r="M2530" t="s">
        <v>7102</v>
      </c>
      <c r="N2530" t="s">
        <v>7276</v>
      </c>
      <c r="O2530" t="s">
        <v>7310</v>
      </c>
      <c r="Q2530" t="s">
        <v>7322</v>
      </c>
      <c r="R2530" t="s">
        <v>6076</v>
      </c>
      <c r="S2530" t="s">
        <v>7324</v>
      </c>
      <c r="T2530" t="s">
        <v>7336</v>
      </c>
      <c r="U2530" t="s">
        <v>337</v>
      </c>
      <c r="V2530">
        <v>1025</v>
      </c>
      <c r="W2530" t="s">
        <v>7362</v>
      </c>
      <c r="X2530" t="s">
        <v>7373</v>
      </c>
      <c r="Z2530" t="s">
        <v>9323</v>
      </c>
      <c r="AA2530">
        <v>17593488</v>
      </c>
      <c r="AB2530" t="s">
        <v>12001</v>
      </c>
      <c r="AC2530">
        <v>3</v>
      </c>
      <c r="AD2530" t="s">
        <v>12419</v>
      </c>
      <c r="AE2530" t="s">
        <v>6110</v>
      </c>
      <c r="AF2530">
        <v>8</v>
      </c>
      <c r="AG2530">
        <v>3</v>
      </c>
      <c r="AH2530">
        <v>0</v>
      </c>
      <c r="AI2530">
        <v>190.57</v>
      </c>
      <c r="AL2530" t="s">
        <v>12460</v>
      </c>
      <c r="AM2530">
        <v>39600</v>
      </c>
      <c r="AS2530">
        <v>29.8</v>
      </c>
      <c r="AT2530" t="s">
        <v>316</v>
      </c>
      <c r="AU2530" t="s">
        <v>13100</v>
      </c>
    </row>
    <row r="2531" spans="1:48">
      <c r="A2531" s="1">
        <f>HYPERLINK("https://cms.ls-nyc.org/matter/dynamic-profile/view/1889610","19-1889610")</f>
        <v>0</v>
      </c>
      <c r="B2531" t="s">
        <v>116</v>
      </c>
      <c r="C2531" t="s">
        <v>285</v>
      </c>
      <c r="D2531" t="s">
        <v>361</v>
      </c>
      <c r="E2531" t="s">
        <v>1061</v>
      </c>
      <c r="F2531" t="s">
        <v>3324</v>
      </c>
      <c r="G2531" t="s">
        <v>5093</v>
      </c>
      <c r="H2531" t="s">
        <v>5511</v>
      </c>
      <c r="I2531" t="s">
        <v>6047</v>
      </c>
      <c r="J2531">
        <v>10452</v>
      </c>
      <c r="K2531" t="s">
        <v>6074</v>
      </c>
      <c r="L2531" t="s">
        <v>6074</v>
      </c>
      <c r="N2531" t="s">
        <v>6104</v>
      </c>
      <c r="O2531" t="s">
        <v>7307</v>
      </c>
      <c r="P2531" t="s">
        <v>7315</v>
      </c>
      <c r="Q2531" t="s">
        <v>7322</v>
      </c>
      <c r="R2531" t="s">
        <v>6076</v>
      </c>
      <c r="S2531" t="s">
        <v>7324</v>
      </c>
      <c r="U2531" t="s">
        <v>285</v>
      </c>
      <c r="V2531">
        <v>969.08</v>
      </c>
      <c r="W2531" t="s">
        <v>7363</v>
      </c>
      <c r="X2531" t="s">
        <v>7376</v>
      </c>
      <c r="Y2531" t="s">
        <v>7386</v>
      </c>
      <c r="Z2531" t="s">
        <v>9324</v>
      </c>
      <c r="AB2531" t="s">
        <v>12002</v>
      </c>
      <c r="AC2531">
        <v>0</v>
      </c>
      <c r="AD2531" t="s">
        <v>12422</v>
      </c>
      <c r="AF2531">
        <v>23</v>
      </c>
      <c r="AG2531">
        <v>3</v>
      </c>
      <c r="AH2531">
        <v>0</v>
      </c>
      <c r="AI2531">
        <v>190.59</v>
      </c>
      <c r="AL2531" t="s">
        <v>12461</v>
      </c>
      <c r="AM2531">
        <v>40652</v>
      </c>
      <c r="AS2531">
        <v>1.5</v>
      </c>
      <c r="AT2531" t="s">
        <v>285</v>
      </c>
      <c r="AU2531" t="s">
        <v>116</v>
      </c>
    </row>
    <row r="2532" spans="1:48">
      <c r="A2532" s="1">
        <f>HYPERLINK("https://cms.ls-nyc.org/matter/dynamic-profile/view/1886734","18-1886734")</f>
        <v>0</v>
      </c>
      <c r="B2532" t="s">
        <v>72</v>
      </c>
      <c r="C2532" t="s">
        <v>472</v>
      </c>
      <c r="E2532" t="s">
        <v>1219</v>
      </c>
      <c r="F2532" t="s">
        <v>2740</v>
      </c>
      <c r="G2532" t="s">
        <v>3700</v>
      </c>
      <c r="H2532" t="s">
        <v>5838</v>
      </c>
      <c r="I2532" t="s">
        <v>6043</v>
      </c>
      <c r="J2532">
        <v>11233</v>
      </c>
      <c r="K2532" t="s">
        <v>6074</v>
      </c>
      <c r="L2532" t="s">
        <v>6074</v>
      </c>
      <c r="N2532" t="s">
        <v>7279</v>
      </c>
      <c r="O2532" t="s">
        <v>7309</v>
      </c>
      <c r="Q2532" t="s">
        <v>7322</v>
      </c>
      <c r="R2532" t="s">
        <v>6074</v>
      </c>
      <c r="S2532" t="s">
        <v>7324</v>
      </c>
      <c r="T2532" t="s">
        <v>7336</v>
      </c>
      <c r="U2532" t="s">
        <v>300</v>
      </c>
      <c r="V2532">
        <v>1076.55</v>
      </c>
      <c r="W2532" t="s">
        <v>7362</v>
      </c>
      <c r="X2532" t="s">
        <v>7370</v>
      </c>
      <c r="Z2532" t="s">
        <v>9294</v>
      </c>
      <c r="AB2532" t="s">
        <v>11973</v>
      </c>
      <c r="AC2532">
        <v>764</v>
      </c>
      <c r="AD2532" t="s">
        <v>12422</v>
      </c>
      <c r="AE2532" t="s">
        <v>12441</v>
      </c>
      <c r="AF2532">
        <v>21</v>
      </c>
      <c r="AG2532">
        <v>1</v>
      </c>
      <c r="AH2532">
        <v>0</v>
      </c>
      <c r="AI2532">
        <v>190.71</v>
      </c>
      <c r="AL2532" t="s">
        <v>12460</v>
      </c>
      <c r="AM2532">
        <v>23152.8</v>
      </c>
      <c r="AS2532">
        <v>0</v>
      </c>
      <c r="AU2532" t="s">
        <v>180</v>
      </c>
    </row>
    <row r="2533" spans="1:48">
      <c r="A2533" s="1">
        <f>HYPERLINK("https://cms.ls-nyc.org/matter/dynamic-profile/view/1890827","19-1890827")</f>
        <v>0</v>
      </c>
      <c r="B2533" t="s">
        <v>125</v>
      </c>
      <c r="C2533" t="s">
        <v>251</v>
      </c>
      <c r="E2533" t="s">
        <v>586</v>
      </c>
      <c r="F2533" t="s">
        <v>3325</v>
      </c>
      <c r="G2533" t="s">
        <v>4174</v>
      </c>
      <c r="H2533" t="s">
        <v>5387</v>
      </c>
      <c r="I2533" t="s">
        <v>6049</v>
      </c>
      <c r="J2533">
        <v>10032</v>
      </c>
      <c r="K2533" t="s">
        <v>6074</v>
      </c>
      <c r="L2533" t="s">
        <v>6074</v>
      </c>
      <c r="O2533" t="s">
        <v>7306</v>
      </c>
      <c r="Q2533" t="s">
        <v>7322</v>
      </c>
      <c r="R2533" t="s">
        <v>6074</v>
      </c>
      <c r="S2533" t="s">
        <v>7324</v>
      </c>
      <c r="U2533" t="s">
        <v>251</v>
      </c>
      <c r="V2533">
        <v>699.15</v>
      </c>
      <c r="W2533" t="s">
        <v>7365</v>
      </c>
      <c r="X2533" t="s">
        <v>7367</v>
      </c>
      <c r="Z2533" t="s">
        <v>9325</v>
      </c>
      <c r="AB2533" t="s">
        <v>12003</v>
      </c>
      <c r="AC2533">
        <v>0</v>
      </c>
      <c r="AD2533" t="s">
        <v>12422</v>
      </c>
      <c r="AE2533" t="s">
        <v>12441</v>
      </c>
      <c r="AF2533">
        <v>40</v>
      </c>
      <c r="AG2533">
        <v>1</v>
      </c>
      <c r="AH2533">
        <v>0</v>
      </c>
      <c r="AI2533">
        <v>190.71</v>
      </c>
      <c r="AL2533" t="s">
        <v>12461</v>
      </c>
      <c r="AM2533">
        <v>23820</v>
      </c>
      <c r="AS2533">
        <v>0</v>
      </c>
      <c r="AU2533" t="s">
        <v>13106</v>
      </c>
    </row>
    <row r="2534" spans="1:48">
      <c r="A2534" s="1">
        <f>HYPERLINK("https://cms.ls-nyc.org/matter/dynamic-profile/view/1885027","18-1885027")</f>
        <v>0</v>
      </c>
      <c r="B2534" t="s">
        <v>80</v>
      </c>
      <c r="C2534" t="s">
        <v>269</v>
      </c>
      <c r="E2534" t="s">
        <v>1576</v>
      </c>
      <c r="F2534" t="s">
        <v>3077</v>
      </c>
      <c r="G2534" t="s">
        <v>3871</v>
      </c>
      <c r="H2534" t="s">
        <v>5417</v>
      </c>
      <c r="I2534" t="s">
        <v>6043</v>
      </c>
      <c r="J2534">
        <v>11213</v>
      </c>
      <c r="K2534" t="s">
        <v>6074</v>
      </c>
      <c r="L2534" t="s">
        <v>6074</v>
      </c>
      <c r="M2534" t="s">
        <v>6104</v>
      </c>
      <c r="N2534" t="s">
        <v>7279</v>
      </c>
      <c r="O2534" t="s">
        <v>7311</v>
      </c>
      <c r="Q2534" t="s">
        <v>7322</v>
      </c>
      <c r="R2534" t="s">
        <v>6074</v>
      </c>
      <c r="S2534" t="s">
        <v>7324</v>
      </c>
      <c r="T2534" t="s">
        <v>7336</v>
      </c>
      <c r="U2534" t="s">
        <v>396</v>
      </c>
      <c r="V2534">
        <v>1507.16</v>
      </c>
      <c r="W2534" t="s">
        <v>7362</v>
      </c>
      <c r="X2534" t="s">
        <v>7381</v>
      </c>
      <c r="Z2534" t="s">
        <v>9297</v>
      </c>
      <c r="AA2534" t="s">
        <v>9871</v>
      </c>
      <c r="AB2534" t="s">
        <v>11617</v>
      </c>
      <c r="AC2534">
        <v>19</v>
      </c>
      <c r="AD2534" t="s">
        <v>12422</v>
      </c>
      <c r="AE2534" t="s">
        <v>12434</v>
      </c>
      <c r="AF2534">
        <v>22</v>
      </c>
      <c r="AG2534">
        <v>4</v>
      </c>
      <c r="AH2534">
        <v>0</v>
      </c>
      <c r="AI2534">
        <v>190.88</v>
      </c>
      <c r="AL2534" t="s">
        <v>12460</v>
      </c>
      <c r="AM2534">
        <v>47909.8</v>
      </c>
      <c r="AS2534">
        <v>13.15</v>
      </c>
      <c r="AT2534" t="s">
        <v>294</v>
      </c>
      <c r="AU2534" t="s">
        <v>218</v>
      </c>
    </row>
    <row r="2535" spans="1:48">
      <c r="A2535" s="1">
        <f>HYPERLINK("https://cms.ls-nyc.org/matter/dynamic-profile/view/1885020","18-1885020")</f>
        <v>0</v>
      </c>
      <c r="B2535" t="s">
        <v>80</v>
      </c>
      <c r="C2535" t="s">
        <v>269</v>
      </c>
      <c r="E2535" t="s">
        <v>1576</v>
      </c>
      <c r="F2535" t="s">
        <v>3077</v>
      </c>
      <c r="G2535" t="s">
        <v>3871</v>
      </c>
      <c r="H2535" t="s">
        <v>5417</v>
      </c>
      <c r="I2535" t="s">
        <v>6043</v>
      </c>
      <c r="J2535">
        <v>11213</v>
      </c>
      <c r="K2535" t="s">
        <v>6074</v>
      </c>
      <c r="L2535" t="s">
        <v>6074</v>
      </c>
      <c r="M2535" t="s">
        <v>6397</v>
      </c>
      <c r="N2535" t="s">
        <v>7273</v>
      </c>
      <c r="O2535" t="s">
        <v>7308</v>
      </c>
      <c r="Q2535" t="s">
        <v>7322</v>
      </c>
      <c r="R2535" t="s">
        <v>6076</v>
      </c>
      <c r="S2535" t="s">
        <v>7324</v>
      </c>
      <c r="T2535" t="s">
        <v>7336</v>
      </c>
      <c r="U2535" t="s">
        <v>262</v>
      </c>
      <c r="V2535">
        <v>1507.16</v>
      </c>
      <c r="W2535" t="s">
        <v>7362</v>
      </c>
      <c r="X2535" t="s">
        <v>7381</v>
      </c>
      <c r="Z2535" t="s">
        <v>9297</v>
      </c>
      <c r="AA2535" t="s">
        <v>10267</v>
      </c>
      <c r="AB2535" t="s">
        <v>11617</v>
      </c>
      <c r="AC2535">
        <v>19</v>
      </c>
      <c r="AD2535" t="s">
        <v>12422</v>
      </c>
      <c r="AE2535" t="s">
        <v>12434</v>
      </c>
      <c r="AF2535">
        <v>22</v>
      </c>
      <c r="AG2535">
        <v>4</v>
      </c>
      <c r="AH2535">
        <v>0</v>
      </c>
      <c r="AI2535">
        <v>190.88</v>
      </c>
      <c r="AL2535" t="s">
        <v>12460</v>
      </c>
      <c r="AM2535">
        <v>47909.8</v>
      </c>
      <c r="AS2535">
        <v>82.05</v>
      </c>
      <c r="AT2535" t="s">
        <v>254</v>
      </c>
      <c r="AU2535" t="s">
        <v>218</v>
      </c>
    </row>
    <row r="2536" spans="1:48">
      <c r="A2536" s="1">
        <f>HYPERLINK("https://cms.ls-nyc.org/matter/dynamic-profile/view/1880278","18-1880278")</f>
        <v>0</v>
      </c>
      <c r="B2536" t="s">
        <v>77</v>
      </c>
      <c r="C2536" t="s">
        <v>354</v>
      </c>
      <c r="D2536" t="s">
        <v>344</v>
      </c>
      <c r="E2536" t="s">
        <v>1796</v>
      </c>
      <c r="F2536" t="s">
        <v>2008</v>
      </c>
      <c r="G2536" t="s">
        <v>5094</v>
      </c>
      <c r="H2536">
        <v>1</v>
      </c>
      <c r="I2536" t="s">
        <v>6043</v>
      </c>
      <c r="J2536">
        <v>11207</v>
      </c>
      <c r="K2536" t="s">
        <v>6074</v>
      </c>
      <c r="L2536" t="s">
        <v>6074</v>
      </c>
      <c r="M2536" t="s">
        <v>7103</v>
      </c>
      <c r="N2536" t="s">
        <v>7274</v>
      </c>
      <c r="O2536" t="s">
        <v>7306</v>
      </c>
      <c r="P2536" t="s">
        <v>7314</v>
      </c>
      <c r="Q2536" t="s">
        <v>7322</v>
      </c>
      <c r="S2536" t="s">
        <v>7324</v>
      </c>
      <c r="U2536" t="s">
        <v>354</v>
      </c>
      <c r="V2536">
        <v>750</v>
      </c>
      <c r="W2536" t="s">
        <v>7362</v>
      </c>
      <c r="X2536" t="s">
        <v>7366</v>
      </c>
      <c r="Y2536" t="s">
        <v>7386</v>
      </c>
      <c r="Z2536" t="s">
        <v>9326</v>
      </c>
      <c r="AA2536" t="s">
        <v>10272</v>
      </c>
      <c r="AB2536" t="s">
        <v>12004</v>
      </c>
      <c r="AC2536">
        <v>2</v>
      </c>
      <c r="AD2536" t="s">
        <v>12419</v>
      </c>
      <c r="AE2536" t="s">
        <v>7305</v>
      </c>
      <c r="AF2536">
        <v>2</v>
      </c>
      <c r="AG2536">
        <v>1</v>
      </c>
      <c r="AH2536">
        <v>1</v>
      </c>
      <c r="AI2536">
        <v>191.06</v>
      </c>
      <c r="AL2536" t="s">
        <v>12460</v>
      </c>
      <c r="AM2536">
        <v>31449</v>
      </c>
      <c r="AS2536">
        <v>1.25</v>
      </c>
      <c r="AT2536" t="s">
        <v>414</v>
      </c>
      <c r="AU2536" t="s">
        <v>13083</v>
      </c>
    </row>
    <row r="2537" spans="1:48">
      <c r="A2537" s="1">
        <f>HYPERLINK("https://cms.ls-nyc.org/matter/dynamic-profile/view/1880598","18-1880598")</f>
        <v>0</v>
      </c>
      <c r="B2537" t="s">
        <v>53</v>
      </c>
      <c r="C2537" t="s">
        <v>360</v>
      </c>
      <c r="D2537" t="s">
        <v>472</v>
      </c>
      <c r="E2537" t="s">
        <v>711</v>
      </c>
      <c r="F2537" t="s">
        <v>2436</v>
      </c>
      <c r="G2537" t="s">
        <v>5095</v>
      </c>
      <c r="H2537" t="s">
        <v>5890</v>
      </c>
      <c r="I2537" t="s">
        <v>6025</v>
      </c>
      <c r="J2537">
        <v>11691</v>
      </c>
      <c r="K2537" t="s">
        <v>6074</v>
      </c>
      <c r="L2537" t="s">
        <v>6074</v>
      </c>
      <c r="M2537" t="s">
        <v>7104</v>
      </c>
      <c r="N2537" t="s">
        <v>7276</v>
      </c>
      <c r="O2537" t="s">
        <v>7306</v>
      </c>
      <c r="P2537" t="s">
        <v>7314</v>
      </c>
      <c r="Q2537" t="s">
        <v>7322</v>
      </c>
      <c r="R2537" t="s">
        <v>6076</v>
      </c>
      <c r="S2537" t="s">
        <v>7324</v>
      </c>
      <c r="T2537" t="s">
        <v>7336</v>
      </c>
      <c r="U2537" t="s">
        <v>360</v>
      </c>
      <c r="V2537">
        <v>1083.95</v>
      </c>
      <c r="W2537" t="s">
        <v>7361</v>
      </c>
      <c r="X2537" t="s">
        <v>7366</v>
      </c>
      <c r="Y2537" t="s">
        <v>7386</v>
      </c>
      <c r="Z2537" t="s">
        <v>9327</v>
      </c>
      <c r="AB2537" t="s">
        <v>12005</v>
      </c>
      <c r="AC2537">
        <v>73</v>
      </c>
      <c r="AD2537" t="s">
        <v>12422</v>
      </c>
      <c r="AE2537" t="s">
        <v>6110</v>
      </c>
      <c r="AF2537">
        <v>37</v>
      </c>
      <c r="AG2537">
        <v>2</v>
      </c>
      <c r="AH2537">
        <v>1</v>
      </c>
      <c r="AI2537">
        <v>191.18</v>
      </c>
      <c r="AL2537" t="s">
        <v>12460</v>
      </c>
      <c r="AM2537">
        <v>39728</v>
      </c>
      <c r="AS2537">
        <v>0.4</v>
      </c>
      <c r="AT2537" t="s">
        <v>272</v>
      </c>
      <c r="AU2537" t="s">
        <v>189</v>
      </c>
    </row>
    <row r="2538" spans="1:48">
      <c r="A2538" s="1">
        <f>HYPERLINK("https://cms.ls-nyc.org/matter/dynamic-profile/view/1878588","18-1878588")</f>
        <v>0</v>
      </c>
      <c r="B2538" t="s">
        <v>152</v>
      </c>
      <c r="C2538" t="s">
        <v>299</v>
      </c>
      <c r="D2538" t="s">
        <v>266</v>
      </c>
      <c r="E2538" t="s">
        <v>1797</v>
      </c>
      <c r="F2538" t="s">
        <v>3326</v>
      </c>
      <c r="G2538" t="s">
        <v>5096</v>
      </c>
      <c r="H2538" t="s">
        <v>5398</v>
      </c>
      <c r="I2538" t="s">
        <v>6025</v>
      </c>
      <c r="J2538">
        <v>11691</v>
      </c>
      <c r="K2538" t="s">
        <v>6074</v>
      </c>
      <c r="L2538" t="s">
        <v>6074</v>
      </c>
      <c r="M2538" t="s">
        <v>7105</v>
      </c>
      <c r="N2538" t="s">
        <v>7276</v>
      </c>
      <c r="O2538" t="s">
        <v>7308</v>
      </c>
      <c r="P2538" t="s">
        <v>7316</v>
      </c>
      <c r="Q2538" t="s">
        <v>7322</v>
      </c>
      <c r="R2538" t="s">
        <v>6076</v>
      </c>
      <c r="S2538" t="s">
        <v>7324</v>
      </c>
      <c r="T2538" t="s">
        <v>7340</v>
      </c>
      <c r="U2538" t="s">
        <v>299</v>
      </c>
      <c r="V2538">
        <v>1424</v>
      </c>
      <c r="W2538" t="s">
        <v>7361</v>
      </c>
      <c r="X2538" t="s">
        <v>7366</v>
      </c>
      <c r="Y2538" t="s">
        <v>7388</v>
      </c>
      <c r="Z2538" t="s">
        <v>7782</v>
      </c>
      <c r="AA2538" t="s">
        <v>10273</v>
      </c>
      <c r="AB2538" t="s">
        <v>12006</v>
      </c>
      <c r="AC2538">
        <v>42</v>
      </c>
      <c r="AD2538" t="s">
        <v>6322</v>
      </c>
      <c r="AE2538" t="s">
        <v>6110</v>
      </c>
      <c r="AF2538">
        <v>2</v>
      </c>
      <c r="AG2538">
        <v>1</v>
      </c>
      <c r="AH2538">
        <v>3</v>
      </c>
      <c r="AI2538">
        <v>191.24</v>
      </c>
      <c r="AL2538" t="s">
        <v>12460</v>
      </c>
      <c r="AM2538">
        <v>48000</v>
      </c>
      <c r="AO2538" t="s">
        <v>12850</v>
      </c>
      <c r="AP2538" t="s">
        <v>7305</v>
      </c>
      <c r="AQ2538" t="s">
        <v>12909</v>
      </c>
      <c r="AR2538" t="s">
        <v>12981</v>
      </c>
      <c r="AS2538">
        <v>7.6</v>
      </c>
      <c r="AT2538" t="s">
        <v>345</v>
      </c>
      <c r="AU2538" t="s">
        <v>189</v>
      </c>
    </row>
    <row r="2539" spans="1:48">
      <c r="A2539" s="1">
        <f>HYPERLINK("https://cms.ls-nyc.org/matter/dynamic-profile/view/1894821","19-1894821")</f>
        <v>0</v>
      </c>
      <c r="B2539" t="s">
        <v>82</v>
      </c>
      <c r="C2539" t="s">
        <v>361</v>
      </c>
      <c r="E2539" t="s">
        <v>603</v>
      </c>
      <c r="F2539" t="s">
        <v>646</v>
      </c>
      <c r="G2539" t="s">
        <v>3732</v>
      </c>
      <c r="H2539" t="s">
        <v>5492</v>
      </c>
      <c r="I2539" t="s">
        <v>6043</v>
      </c>
      <c r="J2539">
        <v>11221</v>
      </c>
      <c r="K2539" t="s">
        <v>6074</v>
      </c>
      <c r="L2539" t="s">
        <v>6074</v>
      </c>
      <c r="O2539" t="s">
        <v>7309</v>
      </c>
      <c r="Q2539" t="s">
        <v>7322</v>
      </c>
      <c r="S2539" t="s">
        <v>7324</v>
      </c>
      <c r="U2539" t="s">
        <v>235</v>
      </c>
      <c r="V2539">
        <v>0</v>
      </c>
      <c r="W2539" t="s">
        <v>7362</v>
      </c>
      <c r="Z2539" t="s">
        <v>9328</v>
      </c>
      <c r="AB2539" t="s">
        <v>12007</v>
      </c>
      <c r="AC2539">
        <v>0</v>
      </c>
      <c r="AF2539">
        <v>0</v>
      </c>
      <c r="AG2539">
        <v>1</v>
      </c>
      <c r="AH2539">
        <v>0</v>
      </c>
      <c r="AI2539">
        <v>191.51</v>
      </c>
      <c r="AL2539" t="s">
        <v>12460</v>
      </c>
      <c r="AM2539">
        <v>23920</v>
      </c>
      <c r="AS2539">
        <v>0.2</v>
      </c>
      <c r="AT2539" t="s">
        <v>235</v>
      </c>
      <c r="AU2539" t="s">
        <v>88</v>
      </c>
    </row>
    <row r="2540" spans="1:48">
      <c r="A2540" s="1">
        <f>HYPERLINK("https://cms.ls-nyc.org/matter/dynamic-profile/view/1874517","18-1874517")</f>
        <v>0</v>
      </c>
      <c r="B2540" t="s">
        <v>82</v>
      </c>
      <c r="C2540" t="s">
        <v>236</v>
      </c>
      <c r="E2540" t="s">
        <v>905</v>
      </c>
      <c r="F2540" t="s">
        <v>3282</v>
      </c>
      <c r="G2540" t="s">
        <v>5097</v>
      </c>
      <c r="H2540" t="s">
        <v>5891</v>
      </c>
      <c r="I2540" t="s">
        <v>6043</v>
      </c>
      <c r="J2540">
        <v>11209</v>
      </c>
      <c r="K2540" t="s">
        <v>6074</v>
      </c>
      <c r="L2540" t="s">
        <v>6074</v>
      </c>
      <c r="M2540" t="s">
        <v>7106</v>
      </c>
      <c r="N2540" t="s">
        <v>7277</v>
      </c>
      <c r="O2540" t="s">
        <v>7312</v>
      </c>
      <c r="Q2540" t="s">
        <v>7322</v>
      </c>
      <c r="R2540" t="s">
        <v>6076</v>
      </c>
      <c r="S2540" t="s">
        <v>7324</v>
      </c>
      <c r="T2540" t="s">
        <v>7337</v>
      </c>
      <c r="U2540" t="s">
        <v>357</v>
      </c>
      <c r="V2540">
        <v>1729</v>
      </c>
      <c r="W2540" t="s">
        <v>7362</v>
      </c>
      <c r="X2540" t="s">
        <v>7366</v>
      </c>
      <c r="Z2540" t="s">
        <v>9329</v>
      </c>
      <c r="AB2540" t="s">
        <v>12008</v>
      </c>
      <c r="AC2540">
        <v>116</v>
      </c>
      <c r="AD2540" t="s">
        <v>6322</v>
      </c>
      <c r="AE2540" t="s">
        <v>6110</v>
      </c>
      <c r="AF2540">
        <v>9</v>
      </c>
      <c r="AG2540">
        <v>1</v>
      </c>
      <c r="AH2540">
        <v>1</v>
      </c>
      <c r="AI2540">
        <v>191.96</v>
      </c>
      <c r="AL2540" t="s">
        <v>12460</v>
      </c>
      <c r="AM2540">
        <v>31596</v>
      </c>
      <c r="AS2540">
        <v>95.59999999999999</v>
      </c>
      <c r="AT2540" t="s">
        <v>526</v>
      </c>
      <c r="AU2540" t="s">
        <v>13087</v>
      </c>
    </row>
    <row r="2541" spans="1:48">
      <c r="A2541" s="1">
        <f>HYPERLINK("https://cms.ls-nyc.org/matter/dynamic-profile/view/1875683","18-1875683")</f>
        <v>0</v>
      </c>
      <c r="B2541" t="s">
        <v>77</v>
      </c>
      <c r="C2541" t="s">
        <v>233</v>
      </c>
      <c r="D2541" t="s">
        <v>429</v>
      </c>
      <c r="E2541" t="s">
        <v>1794</v>
      </c>
      <c r="F2541" t="s">
        <v>2685</v>
      </c>
      <c r="G2541" t="s">
        <v>5098</v>
      </c>
      <c r="H2541" t="s">
        <v>5390</v>
      </c>
      <c r="I2541" t="s">
        <v>6043</v>
      </c>
      <c r="J2541">
        <v>11233</v>
      </c>
      <c r="K2541" t="s">
        <v>6074</v>
      </c>
      <c r="L2541" t="s">
        <v>6074</v>
      </c>
      <c r="M2541" t="s">
        <v>7107</v>
      </c>
      <c r="N2541" t="s">
        <v>7276</v>
      </c>
      <c r="O2541" t="s">
        <v>7306</v>
      </c>
      <c r="P2541" t="s">
        <v>7314</v>
      </c>
      <c r="Q2541" t="s">
        <v>7322</v>
      </c>
      <c r="R2541" t="s">
        <v>6076</v>
      </c>
      <c r="S2541" t="s">
        <v>7324</v>
      </c>
      <c r="U2541" t="s">
        <v>233</v>
      </c>
      <c r="V2541">
        <v>941</v>
      </c>
      <c r="W2541" t="s">
        <v>7362</v>
      </c>
      <c r="X2541" t="s">
        <v>7305</v>
      </c>
      <c r="Y2541" t="s">
        <v>7386</v>
      </c>
      <c r="Z2541" t="s">
        <v>9330</v>
      </c>
      <c r="AB2541" t="s">
        <v>12009</v>
      </c>
      <c r="AC2541">
        <v>8</v>
      </c>
      <c r="AD2541" t="s">
        <v>12422</v>
      </c>
      <c r="AE2541" t="s">
        <v>12434</v>
      </c>
      <c r="AF2541">
        <v>15</v>
      </c>
      <c r="AG2541">
        <v>3</v>
      </c>
      <c r="AH2541">
        <v>0</v>
      </c>
      <c r="AI2541">
        <v>191.97</v>
      </c>
      <c r="AL2541" t="s">
        <v>12460</v>
      </c>
      <c r="AM2541">
        <v>39892</v>
      </c>
      <c r="AS2541">
        <v>2.5</v>
      </c>
      <c r="AT2541" t="s">
        <v>239</v>
      </c>
      <c r="AU2541" t="s">
        <v>218</v>
      </c>
    </row>
    <row r="2542" spans="1:48">
      <c r="A2542" s="1">
        <f>HYPERLINK("https://cms.ls-nyc.org/matter/dynamic-profile/view/1895278","19-1895278")</f>
        <v>0</v>
      </c>
      <c r="B2542" t="s">
        <v>66</v>
      </c>
      <c r="C2542" t="s">
        <v>247</v>
      </c>
      <c r="E2542" t="s">
        <v>710</v>
      </c>
      <c r="F2542" t="s">
        <v>2083</v>
      </c>
      <c r="G2542" t="s">
        <v>5099</v>
      </c>
      <c r="H2542">
        <v>552</v>
      </c>
      <c r="I2542" t="s">
        <v>6040</v>
      </c>
      <c r="J2542">
        <v>11367</v>
      </c>
      <c r="K2542" t="s">
        <v>6074</v>
      </c>
      <c r="L2542" t="s">
        <v>6074</v>
      </c>
      <c r="M2542" t="s">
        <v>7108</v>
      </c>
      <c r="N2542" t="s">
        <v>7276</v>
      </c>
      <c r="O2542" t="s">
        <v>7308</v>
      </c>
      <c r="Q2542" t="s">
        <v>7322</v>
      </c>
      <c r="R2542" t="s">
        <v>6076</v>
      </c>
      <c r="S2542" t="s">
        <v>7324</v>
      </c>
      <c r="T2542" t="s">
        <v>7339</v>
      </c>
      <c r="U2542" t="s">
        <v>247</v>
      </c>
      <c r="V2542">
        <v>2900</v>
      </c>
      <c r="W2542" t="s">
        <v>7361</v>
      </c>
      <c r="X2542" t="s">
        <v>7366</v>
      </c>
      <c r="Z2542" t="s">
        <v>7549</v>
      </c>
      <c r="AA2542" t="s">
        <v>10274</v>
      </c>
      <c r="AB2542" t="s">
        <v>12010</v>
      </c>
      <c r="AC2542">
        <v>393</v>
      </c>
      <c r="AD2542" t="s">
        <v>12422</v>
      </c>
      <c r="AE2542" t="s">
        <v>6110</v>
      </c>
      <c r="AF2542">
        <v>3</v>
      </c>
      <c r="AG2542">
        <v>1</v>
      </c>
      <c r="AH2542">
        <v>0</v>
      </c>
      <c r="AI2542">
        <v>192.15</v>
      </c>
      <c r="AL2542" t="s">
        <v>12460</v>
      </c>
      <c r="AM2542">
        <v>24000</v>
      </c>
      <c r="AS2542">
        <v>36.85</v>
      </c>
      <c r="AT2542" t="s">
        <v>382</v>
      </c>
      <c r="AU2542" t="s">
        <v>66</v>
      </c>
      <c r="AV2542" t="s">
        <v>13145</v>
      </c>
    </row>
    <row r="2543" spans="1:48">
      <c r="A2543" s="1">
        <f>HYPERLINK("https://cms.ls-nyc.org/matter/dynamic-profile/view/1889370","19-1889370")</f>
        <v>0</v>
      </c>
      <c r="B2543" t="s">
        <v>135</v>
      </c>
      <c r="C2543" t="s">
        <v>261</v>
      </c>
      <c r="E2543" t="s">
        <v>1798</v>
      </c>
      <c r="F2543" t="s">
        <v>699</v>
      </c>
      <c r="G2543" t="s">
        <v>5100</v>
      </c>
      <c r="H2543" t="s">
        <v>5417</v>
      </c>
      <c r="I2543" t="s">
        <v>6049</v>
      </c>
      <c r="J2543">
        <v>10029</v>
      </c>
      <c r="K2543" t="s">
        <v>6074</v>
      </c>
      <c r="L2543" t="s">
        <v>6074</v>
      </c>
      <c r="N2543" t="s">
        <v>6104</v>
      </c>
      <c r="O2543" t="s">
        <v>7309</v>
      </c>
      <c r="Q2543" t="s">
        <v>7322</v>
      </c>
      <c r="R2543" t="s">
        <v>6076</v>
      </c>
      <c r="S2543" t="s">
        <v>7324</v>
      </c>
      <c r="T2543" t="s">
        <v>7336</v>
      </c>
      <c r="U2543" t="s">
        <v>261</v>
      </c>
      <c r="V2543">
        <v>0</v>
      </c>
      <c r="W2543" t="s">
        <v>7365</v>
      </c>
      <c r="X2543" t="s">
        <v>7380</v>
      </c>
      <c r="Z2543" t="s">
        <v>9331</v>
      </c>
      <c r="AB2543" t="s">
        <v>12011</v>
      </c>
      <c r="AC2543">
        <v>0</v>
      </c>
      <c r="AD2543" t="s">
        <v>12431</v>
      </c>
      <c r="AE2543" t="s">
        <v>6110</v>
      </c>
      <c r="AF2543">
        <v>31</v>
      </c>
      <c r="AG2543">
        <v>1</v>
      </c>
      <c r="AH2543">
        <v>0</v>
      </c>
      <c r="AI2543">
        <v>192.15</v>
      </c>
      <c r="AL2543" t="s">
        <v>12460</v>
      </c>
      <c r="AM2543">
        <v>24000</v>
      </c>
      <c r="AS2543">
        <v>22.25</v>
      </c>
      <c r="AT2543" t="s">
        <v>260</v>
      </c>
      <c r="AU2543" t="s">
        <v>13104</v>
      </c>
    </row>
    <row r="2544" spans="1:48">
      <c r="A2544" s="1">
        <f>HYPERLINK("https://cms.ls-nyc.org/matter/dynamic-profile/view/1892128","19-1892128")</f>
        <v>0</v>
      </c>
      <c r="B2544" t="s">
        <v>98</v>
      </c>
      <c r="C2544" t="s">
        <v>405</v>
      </c>
      <c r="E2544" t="s">
        <v>1799</v>
      </c>
      <c r="F2544" t="s">
        <v>2514</v>
      </c>
      <c r="G2544" t="s">
        <v>4678</v>
      </c>
      <c r="H2544" t="s">
        <v>5892</v>
      </c>
      <c r="I2544" t="s">
        <v>6047</v>
      </c>
      <c r="J2544">
        <v>10460</v>
      </c>
      <c r="K2544" t="s">
        <v>6074</v>
      </c>
      <c r="L2544" t="s">
        <v>6074</v>
      </c>
      <c r="M2544" t="s">
        <v>7109</v>
      </c>
      <c r="N2544" t="s">
        <v>7276</v>
      </c>
      <c r="O2544" t="s">
        <v>7306</v>
      </c>
      <c r="Q2544" t="s">
        <v>7322</v>
      </c>
      <c r="R2544" t="s">
        <v>6076</v>
      </c>
      <c r="S2544" t="s">
        <v>7324</v>
      </c>
      <c r="T2544" t="s">
        <v>7339</v>
      </c>
      <c r="U2544" t="s">
        <v>457</v>
      </c>
      <c r="V2544">
        <v>902</v>
      </c>
      <c r="W2544" t="s">
        <v>7363</v>
      </c>
      <c r="X2544" t="s">
        <v>7373</v>
      </c>
      <c r="Z2544" t="s">
        <v>9332</v>
      </c>
      <c r="AB2544" t="s">
        <v>12012</v>
      </c>
      <c r="AC2544">
        <v>0</v>
      </c>
      <c r="AD2544" t="s">
        <v>12422</v>
      </c>
      <c r="AF2544">
        <v>2</v>
      </c>
      <c r="AG2544">
        <v>1</v>
      </c>
      <c r="AH2544">
        <v>2</v>
      </c>
      <c r="AI2544">
        <v>192.22</v>
      </c>
      <c r="AL2544" t="s">
        <v>12460</v>
      </c>
      <c r="AM2544">
        <v>41000</v>
      </c>
      <c r="AS2544">
        <v>28.65</v>
      </c>
      <c r="AT2544" t="s">
        <v>260</v>
      </c>
      <c r="AU2544" t="s">
        <v>13097</v>
      </c>
    </row>
    <row r="2545" spans="1:48">
      <c r="A2545" s="1">
        <f>HYPERLINK("https://cms.ls-nyc.org/matter/dynamic-profile/view/1884698","18-1884698")</f>
        <v>0</v>
      </c>
      <c r="B2545" t="s">
        <v>54</v>
      </c>
      <c r="C2545" t="s">
        <v>413</v>
      </c>
      <c r="D2545" t="s">
        <v>472</v>
      </c>
      <c r="E2545" t="s">
        <v>1800</v>
      </c>
      <c r="F2545" t="s">
        <v>2265</v>
      </c>
      <c r="G2545" t="s">
        <v>5101</v>
      </c>
      <c r="I2545" t="s">
        <v>6027</v>
      </c>
      <c r="J2545">
        <v>11429</v>
      </c>
      <c r="K2545" t="s">
        <v>6074</v>
      </c>
      <c r="L2545" t="s">
        <v>6074</v>
      </c>
      <c r="M2545" t="s">
        <v>7110</v>
      </c>
      <c r="N2545" t="s">
        <v>7274</v>
      </c>
      <c r="O2545" t="s">
        <v>7306</v>
      </c>
      <c r="P2545" t="s">
        <v>7314</v>
      </c>
      <c r="Q2545" t="s">
        <v>7322</v>
      </c>
      <c r="R2545" t="s">
        <v>6076</v>
      </c>
      <c r="S2545" t="s">
        <v>7324</v>
      </c>
      <c r="T2545" t="s">
        <v>7336</v>
      </c>
      <c r="U2545" t="s">
        <v>413</v>
      </c>
      <c r="V2545">
        <v>811.14</v>
      </c>
      <c r="W2545" t="s">
        <v>7361</v>
      </c>
      <c r="X2545" t="s">
        <v>7366</v>
      </c>
      <c r="Y2545" t="s">
        <v>7386</v>
      </c>
      <c r="Z2545" t="s">
        <v>8638</v>
      </c>
      <c r="AB2545" t="s">
        <v>12013</v>
      </c>
      <c r="AC2545">
        <v>20</v>
      </c>
      <c r="AD2545" t="s">
        <v>6322</v>
      </c>
      <c r="AE2545" t="s">
        <v>6110</v>
      </c>
      <c r="AF2545">
        <v>5</v>
      </c>
      <c r="AG2545">
        <v>1</v>
      </c>
      <c r="AH2545">
        <v>0</v>
      </c>
      <c r="AI2545">
        <v>192.43</v>
      </c>
      <c r="AL2545" t="s">
        <v>12460</v>
      </c>
      <c r="AM2545">
        <v>23361.29</v>
      </c>
      <c r="AS2545">
        <v>0.7</v>
      </c>
      <c r="AT2545" t="s">
        <v>472</v>
      </c>
      <c r="AU2545" t="s">
        <v>189</v>
      </c>
    </row>
    <row r="2546" spans="1:48">
      <c r="A2546" s="1">
        <f>HYPERLINK("https://cms.ls-nyc.org/matter/dynamic-profile/view/1883353","18-1883353")</f>
        <v>0</v>
      </c>
      <c r="B2546" t="s">
        <v>70</v>
      </c>
      <c r="C2546" t="s">
        <v>403</v>
      </c>
      <c r="E2546" t="s">
        <v>621</v>
      </c>
      <c r="F2546" t="s">
        <v>2100</v>
      </c>
      <c r="G2546" t="s">
        <v>3698</v>
      </c>
      <c r="H2546">
        <v>32</v>
      </c>
      <c r="I2546" t="s">
        <v>6043</v>
      </c>
      <c r="J2546">
        <v>11238</v>
      </c>
      <c r="K2546" t="s">
        <v>6074</v>
      </c>
      <c r="L2546" t="s">
        <v>6074</v>
      </c>
      <c r="M2546" t="s">
        <v>7111</v>
      </c>
      <c r="N2546" t="s">
        <v>7276</v>
      </c>
      <c r="O2546" t="s">
        <v>7308</v>
      </c>
      <c r="Q2546" t="s">
        <v>7322</v>
      </c>
      <c r="R2546" t="s">
        <v>6076</v>
      </c>
      <c r="S2546" t="s">
        <v>7324</v>
      </c>
      <c r="T2546" t="s">
        <v>7340</v>
      </c>
      <c r="U2546" t="s">
        <v>403</v>
      </c>
      <c r="V2546">
        <v>892</v>
      </c>
      <c r="W2546" t="s">
        <v>7362</v>
      </c>
      <c r="X2546" t="s">
        <v>7368</v>
      </c>
      <c r="Z2546" t="s">
        <v>7463</v>
      </c>
      <c r="AB2546" t="s">
        <v>10335</v>
      </c>
      <c r="AC2546">
        <v>44</v>
      </c>
      <c r="AD2546" t="s">
        <v>12422</v>
      </c>
      <c r="AE2546" t="s">
        <v>6110</v>
      </c>
      <c r="AF2546">
        <v>13</v>
      </c>
      <c r="AG2546">
        <v>1</v>
      </c>
      <c r="AH2546">
        <v>2</v>
      </c>
      <c r="AI2546">
        <v>192.49</v>
      </c>
      <c r="AL2546" t="s">
        <v>12460</v>
      </c>
      <c r="AM2546">
        <v>40000</v>
      </c>
      <c r="AS2546">
        <v>25.25</v>
      </c>
      <c r="AT2546" t="s">
        <v>496</v>
      </c>
      <c r="AU2546" t="s">
        <v>13083</v>
      </c>
      <c r="AV2546" t="s">
        <v>13145</v>
      </c>
    </row>
    <row r="2547" spans="1:48">
      <c r="A2547" s="1">
        <f>HYPERLINK("https://cms.ls-nyc.org/matter/dynamic-profile/view/1874486","18-1874486")</f>
        <v>0</v>
      </c>
      <c r="B2547" t="s">
        <v>70</v>
      </c>
      <c r="C2547" t="s">
        <v>236</v>
      </c>
      <c r="D2547" t="s">
        <v>266</v>
      </c>
      <c r="E2547" t="s">
        <v>621</v>
      </c>
      <c r="F2547" t="s">
        <v>2100</v>
      </c>
      <c r="G2547" t="s">
        <v>3698</v>
      </c>
      <c r="H2547">
        <v>32</v>
      </c>
      <c r="I2547" t="s">
        <v>6043</v>
      </c>
      <c r="J2547">
        <v>11238</v>
      </c>
      <c r="K2547" t="s">
        <v>6074</v>
      </c>
      <c r="L2547" t="s">
        <v>6074</v>
      </c>
      <c r="N2547" t="s">
        <v>7278</v>
      </c>
      <c r="O2547" t="s">
        <v>7309</v>
      </c>
      <c r="P2547" t="s">
        <v>7315</v>
      </c>
      <c r="Q2547" t="s">
        <v>7322</v>
      </c>
      <c r="R2547" t="s">
        <v>6074</v>
      </c>
      <c r="S2547" t="s">
        <v>7324</v>
      </c>
      <c r="U2547" t="s">
        <v>442</v>
      </c>
      <c r="V2547">
        <v>892</v>
      </c>
      <c r="W2547" t="s">
        <v>7362</v>
      </c>
      <c r="X2547" t="s">
        <v>7372</v>
      </c>
      <c r="Y2547" t="s">
        <v>7387</v>
      </c>
      <c r="Z2547" t="s">
        <v>7463</v>
      </c>
      <c r="AB2547" t="s">
        <v>10335</v>
      </c>
      <c r="AC2547">
        <v>44</v>
      </c>
      <c r="AD2547" t="s">
        <v>12422</v>
      </c>
      <c r="AE2547" t="s">
        <v>6110</v>
      </c>
      <c r="AF2547">
        <v>13</v>
      </c>
      <c r="AG2547">
        <v>1</v>
      </c>
      <c r="AH2547">
        <v>2</v>
      </c>
      <c r="AI2547">
        <v>192.49</v>
      </c>
      <c r="AL2547" t="s">
        <v>12460</v>
      </c>
      <c r="AM2547">
        <v>40000</v>
      </c>
      <c r="AS2547">
        <v>8.25</v>
      </c>
      <c r="AT2547" t="s">
        <v>355</v>
      </c>
      <c r="AU2547" t="s">
        <v>13087</v>
      </c>
    </row>
    <row r="2548" spans="1:48">
      <c r="A2548" s="1">
        <f>HYPERLINK("https://cms.ls-nyc.org/matter/dynamic-profile/view/1870199","18-1870199")</f>
        <v>0</v>
      </c>
      <c r="B2548" t="s">
        <v>82</v>
      </c>
      <c r="C2548" t="s">
        <v>311</v>
      </c>
      <c r="E2548" t="s">
        <v>598</v>
      </c>
      <c r="F2548" t="s">
        <v>3327</v>
      </c>
      <c r="G2548" t="s">
        <v>3731</v>
      </c>
      <c r="H2548" t="s">
        <v>5469</v>
      </c>
      <c r="I2548" t="s">
        <v>6043</v>
      </c>
      <c r="J2548">
        <v>11225</v>
      </c>
      <c r="K2548" t="s">
        <v>6074</v>
      </c>
      <c r="L2548" t="s">
        <v>6074</v>
      </c>
      <c r="N2548" t="s">
        <v>7273</v>
      </c>
      <c r="O2548" t="s">
        <v>7308</v>
      </c>
      <c r="Q2548" t="s">
        <v>7322</v>
      </c>
      <c r="R2548" t="s">
        <v>6074</v>
      </c>
      <c r="S2548" t="s">
        <v>7324</v>
      </c>
      <c r="U2548" t="s">
        <v>502</v>
      </c>
      <c r="V2548">
        <v>1214</v>
      </c>
      <c r="W2548" t="s">
        <v>7362</v>
      </c>
      <c r="X2548" t="s">
        <v>7376</v>
      </c>
      <c r="Z2548" t="s">
        <v>9333</v>
      </c>
      <c r="AC2548">
        <v>47</v>
      </c>
      <c r="AD2548" t="s">
        <v>12422</v>
      </c>
      <c r="AE2548" t="s">
        <v>6110</v>
      </c>
      <c r="AF2548">
        <v>30</v>
      </c>
      <c r="AG2548">
        <v>3</v>
      </c>
      <c r="AH2548">
        <v>0</v>
      </c>
      <c r="AI2548">
        <v>192.49</v>
      </c>
      <c r="AL2548" t="s">
        <v>12460</v>
      </c>
      <c r="AM2548">
        <v>40000</v>
      </c>
      <c r="AS2548">
        <v>1</v>
      </c>
      <c r="AT2548" t="s">
        <v>311</v>
      </c>
      <c r="AU2548" t="s">
        <v>13087</v>
      </c>
    </row>
    <row r="2549" spans="1:48">
      <c r="A2549" s="1">
        <f>HYPERLINK("https://cms.ls-nyc.org/matter/dynamic-profile/view/1872357","18-1872357")</f>
        <v>0</v>
      </c>
      <c r="B2549" t="s">
        <v>130</v>
      </c>
      <c r="C2549" t="s">
        <v>394</v>
      </c>
      <c r="E2549" t="s">
        <v>1801</v>
      </c>
      <c r="F2549" t="s">
        <v>3328</v>
      </c>
      <c r="G2549" t="s">
        <v>4526</v>
      </c>
      <c r="H2549" t="s">
        <v>5447</v>
      </c>
      <c r="I2549" t="s">
        <v>6049</v>
      </c>
      <c r="J2549">
        <v>10032</v>
      </c>
      <c r="K2549" t="s">
        <v>6074</v>
      </c>
      <c r="L2549" t="s">
        <v>6074</v>
      </c>
      <c r="N2549" t="s">
        <v>7273</v>
      </c>
      <c r="O2549" t="s">
        <v>7307</v>
      </c>
      <c r="Q2549" t="s">
        <v>7322</v>
      </c>
      <c r="R2549" t="s">
        <v>6076</v>
      </c>
      <c r="S2549" t="s">
        <v>7324</v>
      </c>
      <c r="U2549" t="s">
        <v>394</v>
      </c>
      <c r="V2549">
        <v>1282.58</v>
      </c>
      <c r="W2549" t="s">
        <v>7365</v>
      </c>
      <c r="X2549" t="s">
        <v>7367</v>
      </c>
      <c r="Z2549" t="s">
        <v>9334</v>
      </c>
      <c r="AA2549" t="s">
        <v>10091</v>
      </c>
      <c r="AB2549" t="s">
        <v>12014</v>
      </c>
      <c r="AC2549">
        <v>49</v>
      </c>
      <c r="AD2549" t="s">
        <v>12422</v>
      </c>
      <c r="AE2549" t="s">
        <v>6110</v>
      </c>
      <c r="AF2549">
        <v>24</v>
      </c>
      <c r="AG2549">
        <v>3</v>
      </c>
      <c r="AH2549">
        <v>0</v>
      </c>
      <c r="AI2549">
        <v>192.49</v>
      </c>
      <c r="AL2549" t="s">
        <v>12461</v>
      </c>
      <c r="AM2549">
        <v>40000</v>
      </c>
      <c r="AS2549">
        <v>60.4</v>
      </c>
      <c r="AT2549" t="s">
        <v>501</v>
      </c>
      <c r="AU2549" t="s">
        <v>13106</v>
      </c>
      <c r="AV2549" t="s">
        <v>13145</v>
      </c>
    </row>
    <row r="2550" spans="1:48">
      <c r="A2550" s="1">
        <f>HYPERLINK("https://cms.ls-nyc.org/matter/dynamic-profile/view/1890579","19-1890579")</f>
        <v>0</v>
      </c>
      <c r="B2550" t="s">
        <v>72</v>
      </c>
      <c r="C2550" t="s">
        <v>448</v>
      </c>
      <c r="E2550" t="s">
        <v>1233</v>
      </c>
      <c r="F2550" t="s">
        <v>3329</v>
      </c>
      <c r="G2550" t="s">
        <v>3700</v>
      </c>
      <c r="H2550" t="s">
        <v>5893</v>
      </c>
      <c r="I2550" t="s">
        <v>6043</v>
      </c>
      <c r="J2550">
        <v>11233</v>
      </c>
      <c r="K2550" t="s">
        <v>6074</v>
      </c>
      <c r="L2550" t="s">
        <v>6076</v>
      </c>
      <c r="M2550" t="s">
        <v>6110</v>
      </c>
      <c r="N2550" t="s">
        <v>7279</v>
      </c>
      <c r="O2550" t="s">
        <v>7311</v>
      </c>
      <c r="Q2550" t="s">
        <v>7322</v>
      </c>
      <c r="R2550" t="s">
        <v>6074</v>
      </c>
      <c r="S2550" t="s">
        <v>7324</v>
      </c>
      <c r="T2550" t="s">
        <v>7336</v>
      </c>
      <c r="U2550" t="s">
        <v>330</v>
      </c>
      <c r="V2550">
        <v>965.96</v>
      </c>
      <c r="W2550" t="s">
        <v>7362</v>
      </c>
      <c r="X2550" t="s">
        <v>7372</v>
      </c>
      <c r="Z2550" t="s">
        <v>9335</v>
      </c>
      <c r="AC2550">
        <v>359</v>
      </c>
      <c r="AD2550" t="s">
        <v>12422</v>
      </c>
      <c r="AF2550">
        <v>42</v>
      </c>
      <c r="AG2550">
        <v>1</v>
      </c>
      <c r="AH2550">
        <v>0</v>
      </c>
      <c r="AI2550">
        <v>192.53</v>
      </c>
      <c r="AL2550" t="s">
        <v>12460</v>
      </c>
      <c r="AM2550">
        <v>24046.8</v>
      </c>
      <c r="AN2550" t="s">
        <v>12687</v>
      </c>
      <c r="AS2550">
        <v>0</v>
      </c>
      <c r="AU2550" t="s">
        <v>218</v>
      </c>
    </row>
    <row r="2551" spans="1:48">
      <c r="A2551" s="1">
        <f>HYPERLINK("https://cms.ls-nyc.org/matter/dynamic-profile/view/1891872","19-1891872")</f>
        <v>0</v>
      </c>
      <c r="B2551" t="s">
        <v>72</v>
      </c>
      <c r="C2551" t="s">
        <v>318</v>
      </c>
      <c r="E2551" t="s">
        <v>1233</v>
      </c>
      <c r="F2551" t="s">
        <v>3329</v>
      </c>
      <c r="G2551" t="s">
        <v>3700</v>
      </c>
      <c r="H2551" t="s">
        <v>5893</v>
      </c>
      <c r="I2551" t="s">
        <v>6043</v>
      </c>
      <c r="J2551">
        <v>11233</v>
      </c>
      <c r="K2551" t="s">
        <v>6074</v>
      </c>
      <c r="L2551" t="s">
        <v>6076</v>
      </c>
      <c r="M2551" t="s">
        <v>6110</v>
      </c>
      <c r="N2551" t="s">
        <v>7275</v>
      </c>
      <c r="O2551" t="s">
        <v>7307</v>
      </c>
      <c r="Q2551" t="s">
        <v>7322</v>
      </c>
      <c r="R2551" t="s">
        <v>6074</v>
      </c>
      <c r="S2551" t="s">
        <v>7324</v>
      </c>
      <c r="T2551" t="s">
        <v>7336</v>
      </c>
      <c r="U2551" t="s">
        <v>287</v>
      </c>
      <c r="V2551">
        <v>965.96</v>
      </c>
      <c r="W2551" t="s">
        <v>7362</v>
      </c>
      <c r="Z2551" t="s">
        <v>9335</v>
      </c>
      <c r="AC2551">
        <v>359</v>
      </c>
      <c r="AD2551" t="s">
        <v>12422</v>
      </c>
      <c r="AF2551">
        <v>42</v>
      </c>
      <c r="AG2551">
        <v>1</v>
      </c>
      <c r="AH2551">
        <v>0</v>
      </c>
      <c r="AI2551">
        <v>192.53</v>
      </c>
      <c r="AL2551" t="s">
        <v>12460</v>
      </c>
      <c r="AM2551">
        <v>24046.8</v>
      </c>
      <c r="AN2551" t="s">
        <v>12698</v>
      </c>
      <c r="AS2551">
        <v>0</v>
      </c>
      <c r="AU2551" t="s">
        <v>218</v>
      </c>
    </row>
    <row r="2552" spans="1:48">
      <c r="A2552" s="1">
        <f>HYPERLINK("https://cms.ls-nyc.org/matter/dynamic-profile/view/1900617","19-1900617")</f>
        <v>0</v>
      </c>
      <c r="B2552" t="s">
        <v>83</v>
      </c>
      <c r="C2552" t="s">
        <v>260</v>
      </c>
      <c r="E2552" t="s">
        <v>1127</v>
      </c>
      <c r="F2552" t="s">
        <v>2471</v>
      </c>
      <c r="G2552" t="s">
        <v>4209</v>
      </c>
      <c r="H2552" t="s">
        <v>5453</v>
      </c>
      <c r="I2552" t="s">
        <v>6043</v>
      </c>
      <c r="J2552">
        <v>11226</v>
      </c>
      <c r="K2552" t="s">
        <v>6074</v>
      </c>
      <c r="L2552" t="s">
        <v>6075</v>
      </c>
      <c r="Q2552" t="s">
        <v>7322</v>
      </c>
      <c r="S2552" t="s">
        <v>7324</v>
      </c>
      <c r="U2552" t="s">
        <v>260</v>
      </c>
      <c r="V2552">
        <v>0</v>
      </c>
      <c r="W2552" t="s">
        <v>7362</v>
      </c>
      <c r="Z2552" t="s">
        <v>9336</v>
      </c>
      <c r="AB2552" t="s">
        <v>12015</v>
      </c>
      <c r="AC2552">
        <v>0</v>
      </c>
      <c r="AF2552">
        <v>0</v>
      </c>
      <c r="AG2552">
        <v>4</v>
      </c>
      <c r="AH2552">
        <v>0</v>
      </c>
      <c r="AI2552">
        <v>192.65</v>
      </c>
      <c r="AL2552" t="s">
        <v>12461</v>
      </c>
      <c r="AM2552">
        <v>49608</v>
      </c>
      <c r="AS2552">
        <v>0.3</v>
      </c>
      <c r="AT2552" t="s">
        <v>260</v>
      </c>
      <c r="AU2552" t="s">
        <v>69</v>
      </c>
    </row>
    <row r="2553" spans="1:48">
      <c r="A2553" s="1">
        <f>HYPERLINK("https://cms.ls-nyc.org/matter/dynamic-profile/view/1866708","18-1866708")</f>
        <v>0</v>
      </c>
      <c r="B2553" t="s">
        <v>89</v>
      </c>
      <c r="C2553" t="s">
        <v>461</v>
      </c>
      <c r="E2553" t="s">
        <v>991</v>
      </c>
      <c r="F2553" t="s">
        <v>2441</v>
      </c>
      <c r="G2553" t="s">
        <v>4083</v>
      </c>
      <c r="H2553" t="s">
        <v>5446</v>
      </c>
      <c r="I2553" t="s">
        <v>6043</v>
      </c>
      <c r="J2553">
        <v>11233</v>
      </c>
      <c r="K2553" t="s">
        <v>6074</v>
      </c>
      <c r="L2553" t="s">
        <v>6074</v>
      </c>
      <c r="M2553" t="s">
        <v>6110</v>
      </c>
      <c r="N2553" t="s">
        <v>7275</v>
      </c>
      <c r="O2553" t="s">
        <v>7307</v>
      </c>
      <c r="Q2553" t="s">
        <v>7322</v>
      </c>
      <c r="R2553" t="s">
        <v>6076</v>
      </c>
      <c r="S2553" t="s">
        <v>7324</v>
      </c>
      <c r="U2553" t="s">
        <v>231</v>
      </c>
      <c r="V2553">
        <v>647</v>
      </c>
      <c r="W2553" t="s">
        <v>7362</v>
      </c>
      <c r="X2553" t="s">
        <v>7383</v>
      </c>
      <c r="Z2553" t="s">
        <v>7897</v>
      </c>
      <c r="AA2553" t="s">
        <v>10005</v>
      </c>
      <c r="AB2553" t="s">
        <v>10705</v>
      </c>
      <c r="AC2553">
        <v>23</v>
      </c>
      <c r="AD2553" t="s">
        <v>12422</v>
      </c>
      <c r="AE2553" t="s">
        <v>12437</v>
      </c>
      <c r="AF2553">
        <v>4</v>
      </c>
      <c r="AG2553">
        <v>1</v>
      </c>
      <c r="AH2553">
        <v>0</v>
      </c>
      <c r="AI2553">
        <v>192.75</v>
      </c>
      <c r="AL2553" t="s">
        <v>12460</v>
      </c>
      <c r="AM2553">
        <v>23400</v>
      </c>
      <c r="AN2553" t="s">
        <v>12505</v>
      </c>
      <c r="AS2553">
        <v>5.5</v>
      </c>
      <c r="AT2553" t="s">
        <v>249</v>
      </c>
      <c r="AU2553" t="s">
        <v>13117</v>
      </c>
    </row>
    <row r="2554" spans="1:48">
      <c r="A2554" s="1">
        <f>HYPERLINK("https://cms.ls-nyc.org/matter/dynamic-profile/view/1875272","18-1875272")</f>
        <v>0</v>
      </c>
      <c r="B2554" t="s">
        <v>168</v>
      </c>
      <c r="C2554" t="s">
        <v>399</v>
      </c>
      <c r="D2554" t="s">
        <v>448</v>
      </c>
      <c r="E2554" t="s">
        <v>933</v>
      </c>
      <c r="F2554" t="s">
        <v>2565</v>
      </c>
      <c r="G2554" t="s">
        <v>5102</v>
      </c>
      <c r="H2554" t="s">
        <v>5398</v>
      </c>
      <c r="I2554" t="s">
        <v>6043</v>
      </c>
      <c r="J2554">
        <v>11233</v>
      </c>
      <c r="K2554" t="s">
        <v>6074</v>
      </c>
      <c r="L2554" t="s">
        <v>6074</v>
      </c>
      <c r="M2554" t="s">
        <v>7112</v>
      </c>
      <c r="N2554" t="s">
        <v>7276</v>
      </c>
      <c r="O2554" t="s">
        <v>7308</v>
      </c>
      <c r="P2554" t="s">
        <v>7316</v>
      </c>
      <c r="Q2554" t="s">
        <v>7322</v>
      </c>
      <c r="R2554" t="s">
        <v>6076</v>
      </c>
      <c r="S2554" t="s">
        <v>7324</v>
      </c>
      <c r="U2554" t="s">
        <v>399</v>
      </c>
      <c r="V2554">
        <v>1034</v>
      </c>
      <c r="W2554" t="s">
        <v>7362</v>
      </c>
      <c r="X2554" t="s">
        <v>7373</v>
      </c>
      <c r="Y2554" t="s">
        <v>7388</v>
      </c>
      <c r="Z2554" t="s">
        <v>9337</v>
      </c>
      <c r="AA2554" t="s">
        <v>10275</v>
      </c>
      <c r="AB2554" t="s">
        <v>12016</v>
      </c>
      <c r="AC2554">
        <v>18</v>
      </c>
      <c r="AD2554" t="s">
        <v>6322</v>
      </c>
      <c r="AE2554" t="s">
        <v>12438</v>
      </c>
      <c r="AF2554">
        <v>2</v>
      </c>
      <c r="AG2554">
        <v>1</v>
      </c>
      <c r="AH2554">
        <v>0</v>
      </c>
      <c r="AI2554">
        <v>192.75</v>
      </c>
      <c r="AL2554" t="s">
        <v>12460</v>
      </c>
      <c r="AM2554">
        <v>23400</v>
      </c>
      <c r="AN2554" t="s">
        <v>12491</v>
      </c>
      <c r="AS2554">
        <v>15.25</v>
      </c>
      <c r="AT2554" t="s">
        <v>244</v>
      </c>
      <c r="AU2554" t="s">
        <v>218</v>
      </c>
    </row>
    <row r="2555" spans="1:48">
      <c r="A2555" s="1">
        <f>HYPERLINK("https://cms.ls-nyc.org/matter/dynamic-profile/view/1881597","18-1881597")</f>
        <v>0</v>
      </c>
      <c r="B2555" t="s">
        <v>120</v>
      </c>
      <c r="C2555" t="s">
        <v>298</v>
      </c>
      <c r="D2555" t="s">
        <v>320</v>
      </c>
      <c r="E2555" t="s">
        <v>1802</v>
      </c>
      <c r="F2555" t="s">
        <v>1387</v>
      </c>
      <c r="G2555" t="s">
        <v>5103</v>
      </c>
      <c r="H2555" t="s">
        <v>5507</v>
      </c>
      <c r="I2555" t="s">
        <v>6048</v>
      </c>
      <c r="J2555">
        <v>10304</v>
      </c>
      <c r="K2555" t="s">
        <v>6074</v>
      </c>
      <c r="L2555" t="s">
        <v>6074</v>
      </c>
      <c r="M2555" t="s">
        <v>7113</v>
      </c>
      <c r="N2555" t="s">
        <v>7276</v>
      </c>
      <c r="O2555" t="s">
        <v>7306</v>
      </c>
      <c r="P2555" t="s">
        <v>7314</v>
      </c>
      <c r="Q2555" t="s">
        <v>7322</v>
      </c>
      <c r="R2555" t="s">
        <v>6076</v>
      </c>
      <c r="S2555" t="s">
        <v>7324</v>
      </c>
      <c r="T2555" t="s">
        <v>7337</v>
      </c>
      <c r="U2555" t="s">
        <v>258</v>
      </c>
      <c r="V2555">
        <v>1265</v>
      </c>
      <c r="W2555" t="s">
        <v>7364</v>
      </c>
      <c r="Y2555" t="s">
        <v>7386</v>
      </c>
      <c r="Z2555" t="s">
        <v>9338</v>
      </c>
      <c r="AB2555" t="s">
        <v>12017</v>
      </c>
      <c r="AC2555">
        <v>0</v>
      </c>
      <c r="AD2555" t="s">
        <v>6322</v>
      </c>
      <c r="AE2555" t="s">
        <v>6110</v>
      </c>
      <c r="AF2555">
        <v>3</v>
      </c>
      <c r="AG2555">
        <v>1</v>
      </c>
      <c r="AH2555">
        <v>0</v>
      </c>
      <c r="AI2555">
        <v>192.75</v>
      </c>
      <c r="AL2555" t="s">
        <v>12460</v>
      </c>
      <c r="AM2555">
        <v>23400</v>
      </c>
      <c r="AP2555" t="s">
        <v>7305</v>
      </c>
      <c r="AQ2555" t="s">
        <v>12910</v>
      </c>
      <c r="AR2555" t="s">
        <v>13049</v>
      </c>
      <c r="AS2555">
        <v>2.7</v>
      </c>
      <c r="AT2555" t="s">
        <v>468</v>
      </c>
      <c r="AU2555" t="s">
        <v>13100</v>
      </c>
    </row>
    <row r="2556" spans="1:48">
      <c r="A2556" s="1">
        <f>HYPERLINK("https://cms.ls-nyc.org/matter/dynamic-profile/view/1890540","19-1890540")</f>
        <v>0</v>
      </c>
      <c r="B2556" t="s">
        <v>72</v>
      </c>
      <c r="C2556" t="s">
        <v>448</v>
      </c>
      <c r="E2556" t="s">
        <v>1735</v>
      </c>
      <c r="F2556" t="s">
        <v>3330</v>
      </c>
      <c r="G2556" t="s">
        <v>3700</v>
      </c>
      <c r="H2556" t="s">
        <v>5870</v>
      </c>
      <c r="I2556" t="s">
        <v>6043</v>
      </c>
      <c r="J2556">
        <v>11233</v>
      </c>
      <c r="K2556" t="s">
        <v>6074</v>
      </c>
      <c r="L2556" t="s">
        <v>6076</v>
      </c>
      <c r="M2556" t="s">
        <v>6110</v>
      </c>
      <c r="N2556" t="s">
        <v>7279</v>
      </c>
      <c r="O2556" t="s">
        <v>7311</v>
      </c>
      <c r="Q2556" t="s">
        <v>7322</v>
      </c>
      <c r="R2556" t="s">
        <v>6074</v>
      </c>
      <c r="S2556" t="s">
        <v>7324</v>
      </c>
      <c r="T2556" t="s">
        <v>7336</v>
      </c>
      <c r="U2556" t="s">
        <v>330</v>
      </c>
      <c r="V2556">
        <v>950</v>
      </c>
      <c r="W2556" t="s">
        <v>7362</v>
      </c>
      <c r="X2556" t="s">
        <v>7372</v>
      </c>
      <c r="Z2556" t="s">
        <v>9339</v>
      </c>
      <c r="AC2556">
        <v>359</v>
      </c>
      <c r="AD2556" t="s">
        <v>12422</v>
      </c>
      <c r="AE2556" t="s">
        <v>6110</v>
      </c>
      <c r="AF2556">
        <v>15</v>
      </c>
      <c r="AG2556">
        <v>4</v>
      </c>
      <c r="AH2556">
        <v>0</v>
      </c>
      <c r="AI2556">
        <v>193.03</v>
      </c>
      <c r="AL2556" t="s">
        <v>12460</v>
      </c>
      <c r="AM2556">
        <v>49705</v>
      </c>
      <c r="AN2556" t="s">
        <v>12544</v>
      </c>
      <c r="AS2556">
        <v>0</v>
      </c>
      <c r="AU2556" t="s">
        <v>218</v>
      </c>
    </row>
    <row r="2557" spans="1:48">
      <c r="A2557" s="1">
        <f>HYPERLINK("https://cms.ls-nyc.org/matter/dynamic-profile/view/1891859","19-1891859")</f>
        <v>0</v>
      </c>
      <c r="B2557" t="s">
        <v>72</v>
      </c>
      <c r="C2557" t="s">
        <v>318</v>
      </c>
      <c r="E2557" t="s">
        <v>1735</v>
      </c>
      <c r="F2557" t="s">
        <v>3330</v>
      </c>
      <c r="G2557" t="s">
        <v>3700</v>
      </c>
      <c r="H2557" t="s">
        <v>5870</v>
      </c>
      <c r="I2557" t="s">
        <v>6043</v>
      </c>
      <c r="J2557">
        <v>11233</v>
      </c>
      <c r="K2557" t="s">
        <v>6074</v>
      </c>
      <c r="L2557" t="s">
        <v>6076</v>
      </c>
      <c r="M2557" t="s">
        <v>6110</v>
      </c>
      <c r="N2557" t="s">
        <v>7275</v>
      </c>
      <c r="O2557" t="s">
        <v>7307</v>
      </c>
      <c r="Q2557" t="s">
        <v>7322</v>
      </c>
      <c r="R2557" t="s">
        <v>6074</v>
      </c>
      <c r="S2557" t="s">
        <v>7324</v>
      </c>
      <c r="T2557" t="s">
        <v>7336</v>
      </c>
      <c r="U2557" t="s">
        <v>287</v>
      </c>
      <c r="V2557">
        <v>950</v>
      </c>
      <c r="W2557" t="s">
        <v>7362</v>
      </c>
      <c r="Z2557" t="s">
        <v>9339</v>
      </c>
      <c r="AC2557">
        <v>359</v>
      </c>
      <c r="AD2557" t="s">
        <v>12422</v>
      </c>
      <c r="AE2557" t="s">
        <v>6110</v>
      </c>
      <c r="AF2557">
        <v>15</v>
      </c>
      <c r="AG2557">
        <v>4</v>
      </c>
      <c r="AH2557">
        <v>0</v>
      </c>
      <c r="AI2557">
        <v>193.03</v>
      </c>
      <c r="AL2557" t="s">
        <v>12460</v>
      </c>
      <c r="AM2557">
        <v>49705</v>
      </c>
      <c r="AN2557" t="s">
        <v>12699</v>
      </c>
      <c r="AS2557">
        <v>0</v>
      </c>
      <c r="AU2557" t="s">
        <v>218</v>
      </c>
    </row>
    <row r="2558" spans="1:48">
      <c r="A2558" s="1">
        <f>HYPERLINK("https://cms.ls-nyc.org/matter/dynamic-profile/view/1884601","18-1884601")</f>
        <v>0</v>
      </c>
      <c r="B2558" t="s">
        <v>103</v>
      </c>
      <c r="C2558" t="s">
        <v>380</v>
      </c>
      <c r="E2558" t="s">
        <v>1282</v>
      </c>
      <c r="F2558" t="s">
        <v>2474</v>
      </c>
      <c r="G2558" t="s">
        <v>3810</v>
      </c>
      <c r="I2558" t="s">
        <v>6047</v>
      </c>
      <c r="J2558">
        <v>10451</v>
      </c>
      <c r="K2558" t="s">
        <v>6074</v>
      </c>
      <c r="L2558" t="s">
        <v>6074</v>
      </c>
      <c r="M2558" t="s">
        <v>6201</v>
      </c>
      <c r="N2558" t="s">
        <v>7273</v>
      </c>
      <c r="O2558" t="s">
        <v>7308</v>
      </c>
      <c r="Q2558" t="s">
        <v>7322</v>
      </c>
      <c r="R2558" t="s">
        <v>6074</v>
      </c>
      <c r="S2558" t="s">
        <v>7324</v>
      </c>
      <c r="U2558" t="s">
        <v>472</v>
      </c>
      <c r="V2558">
        <v>1140</v>
      </c>
      <c r="W2558" t="s">
        <v>7363</v>
      </c>
      <c r="X2558" t="s">
        <v>7376</v>
      </c>
      <c r="Z2558" t="s">
        <v>9340</v>
      </c>
      <c r="AB2558" t="s">
        <v>12018</v>
      </c>
      <c r="AC2558">
        <v>100</v>
      </c>
      <c r="AD2558" t="s">
        <v>12422</v>
      </c>
      <c r="AE2558" t="s">
        <v>12434</v>
      </c>
      <c r="AF2558">
        <v>40</v>
      </c>
      <c r="AG2558">
        <v>2</v>
      </c>
      <c r="AH2558">
        <v>0</v>
      </c>
      <c r="AI2558">
        <v>193.2</v>
      </c>
      <c r="AL2558" t="s">
        <v>12460</v>
      </c>
      <c r="AM2558">
        <v>31800</v>
      </c>
      <c r="AS2558">
        <v>0</v>
      </c>
      <c r="AU2558" t="s">
        <v>13095</v>
      </c>
    </row>
    <row r="2559" spans="1:48">
      <c r="A2559" s="1">
        <f>HYPERLINK("https://cms.ls-nyc.org/matter/dynamic-profile/view/1871581","18-1871581")</f>
        <v>0</v>
      </c>
      <c r="B2559" t="s">
        <v>151</v>
      </c>
      <c r="C2559" t="s">
        <v>374</v>
      </c>
      <c r="D2559" t="s">
        <v>236</v>
      </c>
      <c r="E2559" t="s">
        <v>636</v>
      </c>
      <c r="F2559" t="s">
        <v>3331</v>
      </c>
      <c r="G2559" t="s">
        <v>5104</v>
      </c>
      <c r="H2559">
        <v>42</v>
      </c>
      <c r="I2559" t="s">
        <v>6047</v>
      </c>
      <c r="J2559">
        <v>10468</v>
      </c>
      <c r="K2559" t="s">
        <v>6074</v>
      </c>
      <c r="L2559" t="s">
        <v>6074</v>
      </c>
      <c r="M2559" t="s">
        <v>6101</v>
      </c>
      <c r="N2559" t="s">
        <v>7278</v>
      </c>
      <c r="O2559" t="s">
        <v>7306</v>
      </c>
      <c r="P2559" t="s">
        <v>7314</v>
      </c>
      <c r="Q2559" t="s">
        <v>7322</v>
      </c>
      <c r="R2559" t="s">
        <v>6076</v>
      </c>
      <c r="S2559" t="s">
        <v>7324</v>
      </c>
      <c r="T2559" t="s">
        <v>7336</v>
      </c>
      <c r="U2559" t="s">
        <v>467</v>
      </c>
      <c r="V2559">
        <v>1200</v>
      </c>
      <c r="W2559" t="s">
        <v>7363</v>
      </c>
      <c r="X2559" t="s">
        <v>7376</v>
      </c>
      <c r="Y2559" t="s">
        <v>7386</v>
      </c>
      <c r="Z2559" t="s">
        <v>9341</v>
      </c>
      <c r="AA2559" t="s">
        <v>10276</v>
      </c>
      <c r="AB2559" t="s">
        <v>12019</v>
      </c>
      <c r="AC2559">
        <v>27</v>
      </c>
      <c r="AD2559" t="s">
        <v>6322</v>
      </c>
      <c r="AE2559" t="s">
        <v>12434</v>
      </c>
      <c r="AF2559">
        <v>35</v>
      </c>
      <c r="AG2559">
        <v>1</v>
      </c>
      <c r="AH2559">
        <v>2</v>
      </c>
      <c r="AI2559">
        <v>193.28</v>
      </c>
      <c r="AL2559" t="s">
        <v>12460</v>
      </c>
      <c r="AM2559">
        <v>40162.8</v>
      </c>
      <c r="AN2559" t="s">
        <v>12700</v>
      </c>
      <c r="AS2559">
        <v>0.2</v>
      </c>
      <c r="AT2559" t="s">
        <v>419</v>
      </c>
      <c r="AU2559" t="s">
        <v>13095</v>
      </c>
    </row>
    <row r="2560" spans="1:48">
      <c r="A2560" s="1">
        <f>HYPERLINK("https://cms.ls-nyc.org/matter/dynamic-profile/view/1890374","19-1890374")</f>
        <v>0</v>
      </c>
      <c r="B2560" t="s">
        <v>81</v>
      </c>
      <c r="C2560" t="s">
        <v>364</v>
      </c>
      <c r="E2560" t="s">
        <v>1803</v>
      </c>
      <c r="F2560" t="s">
        <v>1218</v>
      </c>
      <c r="G2560" t="s">
        <v>4333</v>
      </c>
      <c r="H2560" t="s">
        <v>5387</v>
      </c>
      <c r="I2560" t="s">
        <v>6043</v>
      </c>
      <c r="J2560">
        <v>11226</v>
      </c>
      <c r="K2560" t="s">
        <v>6074</v>
      </c>
      <c r="L2560" t="s">
        <v>6074</v>
      </c>
      <c r="N2560" t="s">
        <v>7273</v>
      </c>
      <c r="O2560" t="s">
        <v>7308</v>
      </c>
      <c r="Q2560" t="s">
        <v>7322</v>
      </c>
      <c r="R2560" t="s">
        <v>6076</v>
      </c>
      <c r="S2560" t="s">
        <v>7324</v>
      </c>
      <c r="U2560" t="s">
        <v>365</v>
      </c>
      <c r="V2560">
        <v>778.9299999999999</v>
      </c>
      <c r="W2560" t="s">
        <v>7362</v>
      </c>
      <c r="Z2560" t="s">
        <v>8224</v>
      </c>
      <c r="AB2560" t="s">
        <v>11000</v>
      </c>
      <c r="AC2560">
        <v>36</v>
      </c>
      <c r="AF2560">
        <v>8</v>
      </c>
      <c r="AG2560">
        <v>4</v>
      </c>
      <c r="AH2560">
        <v>1</v>
      </c>
      <c r="AI2560">
        <v>193.32</v>
      </c>
      <c r="AL2560" t="s">
        <v>12465</v>
      </c>
      <c r="AM2560">
        <v>58324</v>
      </c>
      <c r="AS2560">
        <v>2.4</v>
      </c>
      <c r="AT2560" t="s">
        <v>234</v>
      </c>
      <c r="AU2560" t="s">
        <v>88</v>
      </c>
    </row>
    <row r="2561" spans="1:48">
      <c r="A2561" s="1">
        <f>HYPERLINK("https://cms.ls-nyc.org/matter/dynamic-profile/view/1899088","19-1899088")</f>
        <v>0</v>
      </c>
      <c r="B2561" t="s">
        <v>125</v>
      </c>
      <c r="C2561" t="s">
        <v>254</v>
      </c>
      <c r="E2561" t="s">
        <v>1165</v>
      </c>
      <c r="F2561" t="s">
        <v>2238</v>
      </c>
      <c r="G2561" t="s">
        <v>5105</v>
      </c>
      <c r="H2561" t="s">
        <v>5894</v>
      </c>
      <c r="I2561" t="s">
        <v>6049</v>
      </c>
      <c r="J2561">
        <v>10040</v>
      </c>
      <c r="K2561" t="s">
        <v>6074</v>
      </c>
      <c r="L2561" t="s">
        <v>6075</v>
      </c>
      <c r="N2561" t="s">
        <v>6104</v>
      </c>
      <c r="O2561" t="s">
        <v>7308</v>
      </c>
      <c r="Q2561" t="s">
        <v>7322</v>
      </c>
      <c r="R2561" t="s">
        <v>6076</v>
      </c>
      <c r="S2561" t="s">
        <v>7324</v>
      </c>
      <c r="T2561" t="s">
        <v>7336</v>
      </c>
      <c r="U2561" t="s">
        <v>254</v>
      </c>
      <c r="V2561">
        <v>2100</v>
      </c>
      <c r="W2561" t="s">
        <v>7365</v>
      </c>
      <c r="X2561" t="s">
        <v>7367</v>
      </c>
      <c r="Z2561" t="s">
        <v>9342</v>
      </c>
      <c r="AB2561" t="s">
        <v>12020</v>
      </c>
      <c r="AC2561">
        <v>72</v>
      </c>
      <c r="AD2561" t="s">
        <v>12422</v>
      </c>
      <c r="AE2561" t="s">
        <v>6110</v>
      </c>
      <c r="AF2561">
        <v>7</v>
      </c>
      <c r="AG2561">
        <v>3</v>
      </c>
      <c r="AH2561">
        <v>1</v>
      </c>
      <c r="AI2561">
        <v>194.17</v>
      </c>
      <c r="AL2561" t="s">
        <v>12461</v>
      </c>
      <c r="AM2561">
        <v>50000</v>
      </c>
      <c r="AS2561">
        <v>2.3</v>
      </c>
      <c r="AT2561" t="s">
        <v>363</v>
      </c>
      <c r="AU2561" t="s">
        <v>13106</v>
      </c>
      <c r="AV2561" t="s">
        <v>13145</v>
      </c>
    </row>
    <row r="2562" spans="1:48">
      <c r="A2562" s="1">
        <f>HYPERLINK("https://cms.ls-nyc.org/matter/dynamic-profile/view/1880272","18-1880272")</f>
        <v>0</v>
      </c>
      <c r="B2562" t="s">
        <v>148</v>
      </c>
      <c r="C2562" t="s">
        <v>391</v>
      </c>
      <c r="E2562" t="s">
        <v>1792</v>
      </c>
      <c r="F2562" t="s">
        <v>1504</v>
      </c>
      <c r="G2562" t="s">
        <v>5036</v>
      </c>
      <c r="H2562">
        <v>7</v>
      </c>
      <c r="I2562" t="s">
        <v>6043</v>
      </c>
      <c r="J2562">
        <v>11213</v>
      </c>
      <c r="K2562" t="s">
        <v>6074</v>
      </c>
      <c r="L2562" t="s">
        <v>6074</v>
      </c>
      <c r="M2562" t="s">
        <v>6147</v>
      </c>
      <c r="N2562" t="s">
        <v>7273</v>
      </c>
      <c r="O2562" t="s">
        <v>7308</v>
      </c>
      <c r="Q2562" t="s">
        <v>7322</v>
      </c>
      <c r="R2562" t="s">
        <v>6074</v>
      </c>
      <c r="S2562" t="s">
        <v>7324</v>
      </c>
      <c r="T2562" t="s">
        <v>7336</v>
      </c>
      <c r="U2562" t="s">
        <v>563</v>
      </c>
      <c r="V2562">
        <v>931.36</v>
      </c>
      <c r="W2562" t="s">
        <v>7362</v>
      </c>
      <c r="X2562" t="s">
        <v>7376</v>
      </c>
      <c r="Z2562" t="s">
        <v>9317</v>
      </c>
      <c r="AA2562" t="s">
        <v>6110</v>
      </c>
      <c r="AC2562">
        <v>31</v>
      </c>
      <c r="AD2562" t="s">
        <v>12422</v>
      </c>
      <c r="AE2562" t="s">
        <v>6110</v>
      </c>
      <c r="AF2562">
        <v>35</v>
      </c>
      <c r="AG2562">
        <v>2</v>
      </c>
      <c r="AH2562">
        <v>0</v>
      </c>
      <c r="AI2562">
        <v>194.41</v>
      </c>
      <c r="AL2562" t="s">
        <v>12460</v>
      </c>
      <c r="AM2562">
        <v>32000</v>
      </c>
      <c r="AS2562">
        <v>1.15</v>
      </c>
      <c r="AT2562" t="s">
        <v>254</v>
      </c>
      <c r="AU2562" t="s">
        <v>218</v>
      </c>
    </row>
    <row r="2563" spans="1:48">
      <c r="A2563" s="1">
        <f>HYPERLINK("https://cms.ls-nyc.org/matter/dynamic-profile/view/1886018","18-1886018")</f>
        <v>0</v>
      </c>
      <c r="B2563" t="s">
        <v>126</v>
      </c>
      <c r="C2563" t="s">
        <v>462</v>
      </c>
      <c r="D2563" t="s">
        <v>429</v>
      </c>
      <c r="E2563" t="s">
        <v>1121</v>
      </c>
      <c r="F2563" t="s">
        <v>2161</v>
      </c>
      <c r="G2563" t="s">
        <v>5106</v>
      </c>
      <c r="H2563">
        <v>8</v>
      </c>
      <c r="I2563" t="s">
        <v>6049</v>
      </c>
      <c r="J2563">
        <v>10034</v>
      </c>
      <c r="K2563" t="s">
        <v>6074</v>
      </c>
      <c r="L2563" t="s">
        <v>6076</v>
      </c>
      <c r="N2563" t="s">
        <v>7291</v>
      </c>
      <c r="O2563" t="s">
        <v>7309</v>
      </c>
      <c r="P2563" t="s">
        <v>7319</v>
      </c>
      <c r="Q2563" t="s">
        <v>7322</v>
      </c>
      <c r="R2563" t="s">
        <v>6076</v>
      </c>
      <c r="S2563" t="s">
        <v>7333</v>
      </c>
      <c r="T2563" t="s">
        <v>7336</v>
      </c>
      <c r="U2563" t="s">
        <v>462</v>
      </c>
      <c r="V2563">
        <v>1668</v>
      </c>
      <c r="W2563" t="s">
        <v>7365</v>
      </c>
      <c r="X2563" t="s">
        <v>7375</v>
      </c>
      <c r="Y2563" t="s">
        <v>7405</v>
      </c>
      <c r="Z2563" t="s">
        <v>9343</v>
      </c>
      <c r="AA2563" t="s">
        <v>10277</v>
      </c>
      <c r="AB2563" t="s">
        <v>12021</v>
      </c>
      <c r="AC2563">
        <v>23</v>
      </c>
      <c r="AD2563" t="s">
        <v>12422</v>
      </c>
      <c r="AE2563" t="s">
        <v>6110</v>
      </c>
      <c r="AF2563">
        <v>20</v>
      </c>
      <c r="AG2563">
        <v>2</v>
      </c>
      <c r="AH2563">
        <v>0</v>
      </c>
      <c r="AI2563">
        <v>194.41</v>
      </c>
      <c r="AL2563" t="s">
        <v>12460</v>
      </c>
      <c r="AM2563">
        <v>32000</v>
      </c>
      <c r="AN2563" t="s">
        <v>12701</v>
      </c>
      <c r="AO2563" t="s">
        <v>12846</v>
      </c>
      <c r="AP2563" t="s">
        <v>12858</v>
      </c>
      <c r="AQ2563" t="s">
        <v>12909</v>
      </c>
      <c r="AR2563" t="s">
        <v>13050</v>
      </c>
      <c r="AS2563">
        <v>0.2</v>
      </c>
      <c r="AT2563" t="s">
        <v>462</v>
      </c>
      <c r="AU2563" t="s">
        <v>126</v>
      </c>
    </row>
    <row r="2564" spans="1:48">
      <c r="A2564" s="1">
        <f>HYPERLINK("https://cms.ls-nyc.org/matter/dynamic-profile/view/1892757","19-1892757")</f>
        <v>0</v>
      </c>
      <c r="B2564" t="s">
        <v>60</v>
      </c>
      <c r="C2564" t="s">
        <v>395</v>
      </c>
      <c r="E2564" t="s">
        <v>606</v>
      </c>
      <c r="F2564" t="s">
        <v>2318</v>
      </c>
      <c r="G2564" t="s">
        <v>3694</v>
      </c>
      <c r="H2564" t="s">
        <v>5895</v>
      </c>
      <c r="I2564" t="s">
        <v>6040</v>
      </c>
      <c r="J2564">
        <v>11354</v>
      </c>
      <c r="K2564" t="s">
        <v>6074</v>
      </c>
      <c r="L2564" t="s">
        <v>6074</v>
      </c>
      <c r="M2564" t="s">
        <v>7114</v>
      </c>
      <c r="N2564" t="s">
        <v>7276</v>
      </c>
      <c r="O2564" t="s">
        <v>7308</v>
      </c>
      <c r="Q2564" t="s">
        <v>7322</v>
      </c>
      <c r="R2564" t="s">
        <v>6076</v>
      </c>
      <c r="S2564" t="s">
        <v>7324</v>
      </c>
      <c r="T2564" t="s">
        <v>7338</v>
      </c>
      <c r="U2564" t="s">
        <v>332</v>
      </c>
      <c r="V2564">
        <v>1923.75</v>
      </c>
      <c r="W2564" t="s">
        <v>7361</v>
      </c>
      <c r="X2564" t="s">
        <v>7366</v>
      </c>
      <c r="Z2564" t="s">
        <v>9344</v>
      </c>
      <c r="AB2564" t="s">
        <v>12022</v>
      </c>
      <c r="AC2564">
        <v>175</v>
      </c>
      <c r="AD2564" t="s">
        <v>12422</v>
      </c>
      <c r="AE2564" t="s">
        <v>6110</v>
      </c>
      <c r="AF2564">
        <v>2</v>
      </c>
      <c r="AG2564">
        <v>1</v>
      </c>
      <c r="AH2564">
        <v>2</v>
      </c>
      <c r="AI2564">
        <v>195.03</v>
      </c>
      <c r="AL2564" t="s">
        <v>12460</v>
      </c>
      <c r="AM2564">
        <v>41600</v>
      </c>
      <c r="AP2564" t="s">
        <v>12868</v>
      </c>
      <c r="AQ2564" t="s">
        <v>12909</v>
      </c>
      <c r="AR2564" t="s">
        <v>12999</v>
      </c>
      <c r="AS2564">
        <v>6.55</v>
      </c>
      <c r="AT2564" t="s">
        <v>276</v>
      </c>
      <c r="AU2564" t="s">
        <v>60</v>
      </c>
      <c r="AV2564" t="s">
        <v>13145</v>
      </c>
    </row>
    <row r="2565" spans="1:48">
      <c r="A2565" s="1">
        <f>HYPERLINK("https://cms.ls-nyc.org/matter/dynamic-profile/view/1899992","19-1899992")</f>
        <v>0</v>
      </c>
      <c r="B2565" t="s">
        <v>66</v>
      </c>
      <c r="C2565" t="s">
        <v>265</v>
      </c>
      <c r="E2565" t="s">
        <v>1804</v>
      </c>
      <c r="F2565" t="s">
        <v>3332</v>
      </c>
      <c r="G2565" t="s">
        <v>5107</v>
      </c>
      <c r="H2565" t="s">
        <v>5400</v>
      </c>
      <c r="I2565" t="s">
        <v>6070</v>
      </c>
      <c r="J2565">
        <v>11104</v>
      </c>
      <c r="K2565" t="s">
        <v>6074</v>
      </c>
      <c r="L2565" t="s">
        <v>6075</v>
      </c>
      <c r="M2565" t="s">
        <v>7115</v>
      </c>
      <c r="N2565" t="s">
        <v>7274</v>
      </c>
      <c r="O2565" t="s">
        <v>7308</v>
      </c>
      <c r="Q2565" t="s">
        <v>7322</v>
      </c>
      <c r="R2565" t="s">
        <v>6076</v>
      </c>
      <c r="S2565" t="s">
        <v>7324</v>
      </c>
      <c r="U2565" t="s">
        <v>265</v>
      </c>
      <c r="V2565">
        <v>1621</v>
      </c>
      <c r="W2565" t="s">
        <v>7361</v>
      </c>
      <c r="X2565" t="s">
        <v>7366</v>
      </c>
      <c r="Z2565" t="s">
        <v>8237</v>
      </c>
      <c r="AB2565" t="s">
        <v>12023</v>
      </c>
      <c r="AC2565">
        <v>96</v>
      </c>
      <c r="AD2565" t="s">
        <v>6322</v>
      </c>
      <c r="AE2565" t="s">
        <v>6110</v>
      </c>
      <c r="AF2565">
        <v>13</v>
      </c>
      <c r="AG2565">
        <v>2</v>
      </c>
      <c r="AH2565">
        <v>1</v>
      </c>
      <c r="AI2565">
        <v>195.03</v>
      </c>
      <c r="AL2565" t="s">
        <v>12460</v>
      </c>
      <c r="AM2565">
        <v>41600</v>
      </c>
      <c r="AS2565">
        <v>1.75</v>
      </c>
      <c r="AT2565" t="s">
        <v>382</v>
      </c>
      <c r="AU2565" t="s">
        <v>189</v>
      </c>
      <c r="AV2565" t="s">
        <v>13145</v>
      </c>
    </row>
    <row r="2566" spans="1:48">
      <c r="A2566" s="1">
        <f>HYPERLINK("https://cms.ls-nyc.org/matter/dynamic-profile/view/1891635","19-1891635")</f>
        <v>0</v>
      </c>
      <c r="B2566" t="s">
        <v>72</v>
      </c>
      <c r="C2566" t="s">
        <v>364</v>
      </c>
      <c r="E2566" t="s">
        <v>896</v>
      </c>
      <c r="F2566" t="s">
        <v>3333</v>
      </c>
      <c r="G2566" t="s">
        <v>3700</v>
      </c>
      <c r="H2566" t="s">
        <v>5896</v>
      </c>
      <c r="I2566" t="s">
        <v>6043</v>
      </c>
      <c r="J2566">
        <v>11233</v>
      </c>
      <c r="K2566" t="s">
        <v>6074</v>
      </c>
      <c r="L2566" t="s">
        <v>6076</v>
      </c>
      <c r="M2566" t="s">
        <v>6110</v>
      </c>
      <c r="N2566" t="s">
        <v>7279</v>
      </c>
      <c r="O2566" t="s">
        <v>7311</v>
      </c>
      <c r="Q2566" t="s">
        <v>7322</v>
      </c>
      <c r="R2566" t="s">
        <v>6074</v>
      </c>
      <c r="S2566" t="s">
        <v>7324</v>
      </c>
      <c r="T2566" t="s">
        <v>7336</v>
      </c>
      <c r="U2566" t="s">
        <v>330</v>
      </c>
      <c r="V2566">
        <v>1442</v>
      </c>
      <c r="W2566" t="s">
        <v>7362</v>
      </c>
      <c r="Z2566" t="s">
        <v>9345</v>
      </c>
      <c r="AC2566">
        <v>359</v>
      </c>
      <c r="AD2566" t="s">
        <v>12422</v>
      </c>
      <c r="AF2566">
        <v>28</v>
      </c>
      <c r="AG2566">
        <v>2</v>
      </c>
      <c r="AH2566">
        <v>0</v>
      </c>
      <c r="AI2566">
        <v>195.15</v>
      </c>
      <c r="AL2566" t="s">
        <v>12460</v>
      </c>
      <c r="AM2566">
        <v>33000</v>
      </c>
      <c r="AN2566" t="s">
        <v>12486</v>
      </c>
      <c r="AS2566">
        <v>0</v>
      </c>
      <c r="AU2566" t="s">
        <v>218</v>
      </c>
    </row>
    <row r="2567" spans="1:48">
      <c r="A2567" s="1">
        <f>HYPERLINK("https://cms.ls-nyc.org/matter/dynamic-profile/view/1891660","19-1891660")</f>
        <v>0</v>
      </c>
      <c r="B2567" t="s">
        <v>72</v>
      </c>
      <c r="C2567" t="s">
        <v>364</v>
      </c>
      <c r="E2567" t="s">
        <v>896</v>
      </c>
      <c r="F2567" t="s">
        <v>3333</v>
      </c>
      <c r="G2567" t="s">
        <v>3700</v>
      </c>
      <c r="H2567" t="s">
        <v>5896</v>
      </c>
      <c r="I2567" t="s">
        <v>6043</v>
      </c>
      <c r="J2567">
        <v>11233</v>
      </c>
      <c r="K2567" t="s">
        <v>6074</v>
      </c>
      <c r="L2567" t="s">
        <v>6076</v>
      </c>
      <c r="M2567" t="s">
        <v>6110</v>
      </c>
      <c r="N2567" t="s">
        <v>7275</v>
      </c>
      <c r="O2567" t="s">
        <v>7307</v>
      </c>
      <c r="Q2567" t="s">
        <v>7322</v>
      </c>
      <c r="R2567" t="s">
        <v>6074</v>
      </c>
      <c r="S2567" t="s">
        <v>7324</v>
      </c>
      <c r="T2567" t="s">
        <v>7336</v>
      </c>
      <c r="U2567" t="s">
        <v>287</v>
      </c>
      <c r="V2567">
        <v>1442</v>
      </c>
      <c r="W2567" t="s">
        <v>7362</v>
      </c>
      <c r="Z2567" t="s">
        <v>9345</v>
      </c>
      <c r="AC2567">
        <v>359</v>
      </c>
      <c r="AD2567" t="s">
        <v>12422</v>
      </c>
      <c r="AF2567">
        <v>28</v>
      </c>
      <c r="AG2567">
        <v>2</v>
      </c>
      <c r="AH2567">
        <v>0</v>
      </c>
      <c r="AI2567">
        <v>195.15</v>
      </c>
      <c r="AL2567" t="s">
        <v>12460</v>
      </c>
      <c r="AM2567">
        <v>33000</v>
      </c>
      <c r="AN2567" t="s">
        <v>12702</v>
      </c>
      <c r="AS2567">
        <v>0</v>
      </c>
      <c r="AU2567" t="s">
        <v>218</v>
      </c>
    </row>
    <row r="2568" spans="1:48">
      <c r="A2568" s="1">
        <f>HYPERLINK("https://cms.ls-nyc.org/matter/dynamic-profile/view/1878945","18-1878945")</f>
        <v>0</v>
      </c>
      <c r="B2568" t="s">
        <v>133</v>
      </c>
      <c r="C2568" t="s">
        <v>438</v>
      </c>
      <c r="E2568" t="s">
        <v>1805</v>
      </c>
      <c r="F2568" t="s">
        <v>2606</v>
      </c>
      <c r="G2568" t="s">
        <v>4128</v>
      </c>
      <c r="H2568" t="s">
        <v>5625</v>
      </c>
      <c r="I2568" t="s">
        <v>6049</v>
      </c>
      <c r="J2568">
        <v>10040</v>
      </c>
      <c r="K2568" t="s">
        <v>6074</v>
      </c>
      <c r="L2568" t="s">
        <v>6074</v>
      </c>
      <c r="N2568" t="s">
        <v>7279</v>
      </c>
      <c r="O2568" t="s">
        <v>7308</v>
      </c>
      <c r="Q2568" t="s">
        <v>7322</v>
      </c>
      <c r="R2568" t="s">
        <v>6074</v>
      </c>
      <c r="S2568" t="s">
        <v>7324</v>
      </c>
      <c r="U2568" t="s">
        <v>438</v>
      </c>
      <c r="V2568">
        <v>1120.85</v>
      </c>
      <c r="W2568" t="s">
        <v>7365</v>
      </c>
      <c r="X2568" t="s">
        <v>7375</v>
      </c>
      <c r="Z2568" t="s">
        <v>9346</v>
      </c>
      <c r="AB2568" t="s">
        <v>12024</v>
      </c>
      <c r="AC2568">
        <v>88</v>
      </c>
      <c r="AD2568" t="s">
        <v>12422</v>
      </c>
      <c r="AE2568" t="s">
        <v>6110</v>
      </c>
      <c r="AF2568">
        <v>23</v>
      </c>
      <c r="AG2568">
        <v>4</v>
      </c>
      <c r="AH2568">
        <v>0</v>
      </c>
      <c r="AI2568">
        <v>195.22</v>
      </c>
      <c r="AL2568" t="s">
        <v>12460</v>
      </c>
      <c r="AM2568">
        <v>49000</v>
      </c>
      <c r="AS2568">
        <v>0</v>
      </c>
      <c r="AU2568" t="s">
        <v>13106</v>
      </c>
    </row>
    <row r="2569" spans="1:48">
      <c r="A2569" s="1">
        <f>HYPERLINK("https://cms.ls-nyc.org/matter/dynamic-profile/view/1901185","19-1901185")</f>
        <v>0</v>
      </c>
      <c r="B2569" t="s">
        <v>141</v>
      </c>
      <c r="C2569" t="s">
        <v>496</v>
      </c>
      <c r="E2569" t="s">
        <v>1129</v>
      </c>
      <c r="F2569" t="s">
        <v>2223</v>
      </c>
      <c r="G2569" t="s">
        <v>5108</v>
      </c>
      <c r="H2569" t="s">
        <v>5567</v>
      </c>
      <c r="I2569" t="s">
        <v>6049</v>
      </c>
      <c r="J2569">
        <v>10039</v>
      </c>
      <c r="K2569" t="s">
        <v>6075</v>
      </c>
      <c r="L2569" t="s">
        <v>6075</v>
      </c>
      <c r="M2569" t="s">
        <v>7116</v>
      </c>
      <c r="N2569" t="s">
        <v>7276</v>
      </c>
      <c r="O2569" t="s">
        <v>7310</v>
      </c>
      <c r="Q2569" t="s">
        <v>7322</v>
      </c>
      <c r="R2569" t="s">
        <v>6076</v>
      </c>
      <c r="S2569" t="s">
        <v>7324</v>
      </c>
      <c r="T2569" t="s">
        <v>7336</v>
      </c>
      <c r="U2569" t="s">
        <v>496</v>
      </c>
      <c r="V2569">
        <v>1100.48</v>
      </c>
      <c r="W2569" t="s">
        <v>7365</v>
      </c>
      <c r="X2569" t="s">
        <v>7366</v>
      </c>
      <c r="Z2569" t="s">
        <v>9347</v>
      </c>
      <c r="AB2569" t="s">
        <v>12025</v>
      </c>
      <c r="AC2569">
        <v>96</v>
      </c>
      <c r="AD2569" t="s">
        <v>12422</v>
      </c>
      <c r="AE2569" t="s">
        <v>6110</v>
      </c>
      <c r="AF2569">
        <v>42</v>
      </c>
      <c r="AG2569">
        <v>4</v>
      </c>
      <c r="AH2569">
        <v>0</v>
      </c>
      <c r="AI2569">
        <v>195.31</v>
      </c>
      <c r="AL2569" t="s">
        <v>12460</v>
      </c>
      <c r="AM2569">
        <v>50292</v>
      </c>
      <c r="AS2569">
        <v>0</v>
      </c>
      <c r="AU2569" t="s">
        <v>13107</v>
      </c>
      <c r="AV2569" t="s">
        <v>13145</v>
      </c>
    </row>
    <row r="2570" spans="1:48">
      <c r="A2570" s="1">
        <f>HYPERLINK("https://cms.ls-nyc.org/matter/dynamic-profile/view/1882937","18-1882937")</f>
        <v>0</v>
      </c>
      <c r="B2570" t="s">
        <v>116</v>
      </c>
      <c r="C2570" t="s">
        <v>296</v>
      </c>
      <c r="D2570" t="s">
        <v>443</v>
      </c>
      <c r="E2570" t="s">
        <v>1806</v>
      </c>
      <c r="F2570" t="s">
        <v>3334</v>
      </c>
      <c r="G2570" t="s">
        <v>5109</v>
      </c>
      <c r="I2570" t="s">
        <v>6047</v>
      </c>
      <c r="J2570">
        <v>10452</v>
      </c>
      <c r="K2570" t="s">
        <v>6074</v>
      </c>
      <c r="L2570" t="s">
        <v>6074</v>
      </c>
      <c r="N2570" t="s">
        <v>6104</v>
      </c>
      <c r="O2570" t="s">
        <v>7306</v>
      </c>
      <c r="P2570" t="s">
        <v>7314</v>
      </c>
      <c r="Q2570" t="s">
        <v>7322</v>
      </c>
      <c r="R2570" t="s">
        <v>6076</v>
      </c>
      <c r="S2570" t="s">
        <v>7324</v>
      </c>
      <c r="U2570" t="s">
        <v>416</v>
      </c>
      <c r="V2570">
        <v>1122</v>
      </c>
      <c r="W2570" t="s">
        <v>7363</v>
      </c>
      <c r="X2570" t="s">
        <v>7368</v>
      </c>
      <c r="Y2570" t="s">
        <v>7386</v>
      </c>
      <c r="Z2570" t="s">
        <v>9348</v>
      </c>
      <c r="AC2570">
        <v>0</v>
      </c>
      <c r="AD2570" t="s">
        <v>12422</v>
      </c>
      <c r="AE2570" t="s">
        <v>6110</v>
      </c>
      <c r="AF2570">
        <v>4</v>
      </c>
      <c r="AG2570">
        <v>1</v>
      </c>
      <c r="AH2570">
        <v>2</v>
      </c>
      <c r="AI2570">
        <v>195.48</v>
      </c>
      <c r="AL2570" t="s">
        <v>12461</v>
      </c>
      <c r="AM2570">
        <v>40620</v>
      </c>
      <c r="AS2570">
        <v>1</v>
      </c>
      <c r="AT2570" t="s">
        <v>416</v>
      </c>
      <c r="AU2570" t="s">
        <v>116</v>
      </c>
    </row>
    <row r="2571" spans="1:48">
      <c r="A2571" s="1">
        <f>HYPERLINK("https://cms.ls-nyc.org/matter/dynamic-profile/view/1887522","19-1887522")</f>
        <v>0</v>
      </c>
      <c r="B2571" t="s">
        <v>96</v>
      </c>
      <c r="C2571" t="s">
        <v>340</v>
      </c>
      <c r="E2571" t="s">
        <v>1133</v>
      </c>
      <c r="F2571" t="s">
        <v>2235</v>
      </c>
      <c r="G2571" t="s">
        <v>3791</v>
      </c>
      <c r="H2571">
        <v>55</v>
      </c>
      <c r="I2571" t="s">
        <v>6047</v>
      </c>
      <c r="J2571">
        <v>10453</v>
      </c>
      <c r="K2571" t="s">
        <v>6074</v>
      </c>
      <c r="L2571" t="s">
        <v>6074</v>
      </c>
      <c r="M2571" t="s">
        <v>6192</v>
      </c>
      <c r="N2571" t="s">
        <v>7279</v>
      </c>
      <c r="O2571" t="s">
        <v>7311</v>
      </c>
      <c r="Q2571" t="s">
        <v>7322</v>
      </c>
      <c r="R2571" t="s">
        <v>6074</v>
      </c>
      <c r="S2571" t="s">
        <v>7324</v>
      </c>
      <c r="U2571" t="s">
        <v>457</v>
      </c>
      <c r="V2571">
        <v>1136.42</v>
      </c>
      <c r="W2571" t="s">
        <v>7363</v>
      </c>
      <c r="X2571" t="s">
        <v>7375</v>
      </c>
      <c r="Z2571" t="s">
        <v>9349</v>
      </c>
      <c r="AB2571" t="s">
        <v>12026</v>
      </c>
      <c r="AC2571">
        <v>46</v>
      </c>
      <c r="AD2571" t="s">
        <v>12422</v>
      </c>
      <c r="AE2571" t="s">
        <v>12441</v>
      </c>
      <c r="AF2571">
        <v>21</v>
      </c>
      <c r="AG2571">
        <v>1</v>
      </c>
      <c r="AH2571">
        <v>0</v>
      </c>
      <c r="AI2571">
        <v>195.58</v>
      </c>
      <c r="AL2571" t="s">
        <v>12461</v>
      </c>
      <c r="AM2571">
        <v>23744</v>
      </c>
      <c r="AS2571">
        <v>0</v>
      </c>
      <c r="AU2571" t="s">
        <v>13099</v>
      </c>
    </row>
    <row r="2572" spans="1:48">
      <c r="A2572" s="1">
        <f>HYPERLINK("https://cms.ls-nyc.org/matter/dynamic-profile/view/1894414","19-1894414")</f>
        <v>0</v>
      </c>
      <c r="B2572" t="s">
        <v>99</v>
      </c>
      <c r="C2572" t="s">
        <v>392</v>
      </c>
      <c r="E2572" t="s">
        <v>1807</v>
      </c>
      <c r="F2572" t="s">
        <v>2133</v>
      </c>
      <c r="G2572" t="s">
        <v>5110</v>
      </c>
      <c r="H2572" t="s">
        <v>5485</v>
      </c>
      <c r="I2572" t="s">
        <v>6047</v>
      </c>
      <c r="J2572">
        <v>10451</v>
      </c>
      <c r="K2572" t="s">
        <v>6074</v>
      </c>
      <c r="L2572" t="s">
        <v>6074</v>
      </c>
      <c r="N2572" t="s">
        <v>7283</v>
      </c>
      <c r="O2572" t="s">
        <v>7307</v>
      </c>
      <c r="Q2572" t="s">
        <v>7322</v>
      </c>
      <c r="S2572" t="s">
        <v>7326</v>
      </c>
      <c r="T2572" t="s">
        <v>7336</v>
      </c>
      <c r="U2572" t="s">
        <v>392</v>
      </c>
      <c r="V2572">
        <v>0</v>
      </c>
      <c r="W2572" t="s">
        <v>7363</v>
      </c>
      <c r="Z2572" t="s">
        <v>9350</v>
      </c>
      <c r="AB2572" t="s">
        <v>12027</v>
      </c>
      <c r="AC2572">
        <v>0</v>
      </c>
      <c r="AE2572" t="s">
        <v>12441</v>
      </c>
      <c r="AF2572">
        <v>0</v>
      </c>
      <c r="AG2572">
        <v>1</v>
      </c>
      <c r="AH2572">
        <v>0</v>
      </c>
      <c r="AI2572">
        <v>195.61</v>
      </c>
      <c r="AL2572" t="s">
        <v>12460</v>
      </c>
      <c r="AM2572">
        <v>24432</v>
      </c>
      <c r="AS2572">
        <v>0</v>
      </c>
      <c r="AU2572" t="s">
        <v>99</v>
      </c>
    </row>
    <row r="2573" spans="1:48">
      <c r="A2573" s="1">
        <f>HYPERLINK("https://cms.ls-nyc.org/matter/dynamic-profile/view/1889409","19-1889409")</f>
        <v>0</v>
      </c>
      <c r="B2573" t="s">
        <v>117</v>
      </c>
      <c r="C2573" t="s">
        <v>366</v>
      </c>
      <c r="E2573" t="s">
        <v>586</v>
      </c>
      <c r="F2573" t="s">
        <v>3335</v>
      </c>
      <c r="G2573" t="s">
        <v>5111</v>
      </c>
      <c r="H2573" t="s">
        <v>5788</v>
      </c>
      <c r="I2573" t="s">
        <v>6048</v>
      </c>
      <c r="J2573">
        <v>10306</v>
      </c>
      <c r="K2573" t="s">
        <v>6074</v>
      </c>
      <c r="L2573" t="s">
        <v>6074</v>
      </c>
      <c r="M2573" t="s">
        <v>7117</v>
      </c>
      <c r="N2573" t="s">
        <v>7276</v>
      </c>
      <c r="O2573" t="s">
        <v>7308</v>
      </c>
      <c r="Q2573" t="s">
        <v>7323</v>
      </c>
      <c r="R2573" t="s">
        <v>6076</v>
      </c>
      <c r="S2573" t="s">
        <v>7324</v>
      </c>
      <c r="T2573" t="s">
        <v>7336</v>
      </c>
      <c r="U2573" t="s">
        <v>366</v>
      </c>
      <c r="V2573">
        <v>1470</v>
      </c>
      <c r="W2573" t="s">
        <v>7364</v>
      </c>
      <c r="X2573" t="s">
        <v>7369</v>
      </c>
      <c r="Z2573" t="s">
        <v>9351</v>
      </c>
      <c r="AB2573" t="s">
        <v>12028</v>
      </c>
      <c r="AC2573">
        <v>125</v>
      </c>
      <c r="AD2573" t="s">
        <v>12422</v>
      </c>
      <c r="AE2573" t="s">
        <v>6110</v>
      </c>
      <c r="AF2573">
        <v>2</v>
      </c>
      <c r="AG2573">
        <v>1</v>
      </c>
      <c r="AH2573">
        <v>1</v>
      </c>
      <c r="AI2573">
        <v>195.85</v>
      </c>
      <c r="AJ2573" t="s">
        <v>12443</v>
      </c>
      <c r="AK2573" t="s">
        <v>12455</v>
      </c>
      <c r="AL2573" t="s">
        <v>12460</v>
      </c>
      <c r="AM2573">
        <v>33118.19</v>
      </c>
      <c r="AS2573">
        <v>16.9</v>
      </c>
      <c r="AT2573" t="s">
        <v>382</v>
      </c>
      <c r="AU2573" t="s">
        <v>117</v>
      </c>
    </row>
    <row r="2574" spans="1:48">
      <c r="A2574" s="1">
        <f>HYPERLINK("https://cms.ls-nyc.org/matter/dynamic-profile/view/1885560","18-1885560")</f>
        <v>0</v>
      </c>
      <c r="B2574" t="s">
        <v>132</v>
      </c>
      <c r="C2574" t="s">
        <v>266</v>
      </c>
      <c r="D2574" t="s">
        <v>365</v>
      </c>
      <c r="E2574" t="s">
        <v>1227</v>
      </c>
      <c r="F2574" t="s">
        <v>2861</v>
      </c>
      <c r="G2574" t="s">
        <v>5112</v>
      </c>
      <c r="H2574">
        <v>31</v>
      </c>
      <c r="I2574" t="s">
        <v>6049</v>
      </c>
      <c r="J2574">
        <v>10032</v>
      </c>
      <c r="K2574" t="s">
        <v>6074</v>
      </c>
      <c r="L2574" t="s">
        <v>6074</v>
      </c>
      <c r="O2574" t="s">
        <v>7306</v>
      </c>
      <c r="P2574" t="s">
        <v>7314</v>
      </c>
      <c r="Q2574" t="s">
        <v>7322</v>
      </c>
      <c r="S2574" t="s">
        <v>7324</v>
      </c>
      <c r="U2574" t="s">
        <v>266</v>
      </c>
      <c r="V2574">
        <v>1042.85</v>
      </c>
      <c r="W2574" t="s">
        <v>7365</v>
      </c>
      <c r="X2574" t="s">
        <v>7367</v>
      </c>
      <c r="Y2574" t="s">
        <v>7386</v>
      </c>
      <c r="Z2574" t="s">
        <v>9352</v>
      </c>
      <c r="AB2574" t="s">
        <v>12029</v>
      </c>
      <c r="AC2574">
        <v>44</v>
      </c>
      <c r="AD2574" t="s">
        <v>12422</v>
      </c>
      <c r="AE2574" t="s">
        <v>6110</v>
      </c>
      <c r="AF2574">
        <v>23</v>
      </c>
      <c r="AG2574">
        <v>3</v>
      </c>
      <c r="AH2574">
        <v>0</v>
      </c>
      <c r="AI2574">
        <v>196.44</v>
      </c>
      <c r="AL2574" t="s">
        <v>12461</v>
      </c>
      <c r="AM2574">
        <v>40820</v>
      </c>
      <c r="AS2574">
        <v>0.2</v>
      </c>
      <c r="AT2574" t="s">
        <v>365</v>
      </c>
      <c r="AU2574" t="s">
        <v>13106</v>
      </c>
    </row>
    <row r="2575" spans="1:48">
      <c r="A2575" s="1">
        <f>HYPERLINK("https://cms.ls-nyc.org/matter/dynamic-profile/view/1878486","18-1878486")</f>
        <v>0</v>
      </c>
      <c r="B2575" t="s">
        <v>168</v>
      </c>
      <c r="C2575" t="s">
        <v>425</v>
      </c>
      <c r="E2575" t="s">
        <v>620</v>
      </c>
      <c r="F2575" t="s">
        <v>2223</v>
      </c>
      <c r="G2575" t="s">
        <v>5113</v>
      </c>
      <c r="H2575" t="s">
        <v>5465</v>
      </c>
      <c r="I2575" t="s">
        <v>6043</v>
      </c>
      <c r="J2575">
        <v>11212</v>
      </c>
      <c r="K2575" t="s">
        <v>6074</v>
      </c>
      <c r="L2575" t="s">
        <v>6074</v>
      </c>
      <c r="M2575" t="s">
        <v>7118</v>
      </c>
      <c r="N2575" t="s">
        <v>7276</v>
      </c>
      <c r="O2575" t="s">
        <v>7308</v>
      </c>
      <c r="Q2575" t="s">
        <v>7322</v>
      </c>
      <c r="R2575" t="s">
        <v>6076</v>
      </c>
      <c r="S2575" t="s">
        <v>7324</v>
      </c>
      <c r="U2575" t="s">
        <v>425</v>
      </c>
      <c r="V2575">
        <v>1225</v>
      </c>
      <c r="W2575" t="s">
        <v>7362</v>
      </c>
      <c r="X2575" t="s">
        <v>7368</v>
      </c>
      <c r="Z2575" t="s">
        <v>9353</v>
      </c>
      <c r="AA2575" t="s">
        <v>6110</v>
      </c>
      <c r="AB2575" t="s">
        <v>12030</v>
      </c>
      <c r="AC2575">
        <v>32</v>
      </c>
      <c r="AD2575" t="s">
        <v>12422</v>
      </c>
      <c r="AE2575" t="s">
        <v>6110</v>
      </c>
      <c r="AF2575">
        <v>8</v>
      </c>
      <c r="AG2575">
        <v>1</v>
      </c>
      <c r="AH2575">
        <v>0</v>
      </c>
      <c r="AI2575">
        <v>196.51</v>
      </c>
      <c r="AL2575" t="s">
        <v>12460</v>
      </c>
      <c r="AM2575">
        <v>23856</v>
      </c>
      <c r="AN2575" t="s">
        <v>12532</v>
      </c>
      <c r="AS2575">
        <v>3.3</v>
      </c>
      <c r="AT2575" t="s">
        <v>424</v>
      </c>
      <c r="AU2575" t="s">
        <v>218</v>
      </c>
    </row>
    <row r="2576" spans="1:48">
      <c r="A2576" s="1">
        <f>HYPERLINK("https://cms.ls-nyc.org/matter/dynamic-profile/view/1888629","19-1888629")</f>
        <v>0</v>
      </c>
      <c r="B2576" t="s">
        <v>81</v>
      </c>
      <c r="C2576" t="s">
        <v>339</v>
      </c>
      <c r="E2576" t="s">
        <v>1290</v>
      </c>
      <c r="F2576" t="s">
        <v>3022</v>
      </c>
      <c r="G2576" t="s">
        <v>4749</v>
      </c>
      <c r="I2576" t="s">
        <v>6043</v>
      </c>
      <c r="J2576">
        <v>11215</v>
      </c>
      <c r="K2576" t="s">
        <v>6074</v>
      </c>
      <c r="L2576" t="s">
        <v>6074</v>
      </c>
      <c r="M2576" t="s">
        <v>7119</v>
      </c>
      <c r="N2576" t="s">
        <v>7274</v>
      </c>
      <c r="O2576" t="s">
        <v>7308</v>
      </c>
      <c r="Q2576" t="s">
        <v>7322</v>
      </c>
      <c r="R2576" t="s">
        <v>6076</v>
      </c>
      <c r="S2576" t="s">
        <v>7324</v>
      </c>
      <c r="U2576" t="s">
        <v>466</v>
      </c>
      <c r="V2576">
        <v>153.7</v>
      </c>
      <c r="W2576" t="s">
        <v>7362</v>
      </c>
      <c r="Z2576" t="s">
        <v>9128</v>
      </c>
      <c r="AB2576" t="s">
        <v>12031</v>
      </c>
      <c r="AC2576">
        <v>0</v>
      </c>
      <c r="AF2576">
        <v>60</v>
      </c>
      <c r="AG2576">
        <v>2</v>
      </c>
      <c r="AH2576">
        <v>0</v>
      </c>
      <c r="AI2576">
        <v>196.57</v>
      </c>
      <c r="AM2576">
        <v>33240</v>
      </c>
      <c r="AS2576">
        <v>1.7</v>
      </c>
      <c r="AT2576" t="s">
        <v>254</v>
      </c>
      <c r="AU2576" t="s">
        <v>88</v>
      </c>
    </row>
    <row r="2577" spans="1:47">
      <c r="A2577" s="1">
        <f>HYPERLINK("https://cms.ls-nyc.org/matter/dynamic-profile/view/1888601","19-1888601")</f>
        <v>0</v>
      </c>
      <c r="B2577" t="s">
        <v>81</v>
      </c>
      <c r="C2577" t="s">
        <v>261</v>
      </c>
      <c r="E2577" t="s">
        <v>1290</v>
      </c>
      <c r="F2577" t="s">
        <v>3022</v>
      </c>
      <c r="G2577" t="s">
        <v>4749</v>
      </c>
      <c r="H2577">
        <v>1</v>
      </c>
      <c r="I2577" t="s">
        <v>6043</v>
      </c>
      <c r="J2577">
        <v>11215</v>
      </c>
      <c r="K2577" t="s">
        <v>6074</v>
      </c>
      <c r="L2577" t="s">
        <v>6074</v>
      </c>
      <c r="N2577" t="s">
        <v>6104</v>
      </c>
      <c r="O2577" t="s">
        <v>7308</v>
      </c>
      <c r="Q2577" t="s">
        <v>7322</v>
      </c>
      <c r="S2577" t="s">
        <v>7324</v>
      </c>
      <c r="U2577" t="s">
        <v>466</v>
      </c>
      <c r="V2577">
        <v>153.7</v>
      </c>
      <c r="W2577" t="s">
        <v>7362</v>
      </c>
      <c r="Z2577" t="s">
        <v>9128</v>
      </c>
      <c r="AB2577" t="s">
        <v>12031</v>
      </c>
      <c r="AC2577">
        <v>0</v>
      </c>
      <c r="AF2577">
        <v>60</v>
      </c>
      <c r="AG2577">
        <v>2</v>
      </c>
      <c r="AH2577">
        <v>0</v>
      </c>
      <c r="AI2577">
        <v>196.57</v>
      </c>
      <c r="AL2577" t="s">
        <v>12460</v>
      </c>
      <c r="AM2577">
        <v>33240</v>
      </c>
      <c r="AS2577">
        <v>2.6</v>
      </c>
      <c r="AT2577" t="s">
        <v>554</v>
      </c>
      <c r="AU2577" t="s">
        <v>88</v>
      </c>
    </row>
    <row r="2578" spans="1:47">
      <c r="A2578" s="1">
        <f>HYPERLINK("https://cms.ls-nyc.org/matter/dynamic-profile/view/1891324","19-1891324")</f>
        <v>0</v>
      </c>
      <c r="B2578" t="s">
        <v>96</v>
      </c>
      <c r="C2578" t="s">
        <v>366</v>
      </c>
      <c r="E2578" t="s">
        <v>1808</v>
      </c>
      <c r="F2578" t="s">
        <v>3336</v>
      </c>
      <c r="G2578" t="s">
        <v>3792</v>
      </c>
      <c r="H2578" t="s">
        <v>5485</v>
      </c>
      <c r="I2578" t="s">
        <v>6047</v>
      </c>
      <c r="J2578">
        <v>10453</v>
      </c>
      <c r="K2578" t="s">
        <v>6074</v>
      </c>
      <c r="L2578" t="s">
        <v>6074</v>
      </c>
      <c r="N2578" t="s">
        <v>7279</v>
      </c>
      <c r="O2578" t="s">
        <v>7311</v>
      </c>
      <c r="Q2578" t="s">
        <v>7322</v>
      </c>
      <c r="R2578" t="s">
        <v>6074</v>
      </c>
      <c r="S2578" t="s">
        <v>7324</v>
      </c>
      <c r="U2578" t="s">
        <v>457</v>
      </c>
      <c r="V2578">
        <v>685.84</v>
      </c>
      <c r="W2578" t="s">
        <v>7363</v>
      </c>
      <c r="X2578" t="s">
        <v>7376</v>
      </c>
      <c r="Z2578" t="s">
        <v>9354</v>
      </c>
      <c r="AC2578">
        <v>170</v>
      </c>
      <c r="AD2578" t="s">
        <v>12422</v>
      </c>
      <c r="AE2578" t="s">
        <v>6110</v>
      </c>
      <c r="AF2578">
        <v>40</v>
      </c>
      <c r="AG2578">
        <v>2</v>
      </c>
      <c r="AH2578">
        <v>0</v>
      </c>
      <c r="AI2578">
        <v>196.57</v>
      </c>
      <c r="AL2578" t="s">
        <v>12460</v>
      </c>
      <c r="AM2578">
        <v>33240</v>
      </c>
      <c r="AS2578">
        <v>0</v>
      </c>
      <c r="AU2578" t="s">
        <v>13095</v>
      </c>
    </row>
    <row r="2579" spans="1:47">
      <c r="A2579" s="1">
        <f>HYPERLINK("https://cms.ls-nyc.org/matter/dynamic-profile/view/1891319","19-1891319")</f>
        <v>0</v>
      </c>
      <c r="B2579" t="s">
        <v>96</v>
      </c>
      <c r="C2579" t="s">
        <v>366</v>
      </c>
      <c r="E2579" t="s">
        <v>1808</v>
      </c>
      <c r="F2579" t="s">
        <v>3336</v>
      </c>
      <c r="G2579" t="s">
        <v>3792</v>
      </c>
      <c r="H2579" t="s">
        <v>5485</v>
      </c>
      <c r="I2579" t="s">
        <v>6047</v>
      </c>
      <c r="J2579">
        <v>10453</v>
      </c>
      <c r="K2579" t="s">
        <v>6074</v>
      </c>
      <c r="L2579" t="s">
        <v>6074</v>
      </c>
      <c r="M2579" t="s">
        <v>6259</v>
      </c>
      <c r="N2579" t="s">
        <v>7273</v>
      </c>
      <c r="O2579" t="s">
        <v>7308</v>
      </c>
      <c r="Q2579" t="s">
        <v>7322</v>
      </c>
      <c r="R2579" t="s">
        <v>6074</v>
      </c>
      <c r="S2579" t="s">
        <v>7324</v>
      </c>
      <c r="U2579" t="s">
        <v>457</v>
      </c>
      <c r="V2579">
        <v>685.84</v>
      </c>
      <c r="W2579" t="s">
        <v>7363</v>
      </c>
      <c r="X2579" t="s">
        <v>7376</v>
      </c>
      <c r="Z2579" t="s">
        <v>9354</v>
      </c>
      <c r="AC2579">
        <v>170</v>
      </c>
      <c r="AD2579" t="s">
        <v>12422</v>
      </c>
      <c r="AE2579" t="s">
        <v>6110</v>
      </c>
      <c r="AF2579">
        <v>40</v>
      </c>
      <c r="AG2579">
        <v>2</v>
      </c>
      <c r="AH2579">
        <v>0</v>
      </c>
      <c r="AI2579">
        <v>196.57</v>
      </c>
      <c r="AL2579" t="s">
        <v>12460</v>
      </c>
      <c r="AM2579">
        <v>33240</v>
      </c>
      <c r="AS2579">
        <v>0</v>
      </c>
      <c r="AU2579" t="s">
        <v>13095</v>
      </c>
    </row>
    <row r="2580" spans="1:47">
      <c r="A2580" s="1">
        <f>HYPERLINK("https://cms.ls-nyc.org/matter/dynamic-profile/view/1880163","18-1880163")</f>
        <v>0</v>
      </c>
      <c r="B2580" t="s">
        <v>83</v>
      </c>
      <c r="C2580" t="s">
        <v>391</v>
      </c>
      <c r="D2580" t="s">
        <v>346</v>
      </c>
      <c r="E2580" t="s">
        <v>654</v>
      </c>
      <c r="F2580" t="s">
        <v>2129</v>
      </c>
      <c r="G2580" t="s">
        <v>3723</v>
      </c>
      <c r="I2580" t="s">
        <v>6043</v>
      </c>
      <c r="J2580">
        <v>11226</v>
      </c>
      <c r="K2580" t="s">
        <v>6074</v>
      </c>
      <c r="L2580" t="s">
        <v>6074</v>
      </c>
      <c r="N2580" t="s">
        <v>6104</v>
      </c>
      <c r="O2580" t="s">
        <v>7307</v>
      </c>
      <c r="P2580" t="s">
        <v>7315</v>
      </c>
      <c r="Q2580" t="s">
        <v>7322</v>
      </c>
      <c r="R2580" t="s">
        <v>6076</v>
      </c>
      <c r="S2580" t="s">
        <v>7324</v>
      </c>
      <c r="U2580" t="s">
        <v>391</v>
      </c>
      <c r="V2580">
        <v>784.1900000000001</v>
      </c>
      <c r="W2580" t="s">
        <v>7362</v>
      </c>
      <c r="X2580" t="s">
        <v>7368</v>
      </c>
      <c r="Y2580" t="s">
        <v>7386</v>
      </c>
      <c r="Z2580" t="s">
        <v>7494</v>
      </c>
      <c r="AB2580" t="s">
        <v>10351</v>
      </c>
      <c r="AC2580">
        <v>54</v>
      </c>
      <c r="AD2580" t="s">
        <v>12422</v>
      </c>
      <c r="AE2580" t="s">
        <v>6110</v>
      </c>
      <c r="AF2580">
        <v>40</v>
      </c>
      <c r="AG2580">
        <v>2</v>
      </c>
      <c r="AH2580">
        <v>0</v>
      </c>
      <c r="AI2580">
        <v>196.84</v>
      </c>
      <c r="AL2580" t="s">
        <v>12460</v>
      </c>
      <c r="AM2580">
        <v>32400</v>
      </c>
      <c r="AQ2580" t="s">
        <v>12909</v>
      </c>
      <c r="AR2580" t="s">
        <v>13051</v>
      </c>
      <c r="AS2580">
        <v>3.3</v>
      </c>
      <c r="AT2580" t="s">
        <v>380</v>
      </c>
      <c r="AU2580" t="s">
        <v>13084</v>
      </c>
    </row>
    <row r="2581" spans="1:47">
      <c r="A2581" s="1">
        <f>HYPERLINK("https://cms.ls-nyc.org/matter/dynamic-profile/view/1877261","18-1877261")</f>
        <v>0</v>
      </c>
      <c r="B2581" t="s">
        <v>83</v>
      </c>
      <c r="C2581" t="s">
        <v>273</v>
      </c>
      <c r="D2581" t="s">
        <v>346</v>
      </c>
      <c r="E2581" t="s">
        <v>654</v>
      </c>
      <c r="F2581" t="s">
        <v>2129</v>
      </c>
      <c r="G2581" t="s">
        <v>3723</v>
      </c>
      <c r="I2581" t="s">
        <v>6043</v>
      </c>
      <c r="J2581">
        <v>11226</v>
      </c>
      <c r="K2581" t="s">
        <v>6074</v>
      </c>
      <c r="L2581" t="s">
        <v>6074</v>
      </c>
      <c r="M2581" t="s">
        <v>7120</v>
      </c>
      <c r="N2581" t="s">
        <v>7276</v>
      </c>
      <c r="O2581" t="s">
        <v>7308</v>
      </c>
      <c r="P2581" t="s">
        <v>7316</v>
      </c>
      <c r="Q2581" t="s">
        <v>7322</v>
      </c>
      <c r="R2581" t="s">
        <v>6076</v>
      </c>
      <c r="S2581" t="s">
        <v>7324</v>
      </c>
      <c r="T2581" t="s">
        <v>7336</v>
      </c>
      <c r="U2581" t="s">
        <v>245</v>
      </c>
      <c r="V2581">
        <v>784.1900000000001</v>
      </c>
      <c r="W2581" t="s">
        <v>7362</v>
      </c>
      <c r="Y2581" t="s">
        <v>7388</v>
      </c>
      <c r="Z2581" t="s">
        <v>7494</v>
      </c>
      <c r="AB2581" t="s">
        <v>10351</v>
      </c>
      <c r="AC2581">
        <v>54</v>
      </c>
      <c r="AD2581" t="s">
        <v>12422</v>
      </c>
      <c r="AE2581" t="s">
        <v>6110</v>
      </c>
      <c r="AF2581">
        <v>40</v>
      </c>
      <c r="AG2581">
        <v>2</v>
      </c>
      <c r="AH2581">
        <v>0</v>
      </c>
      <c r="AI2581">
        <v>196.84</v>
      </c>
      <c r="AL2581" t="s">
        <v>12460</v>
      </c>
      <c r="AM2581">
        <v>32400</v>
      </c>
      <c r="AP2581" t="s">
        <v>12858</v>
      </c>
      <c r="AQ2581" t="s">
        <v>12909</v>
      </c>
      <c r="AR2581" t="s">
        <v>12927</v>
      </c>
      <c r="AS2581">
        <v>23.2</v>
      </c>
      <c r="AT2581" t="s">
        <v>389</v>
      </c>
      <c r="AU2581" t="s">
        <v>69</v>
      </c>
    </row>
    <row r="2582" spans="1:47">
      <c r="A2582" s="1">
        <f>HYPERLINK("https://cms.ls-nyc.org/matter/dynamic-profile/view/1874115","18-1874115")</f>
        <v>0</v>
      </c>
      <c r="B2582" t="s">
        <v>137</v>
      </c>
      <c r="C2582" t="s">
        <v>437</v>
      </c>
      <c r="D2582" t="s">
        <v>443</v>
      </c>
      <c r="E2582" t="s">
        <v>1273</v>
      </c>
      <c r="F2582" t="s">
        <v>1977</v>
      </c>
      <c r="G2582" t="s">
        <v>5114</v>
      </c>
      <c r="H2582" t="s">
        <v>5411</v>
      </c>
      <c r="I2582" t="s">
        <v>6049</v>
      </c>
      <c r="J2582">
        <v>10029</v>
      </c>
      <c r="K2582" t="s">
        <v>6074</v>
      </c>
      <c r="L2582" t="s">
        <v>6074</v>
      </c>
      <c r="M2582" t="s">
        <v>7121</v>
      </c>
      <c r="N2582" t="s">
        <v>7273</v>
      </c>
      <c r="O2582" t="s">
        <v>7308</v>
      </c>
      <c r="P2582" t="s">
        <v>7314</v>
      </c>
      <c r="Q2582" t="s">
        <v>7322</v>
      </c>
      <c r="R2582" t="s">
        <v>6074</v>
      </c>
      <c r="S2582" t="s">
        <v>7324</v>
      </c>
      <c r="T2582" t="s">
        <v>7336</v>
      </c>
      <c r="U2582" t="s">
        <v>336</v>
      </c>
      <c r="V2582">
        <v>1101</v>
      </c>
      <c r="W2582" t="s">
        <v>7365</v>
      </c>
      <c r="X2582" t="s">
        <v>7383</v>
      </c>
      <c r="Y2582" t="s">
        <v>7386</v>
      </c>
      <c r="Z2582" t="s">
        <v>9355</v>
      </c>
      <c r="AB2582" t="s">
        <v>12032</v>
      </c>
      <c r="AC2582">
        <v>76</v>
      </c>
      <c r="AD2582" t="s">
        <v>12422</v>
      </c>
      <c r="AE2582" t="s">
        <v>6110</v>
      </c>
      <c r="AF2582">
        <v>5</v>
      </c>
      <c r="AG2582">
        <v>1</v>
      </c>
      <c r="AH2582">
        <v>1</v>
      </c>
      <c r="AI2582">
        <v>196.84</v>
      </c>
      <c r="AL2582" t="s">
        <v>12460</v>
      </c>
      <c r="AM2582">
        <v>32400</v>
      </c>
      <c r="AS2582">
        <v>2</v>
      </c>
      <c r="AT2582" t="s">
        <v>244</v>
      </c>
      <c r="AU2582" t="s">
        <v>13080</v>
      </c>
    </row>
    <row r="2583" spans="1:47">
      <c r="A2583" s="1">
        <f>HYPERLINK("https://cms.ls-nyc.org/matter/dynamic-profile/view/1897394","19-1897394")</f>
        <v>0</v>
      </c>
      <c r="B2583" t="s">
        <v>63</v>
      </c>
      <c r="C2583" t="s">
        <v>347</v>
      </c>
      <c r="D2583" t="s">
        <v>363</v>
      </c>
      <c r="E2583" t="s">
        <v>861</v>
      </c>
      <c r="F2583" t="s">
        <v>3337</v>
      </c>
      <c r="G2583" t="s">
        <v>5115</v>
      </c>
      <c r="H2583" t="s">
        <v>5897</v>
      </c>
      <c r="I2583" t="s">
        <v>6040</v>
      </c>
      <c r="J2583">
        <v>11367</v>
      </c>
      <c r="K2583" t="s">
        <v>6074</v>
      </c>
      <c r="L2583" t="s">
        <v>6074</v>
      </c>
      <c r="M2583" t="s">
        <v>7122</v>
      </c>
      <c r="N2583" t="s">
        <v>7274</v>
      </c>
      <c r="O2583" t="s">
        <v>7306</v>
      </c>
      <c r="P2583" t="s">
        <v>7314</v>
      </c>
      <c r="Q2583" t="s">
        <v>7322</v>
      </c>
      <c r="R2583" t="s">
        <v>6074</v>
      </c>
      <c r="S2583" t="s">
        <v>7324</v>
      </c>
      <c r="T2583" t="s">
        <v>7336</v>
      </c>
      <c r="U2583" t="s">
        <v>280</v>
      </c>
      <c r="V2583">
        <v>1136</v>
      </c>
      <c r="W2583" t="s">
        <v>7361</v>
      </c>
      <c r="X2583" t="s">
        <v>7366</v>
      </c>
      <c r="Y2583" t="s">
        <v>7386</v>
      </c>
      <c r="Z2583" t="s">
        <v>9356</v>
      </c>
      <c r="AA2583" t="s">
        <v>9856</v>
      </c>
      <c r="AB2583" t="s">
        <v>9856</v>
      </c>
      <c r="AC2583">
        <v>12</v>
      </c>
      <c r="AD2583" t="s">
        <v>12422</v>
      </c>
      <c r="AE2583" t="s">
        <v>6110</v>
      </c>
      <c r="AF2583">
        <v>30</v>
      </c>
      <c r="AG2583">
        <v>2</v>
      </c>
      <c r="AH2583">
        <v>1</v>
      </c>
      <c r="AI2583">
        <v>196.91</v>
      </c>
      <c r="AL2583" t="s">
        <v>12471</v>
      </c>
      <c r="AM2583">
        <v>42000</v>
      </c>
      <c r="AS2583">
        <v>2.45</v>
      </c>
      <c r="AT2583" t="s">
        <v>241</v>
      </c>
      <c r="AU2583" t="s">
        <v>13078</v>
      </c>
    </row>
    <row r="2584" spans="1:47">
      <c r="A2584" s="1">
        <f>HYPERLINK("https://cms.ls-nyc.org/matter/dynamic-profile/view/1881264","18-1881264")</f>
        <v>0</v>
      </c>
      <c r="B2584" t="s">
        <v>130</v>
      </c>
      <c r="C2584" t="s">
        <v>240</v>
      </c>
      <c r="D2584" t="s">
        <v>426</v>
      </c>
      <c r="E2584" t="s">
        <v>1297</v>
      </c>
      <c r="F2584" t="s">
        <v>2667</v>
      </c>
      <c r="G2584" t="s">
        <v>5116</v>
      </c>
      <c r="H2584">
        <v>5</v>
      </c>
      <c r="I2584" t="s">
        <v>6049</v>
      </c>
      <c r="J2584">
        <v>10034</v>
      </c>
      <c r="K2584" t="s">
        <v>6074</v>
      </c>
      <c r="L2584" t="s">
        <v>6074</v>
      </c>
      <c r="N2584" t="s">
        <v>7278</v>
      </c>
      <c r="O2584" t="s">
        <v>7306</v>
      </c>
      <c r="P2584" t="s">
        <v>7314</v>
      </c>
      <c r="Q2584" t="s">
        <v>7322</v>
      </c>
      <c r="R2584" t="s">
        <v>6076</v>
      </c>
      <c r="S2584" t="s">
        <v>7324</v>
      </c>
      <c r="U2584" t="s">
        <v>240</v>
      </c>
      <c r="V2584">
        <v>859.6799999999999</v>
      </c>
      <c r="W2584" t="s">
        <v>7365</v>
      </c>
      <c r="X2584" t="s">
        <v>7367</v>
      </c>
      <c r="Y2584" t="s">
        <v>7386</v>
      </c>
      <c r="Z2584" t="s">
        <v>9357</v>
      </c>
      <c r="AB2584" t="s">
        <v>12033</v>
      </c>
      <c r="AC2584">
        <v>25</v>
      </c>
      <c r="AD2584" t="s">
        <v>12422</v>
      </c>
      <c r="AE2584" t="s">
        <v>6110</v>
      </c>
      <c r="AF2584">
        <v>18</v>
      </c>
      <c r="AG2584">
        <v>3</v>
      </c>
      <c r="AH2584">
        <v>2</v>
      </c>
      <c r="AI2584">
        <v>196.94</v>
      </c>
      <c r="AL2584" t="s">
        <v>12461</v>
      </c>
      <c r="AM2584">
        <v>57940</v>
      </c>
      <c r="AN2584" t="s">
        <v>12703</v>
      </c>
      <c r="AS2584">
        <v>2.9</v>
      </c>
      <c r="AT2584" t="s">
        <v>320</v>
      </c>
      <c r="AU2584" t="s">
        <v>13106</v>
      </c>
    </row>
    <row r="2585" spans="1:47">
      <c r="A2585" s="1">
        <f>HYPERLINK("https://cms.ls-nyc.org/matter/dynamic-profile/view/1880686","18-1880686")</f>
        <v>0</v>
      </c>
      <c r="B2585" t="s">
        <v>87</v>
      </c>
      <c r="C2585" t="s">
        <v>256</v>
      </c>
      <c r="E2585" t="s">
        <v>603</v>
      </c>
      <c r="F2585" t="s">
        <v>646</v>
      </c>
      <c r="G2585" t="s">
        <v>3732</v>
      </c>
      <c r="H2585" t="s">
        <v>5492</v>
      </c>
      <c r="I2585" t="s">
        <v>6043</v>
      </c>
      <c r="J2585">
        <v>11221</v>
      </c>
      <c r="K2585" t="s">
        <v>6074</v>
      </c>
      <c r="L2585" t="s">
        <v>6074</v>
      </c>
      <c r="M2585" t="s">
        <v>6146</v>
      </c>
      <c r="N2585" t="s">
        <v>7273</v>
      </c>
      <c r="O2585" t="s">
        <v>7308</v>
      </c>
      <c r="Q2585" t="s">
        <v>7322</v>
      </c>
      <c r="S2585" t="s">
        <v>7324</v>
      </c>
      <c r="U2585" t="s">
        <v>422</v>
      </c>
      <c r="V2585">
        <v>130</v>
      </c>
      <c r="W2585" t="s">
        <v>7362</v>
      </c>
      <c r="X2585" t="s">
        <v>7368</v>
      </c>
      <c r="Z2585" t="s">
        <v>9328</v>
      </c>
      <c r="AB2585" t="s">
        <v>12007</v>
      </c>
      <c r="AC2585">
        <v>7</v>
      </c>
      <c r="AF2585">
        <v>31</v>
      </c>
      <c r="AG2585">
        <v>1</v>
      </c>
      <c r="AH2585">
        <v>0</v>
      </c>
      <c r="AI2585">
        <v>197.03</v>
      </c>
      <c r="AL2585" t="s">
        <v>12460</v>
      </c>
      <c r="AM2585">
        <v>23920</v>
      </c>
      <c r="AS2585">
        <v>0.3</v>
      </c>
      <c r="AT2585" t="s">
        <v>347</v>
      </c>
      <c r="AU2585" t="s">
        <v>13083</v>
      </c>
    </row>
    <row r="2586" spans="1:47">
      <c r="A2586" s="1">
        <f>HYPERLINK("https://cms.ls-nyc.org/matter/dynamic-profile/view/1886037","18-1886037")</f>
        <v>0</v>
      </c>
      <c r="B2586" t="s">
        <v>149</v>
      </c>
      <c r="C2586" t="s">
        <v>462</v>
      </c>
      <c r="E2586" t="s">
        <v>1090</v>
      </c>
      <c r="F2586" t="s">
        <v>2154</v>
      </c>
      <c r="G2586" t="s">
        <v>4454</v>
      </c>
      <c r="H2586" t="s">
        <v>5598</v>
      </c>
      <c r="I2586" t="s">
        <v>6047</v>
      </c>
      <c r="J2586">
        <v>10453</v>
      </c>
      <c r="K2586" t="s">
        <v>6074</v>
      </c>
      <c r="L2586" t="s">
        <v>6074</v>
      </c>
      <c r="N2586" t="s">
        <v>7283</v>
      </c>
      <c r="O2586" t="s">
        <v>7309</v>
      </c>
      <c r="Q2586" t="s">
        <v>7322</v>
      </c>
      <c r="R2586" t="s">
        <v>6076</v>
      </c>
      <c r="S2586" t="s">
        <v>7326</v>
      </c>
      <c r="U2586" t="s">
        <v>462</v>
      </c>
      <c r="V2586">
        <v>900.16</v>
      </c>
      <c r="W2586" t="s">
        <v>7363</v>
      </c>
      <c r="X2586" t="s">
        <v>7370</v>
      </c>
      <c r="Z2586" t="s">
        <v>9358</v>
      </c>
      <c r="AA2586" t="s">
        <v>10278</v>
      </c>
      <c r="AB2586" t="s">
        <v>12034</v>
      </c>
      <c r="AC2586">
        <v>72</v>
      </c>
      <c r="AD2586" t="s">
        <v>12422</v>
      </c>
      <c r="AE2586" t="s">
        <v>12441</v>
      </c>
      <c r="AF2586">
        <v>36</v>
      </c>
      <c r="AG2586">
        <v>4</v>
      </c>
      <c r="AH2586">
        <v>0</v>
      </c>
      <c r="AI2586">
        <v>197.15</v>
      </c>
      <c r="AL2586" t="s">
        <v>12460</v>
      </c>
      <c r="AM2586">
        <v>49484</v>
      </c>
      <c r="AN2586" t="s">
        <v>12704</v>
      </c>
      <c r="AS2586">
        <v>4.1</v>
      </c>
      <c r="AT2586" t="s">
        <v>276</v>
      </c>
      <c r="AU2586" t="s">
        <v>13099</v>
      </c>
    </row>
    <row r="2587" spans="1:47">
      <c r="A2587" s="1">
        <f>HYPERLINK("https://cms.ls-nyc.org/matter/dynamic-profile/view/1879126","18-1879126")</f>
        <v>0</v>
      </c>
      <c r="B2587" t="s">
        <v>101</v>
      </c>
      <c r="C2587" t="s">
        <v>355</v>
      </c>
      <c r="E2587" t="s">
        <v>1809</v>
      </c>
      <c r="F2587" t="s">
        <v>3338</v>
      </c>
      <c r="G2587" t="s">
        <v>4915</v>
      </c>
      <c r="H2587" t="s">
        <v>5898</v>
      </c>
      <c r="I2587" t="s">
        <v>6047</v>
      </c>
      <c r="J2587">
        <v>10453</v>
      </c>
      <c r="K2587" t="s">
        <v>6074</v>
      </c>
      <c r="L2587" t="s">
        <v>6074</v>
      </c>
      <c r="M2587" t="s">
        <v>7123</v>
      </c>
      <c r="N2587" t="s">
        <v>7276</v>
      </c>
      <c r="O2587" t="s">
        <v>7308</v>
      </c>
      <c r="Q2587" t="s">
        <v>7322</v>
      </c>
      <c r="S2587" t="s">
        <v>7324</v>
      </c>
      <c r="T2587" t="s">
        <v>7341</v>
      </c>
      <c r="U2587" t="s">
        <v>416</v>
      </c>
      <c r="V2587">
        <v>820</v>
      </c>
      <c r="W2587" t="s">
        <v>7363</v>
      </c>
      <c r="X2587" t="s">
        <v>7305</v>
      </c>
      <c r="Z2587" t="s">
        <v>9359</v>
      </c>
      <c r="AB2587" t="s">
        <v>12035</v>
      </c>
      <c r="AC2587">
        <v>111</v>
      </c>
      <c r="AD2587" t="s">
        <v>6322</v>
      </c>
      <c r="AE2587" t="s">
        <v>6110</v>
      </c>
      <c r="AF2587">
        <v>40</v>
      </c>
      <c r="AG2587">
        <v>1</v>
      </c>
      <c r="AH2587">
        <v>0</v>
      </c>
      <c r="AI2587">
        <v>197.36</v>
      </c>
      <c r="AL2587" t="s">
        <v>12460</v>
      </c>
      <c r="AM2587">
        <v>23959.2</v>
      </c>
      <c r="AR2587" t="s">
        <v>13045</v>
      </c>
      <c r="AS2587">
        <v>10.1</v>
      </c>
      <c r="AT2587" t="s">
        <v>318</v>
      </c>
      <c r="AU2587" t="s">
        <v>13100</v>
      </c>
    </row>
    <row r="2588" spans="1:47">
      <c r="A2588" s="1">
        <f>HYPERLINK("https://cms.ls-nyc.org/matter/dynamic-profile/view/1874885","18-1874885")</f>
        <v>0</v>
      </c>
      <c r="B2588" t="s">
        <v>67</v>
      </c>
      <c r="C2588" t="s">
        <v>274</v>
      </c>
      <c r="D2588" t="s">
        <v>336</v>
      </c>
      <c r="E2588" t="s">
        <v>586</v>
      </c>
      <c r="F2588" t="s">
        <v>2557</v>
      </c>
      <c r="G2588" t="s">
        <v>5117</v>
      </c>
      <c r="I2588" t="s">
        <v>6025</v>
      </c>
      <c r="J2588">
        <v>11691</v>
      </c>
      <c r="K2588" t="s">
        <v>6074</v>
      </c>
      <c r="L2588" t="s">
        <v>6074</v>
      </c>
      <c r="M2588" t="s">
        <v>6101</v>
      </c>
      <c r="N2588" t="s">
        <v>7278</v>
      </c>
      <c r="O2588" t="s">
        <v>7306</v>
      </c>
      <c r="P2588" t="s">
        <v>7314</v>
      </c>
      <c r="Q2588" t="s">
        <v>7322</v>
      </c>
      <c r="R2588" t="s">
        <v>6076</v>
      </c>
      <c r="S2588" t="s">
        <v>7324</v>
      </c>
      <c r="T2588" t="s">
        <v>7336</v>
      </c>
      <c r="U2588" t="s">
        <v>336</v>
      </c>
      <c r="V2588">
        <v>850</v>
      </c>
      <c r="W2588" t="s">
        <v>7361</v>
      </c>
      <c r="X2588" t="s">
        <v>7383</v>
      </c>
      <c r="Y2588" t="s">
        <v>7386</v>
      </c>
      <c r="Z2588" t="s">
        <v>9211</v>
      </c>
      <c r="AA2588" t="s">
        <v>10279</v>
      </c>
      <c r="AB2588" t="s">
        <v>11894</v>
      </c>
      <c r="AC2588">
        <v>2</v>
      </c>
      <c r="AD2588" t="s">
        <v>12419</v>
      </c>
      <c r="AE2588" t="s">
        <v>6110</v>
      </c>
      <c r="AF2588">
        <v>1</v>
      </c>
      <c r="AG2588">
        <v>1</v>
      </c>
      <c r="AH2588">
        <v>0</v>
      </c>
      <c r="AI2588">
        <v>197.69</v>
      </c>
      <c r="AL2588" t="s">
        <v>12460</v>
      </c>
      <c r="AM2588">
        <v>24000</v>
      </c>
      <c r="AS2588">
        <v>1.9</v>
      </c>
      <c r="AT2588" t="s">
        <v>336</v>
      </c>
      <c r="AU2588" t="s">
        <v>13080</v>
      </c>
    </row>
    <row r="2589" spans="1:47">
      <c r="A2589" s="1">
        <f>HYPERLINK("https://cms.ls-nyc.org/matter/dynamic-profile/view/1871201","18-1871201")</f>
        <v>0</v>
      </c>
      <c r="B2589" t="s">
        <v>80</v>
      </c>
      <c r="C2589" t="s">
        <v>530</v>
      </c>
      <c r="D2589" t="s">
        <v>396</v>
      </c>
      <c r="E2589" t="s">
        <v>916</v>
      </c>
      <c r="F2589" t="s">
        <v>3339</v>
      </c>
      <c r="G2589" t="s">
        <v>4675</v>
      </c>
      <c r="H2589" t="s">
        <v>5656</v>
      </c>
      <c r="I2589" t="s">
        <v>6043</v>
      </c>
      <c r="J2589">
        <v>11212</v>
      </c>
      <c r="K2589" t="s">
        <v>6074</v>
      </c>
      <c r="L2589" t="s">
        <v>6076</v>
      </c>
      <c r="N2589" t="s">
        <v>7285</v>
      </c>
      <c r="O2589" t="s">
        <v>7307</v>
      </c>
      <c r="P2589" t="s">
        <v>7315</v>
      </c>
      <c r="Q2589" t="s">
        <v>7322</v>
      </c>
      <c r="R2589" t="s">
        <v>6074</v>
      </c>
      <c r="S2589" t="s">
        <v>7324</v>
      </c>
      <c r="T2589" t="s">
        <v>7336</v>
      </c>
      <c r="U2589" t="s">
        <v>7344</v>
      </c>
      <c r="V2589">
        <v>920.21</v>
      </c>
      <c r="W2589" t="s">
        <v>7362</v>
      </c>
      <c r="X2589" t="s">
        <v>7370</v>
      </c>
      <c r="Y2589" t="s">
        <v>7400</v>
      </c>
      <c r="Z2589" t="s">
        <v>9360</v>
      </c>
      <c r="AB2589" t="s">
        <v>12036</v>
      </c>
      <c r="AC2589">
        <v>32</v>
      </c>
      <c r="AD2589" t="s">
        <v>12422</v>
      </c>
      <c r="AF2589">
        <v>18</v>
      </c>
      <c r="AG2589">
        <v>1</v>
      </c>
      <c r="AH2589">
        <v>0</v>
      </c>
      <c r="AI2589">
        <v>197.69</v>
      </c>
      <c r="AL2589" t="s">
        <v>12460</v>
      </c>
      <c r="AM2589">
        <v>24000</v>
      </c>
      <c r="AS2589">
        <v>0.08</v>
      </c>
      <c r="AT2589" t="s">
        <v>390</v>
      </c>
      <c r="AU2589" t="s">
        <v>13121</v>
      </c>
    </row>
    <row r="2590" spans="1:47">
      <c r="A2590" s="1">
        <f>HYPERLINK("https://cms.ls-nyc.org/matter/dynamic-profile/view/1873418","18-1873418")</f>
        <v>0</v>
      </c>
      <c r="B2590" t="s">
        <v>179</v>
      </c>
      <c r="C2590" t="s">
        <v>232</v>
      </c>
      <c r="D2590" t="s">
        <v>472</v>
      </c>
      <c r="E2590" t="s">
        <v>1137</v>
      </c>
      <c r="F2590" t="s">
        <v>3340</v>
      </c>
      <c r="G2590" t="s">
        <v>4283</v>
      </c>
      <c r="H2590" t="s">
        <v>5465</v>
      </c>
      <c r="I2590" t="s">
        <v>6043</v>
      </c>
      <c r="J2590">
        <v>11206</v>
      </c>
      <c r="K2590" t="s">
        <v>6074</v>
      </c>
      <c r="L2590" t="s">
        <v>6074</v>
      </c>
      <c r="M2590" t="s">
        <v>7124</v>
      </c>
      <c r="N2590" t="s">
        <v>7276</v>
      </c>
      <c r="O2590" t="s">
        <v>7308</v>
      </c>
      <c r="P2590" t="s">
        <v>7317</v>
      </c>
      <c r="Q2590" t="s">
        <v>7322</v>
      </c>
      <c r="R2590" t="s">
        <v>6076</v>
      </c>
      <c r="S2590" t="s">
        <v>7324</v>
      </c>
      <c r="U2590" t="s">
        <v>232</v>
      </c>
      <c r="V2590">
        <v>1157.82</v>
      </c>
      <c r="W2590" t="s">
        <v>7362</v>
      </c>
      <c r="X2590" t="s">
        <v>7368</v>
      </c>
      <c r="Y2590" t="s">
        <v>7388</v>
      </c>
      <c r="Z2590" t="s">
        <v>9361</v>
      </c>
      <c r="AB2590" t="s">
        <v>12037</v>
      </c>
      <c r="AC2590">
        <v>25</v>
      </c>
      <c r="AD2590" t="s">
        <v>12431</v>
      </c>
      <c r="AE2590" t="s">
        <v>6110</v>
      </c>
      <c r="AF2590">
        <v>25</v>
      </c>
      <c r="AG2590">
        <v>1</v>
      </c>
      <c r="AH2590">
        <v>0</v>
      </c>
      <c r="AI2590">
        <v>197.69</v>
      </c>
      <c r="AL2590" t="s">
        <v>12460</v>
      </c>
      <c r="AM2590">
        <v>24000</v>
      </c>
      <c r="AN2590" t="s">
        <v>12705</v>
      </c>
      <c r="AS2590">
        <v>11.9</v>
      </c>
      <c r="AT2590" t="s">
        <v>426</v>
      </c>
      <c r="AU2590" t="s">
        <v>218</v>
      </c>
    </row>
    <row r="2591" spans="1:47">
      <c r="A2591" s="1">
        <f>HYPERLINK("https://cms.ls-nyc.org/matter/dynamic-profile/view/1871016","18-1871016")</f>
        <v>0</v>
      </c>
      <c r="B2591" t="s">
        <v>103</v>
      </c>
      <c r="C2591" t="s">
        <v>328</v>
      </c>
      <c r="E2591" t="s">
        <v>983</v>
      </c>
      <c r="F2591" t="s">
        <v>1432</v>
      </c>
      <c r="G2591" t="s">
        <v>5118</v>
      </c>
      <c r="H2591" t="s">
        <v>5899</v>
      </c>
      <c r="I2591" t="s">
        <v>6047</v>
      </c>
      <c r="J2591">
        <v>10460</v>
      </c>
      <c r="K2591" t="s">
        <v>6074</v>
      </c>
      <c r="L2591" t="s">
        <v>6075</v>
      </c>
      <c r="M2591" t="s">
        <v>7125</v>
      </c>
      <c r="N2591" t="s">
        <v>7276</v>
      </c>
      <c r="O2591" t="s">
        <v>7308</v>
      </c>
      <c r="Q2591" t="s">
        <v>7322</v>
      </c>
      <c r="S2591" t="s">
        <v>7324</v>
      </c>
      <c r="T2591" t="s">
        <v>7336</v>
      </c>
      <c r="U2591" t="s">
        <v>467</v>
      </c>
      <c r="V2591">
        <v>1250</v>
      </c>
      <c r="W2591" t="s">
        <v>7363</v>
      </c>
      <c r="X2591" t="s">
        <v>7305</v>
      </c>
      <c r="Z2591" t="s">
        <v>9362</v>
      </c>
      <c r="AB2591" t="s">
        <v>12038</v>
      </c>
      <c r="AC2591">
        <v>25</v>
      </c>
      <c r="AD2591" t="s">
        <v>12422</v>
      </c>
      <c r="AE2591" t="s">
        <v>6110</v>
      </c>
      <c r="AF2591">
        <v>4</v>
      </c>
      <c r="AG2591">
        <v>1</v>
      </c>
      <c r="AH2591">
        <v>0</v>
      </c>
      <c r="AI2591">
        <v>197.69</v>
      </c>
      <c r="AL2591" t="s">
        <v>12460</v>
      </c>
      <c r="AM2591">
        <v>24000</v>
      </c>
      <c r="AS2591">
        <v>48.7</v>
      </c>
      <c r="AT2591" t="s">
        <v>265</v>
      </c>
      <c r="AU2591" t="s">
        <v>13080</v>
      </c>
    </row>
    <row r="2592" spans="1:47">
      <c r="A2592" s="1">
        <f>HYPERLINK("https://cms.ls-nyc.org/matter/dynamic-profile/view/1874072","18-1874072")</f>
        <v>0</v>
      </c>
      <c r="B2592" t="s">
        <v>132</v>
      </c>
      <c r="C2592" t="s">
        <v>437</v>
      </c>
      <c r="D2592" t="s">
        <v>252</v>
      </c>
      <c r="E2592" t="s">
        <v>1531</v>
      </c>
      <c r="F2592" t="s">
        <v>3020</v>
      </c>
      <c r="G2592" t="s">
        <v>4748</v>
      </c>
      <c r="H2592" t="s">
        <v>5387</v>
      </c>
      <c r="I2592" t="s">
        <v>6049</v>
      </c>
      <c r="J2592">
        <v>10035</v>
      </c>
      <c r="K2592" t="s">
        <v>6074</v>
      </c>
      <c r="L2592" t="s">
        <v>6074</v>
      </c>
      <c r="N2592" t="s">
        <v>6104</v>
      </c>
      <c r="O2592" t="s">
        <v>7308</v>
      </c>
      <c r="P2592" t="s">
        <v>7316</v>
      </c>
      <c r="Q2592" t="s">
        <v>7322</v>
      </c>
      <c r="S2592" t="s">
        <v>7324</v>
      </c>
      <c r="T2592" t="s">
        <v>7336</v>
      </c>
      <c r="U2592" t="s">
        <v>401</v>
      </c>
      <c r="V2592">
        <v>1657</v>
      </c>
      <c r="W2592" t="s">
        <v>7365</v>
      </c>
      <c r="X2592" t="s">
        <v>7368</v>
      </c>
      <c r="Y2592" t="s">
        <v>7394</v>
      </c>
      <c r="Z2592" t="s">
        <v>8823</v>
      </c>
      <c r="AB2592" t="s">
        <v>11536</v>
      </c>
      <c r="AC2592">
        <v>16</v>
      </c>
      <c r="AD2592" t="s">
        <v>12422</v>
      </c>
      <c r="AE2592" t="s">
        <v>6110</v>
      </c>
      <c r="AF2592">
        <v>2</v>
      </c>
      <c r="AG2592">
        <v>1</v>
      </c>
      <c r="AH2592">
        <v>0</v>
      </c>
      <c r="AI2592">
        <v>197.69</v>
      </c>
      <c r="AL2592" t="s">
        <v>12460</v>
      </c>
      <c r="AM2592">
        <v>24000</v>
      </c>
      <c r="AQ2592" t="s">
        <v>12909</v>
      </c>
      <c r="AR2592" t="s">
        <v>12956</v>
      </c>
      <c r="AS2592">
        <v>26.3</v>
      </c>
      <c r="AT2592" t="s">
        <v>252</v>
      </c>
      <c r="AU2592" t="s">
        <v>13081</v>
      </c>
    </row>
    <row r="2593" spans="1:48">
      <c r="A2593" s="1">
        <f>HYPERLINK("https://cms.ls-nyc.org/matter/dynamic-profile/view/1885156","18-1885156")</f>
        <v>0</v>
      </c>
      <c r="B2593" t="s">
        <v>125</v>
      </c>
      <c r="C2593" t="s">
        <v>435</v>
      </c>
      <c r="D2593" t="s">
        <v>420</v>
      </c>
      <c r="E2593" t="s">
        <v>1810</v>
      </c>
      <c r="F2593" t="s">
        <v>2194</v>
      </c>
      <c r="G2593" t="s">
        <v>5119</v>
      </c>
      <c r="H2593" t="s">
        <v>5455</v>
      </c>
      <c r="I2593" t="s">
        <v>6049</v>
      </c>
      <c r="J2593">
        <v>10034</v>
      </c>
      <c r="K2593" t="s">
        <v>6074</v>
      </c>
      <c r="L2593" t="s">
        <v>6074</v>
      </c>
      <c r="O2593" t="s">
        <v>7306</v>
      </c>
      <c r="P2593" t="s">
        <v>7314</v>
      </c>
      <c r="Q2593" t="s">
        <v>7322</v>
      </c>
      <c r="R2593" t="s">
        <v>6076</v>
      </c>
      <c r="S2593" t="s">
        <v>7324</v>
      </c>
      <c r="U2593" t="s">
        <v>435</v>
      </c>
      <c r="V2593">
        <v>802</v>
      </c>
      <c r="W2593" t="s">
        <v>7365</v>
      </c>
      <c r="X2593" t="s">
        <v>7367</v>
      </c>
      <c r="Y2593" t="s">
        <v>7386</v>
      </c>
      <c r="Z2593" t="s">
        <v>9363</v>
      </c>
      <c r="AB2593" t="s">
        <v>12039</v>
      </c>
      <c r="AC2593">
        <v>0</v>
      </c>
      <c r="AD2593" t="s">
        <v>12422</v>
      </c>
      <c r="AE2593" t="s">
        <v>12434</v>
      </c>
      <c r="AF2593">
        <v>27</v>
      </c>
      <c r="AG2593">
        <v>1</v>
      </c>
      <c r="AH2593">
        <v>0</v>
      </c>
      <c r="AI2593">
        <v>197.69</v>
      </c>
      <c r="AL2593" t="s">
        <v>12461</v>
      </c>
      <c r="AM2593">
        <v>24000</v>
      </c>
      <c r="AS2593">
        <v>7.4</v>
      </c>
      <c r="AT2593" t="s">
        <v>272</v>
      </c>
      <c r="AU2593" t="s">
        <v>13106</v>
      </c>
    </row>
    <row r="2594" spans="1:48">
      <c r="A2594" s="1">
        <f>HYPERLINK("https://cms.ls-nyc.org/matter/dynamic-profile/view/1872923","18-1872923")</f>
        <v>0</v>
      </c>
      <c r="B2594" t="s">
        <v>146</v>
      </c>
      <c r="C2594" t="s">
        <v>319</v>
      </c>
      <c r="D2594" t="s">
        <v>262</v>
      </c>
      <c r="E2594" t="s">
        <v>676</v>
      </c>
      <c r="F2594" t="s">
        <v>3341</v>
      </c>
      <c r="G2594" t="s">
        <v>5120</v>
      </c>
      <c r="H2594" t="s">
        <v>5355</v>
      </c>
      <c r="I2594" t="s">
        <v>6049</v>
      </c>
      <c r="J2594">
        <v>10003</v>
      </c>
      <c r="K2594" t="s">
        <v>6074</v>
      </c>
      <c r="L2594" t="s">
        <v>6075</v>
      </c>
      <c r="M2594" t="s">
        <v>7126</v>
      </c>
      <c r="N2594" t="s">
        <v>7274</v>
      </c>
      <c r="O2594" t="s">
        <v>7306</v>
      </c>
      <c r="P2594" t="s">
        <v>7314</v>
      </c>
      <c r="Q2594" t="s">
        <v>7322</v>
      </c>
      <c r="R2594" t="s">
        <v>6076</v>
      </c>
      <c r="S2594" t="s">
        <v>7324</v>
      </c>
      <c r="U2594" t="s">
        <v>319</v>
      </c>
      <c r="V2594">
        <v>1366.14</v>
      </c>
      <c r="W2594" t="s">
        <v>7365</v>
      </c>
      <c r="X2594" t="s">
        <v>7368</v>
      </c>
      <c r="Y2594" t="s">
        <v>7386</v>
      </c>
      <c r="Z2594" t="s">
        <v>9364</v>
      </c>
      <c r="AB2594" t="s">
        <v>12040</v>
      </c>
      <c r="AC2594">
        <v>0</v>
      </c>
      <c r="AD2594" t="s">
        <v>12422</v>
      </c>
      <c r="AE2594" t="s">
        <v>6110</v>
      </c>
      <c r="AF2594">
        <v>20</v>
      </c>
      <c r="AG2594">
        <v>1</v>
      </c>
      <c r="AH2594">
        <v>0</v>
      </c>
      <c r="AI2594">
        <v>197.69</v>
      </c>
      <c r="AL2594" t="s">
        <v>12460</v>
      </c>
      <c r="AM2594">
        <v>24000</v>
      </c>
      <c r="AS2594">
        <v>2.1</v>
      </c>
      <c r="AT2594" t="s">
        <v>262</v>
      </c>
      <c r="AU2594" t="s">
        <v>13111</v>
      </c>
    </row>
    <row r="2595" spans="1:48">
      <c r="A2595" s="1">
        <f>HYPERLINK("https://cms.ls-nyc.org/matter/dynamic-profile/view/1900672","19-1900672")</f>
        <v>0</v>
      </c>
      <c r="B2595" t="s">
        <v>89</v>
      </c>
      <c r="C2595" t="s">
        <v>260</v>
      </c>
      <c r="E2595" t="s">
        <v>679</v>
      </c>
      <c r="F2595" t="s">
        <v>3342</v>
      </c>
      <c r="G2595" t="s">
        <v>5036</v>
      </c>
      <c r="H2595">
        <v>24</v>
      </c>
      <c r="I2595" t="s">
        <v>6043</v>
      </c>
      <c r="J2595">
        <v>11213</v>
      </c>
      <c r="K2595" t="s">
        <v>6074</v>
      </c>
      <c r="L2595" t="s">
        <v>6075</v>
      </c>
      <c r="M2595" t="s">
        <v>6110</v>
      </c>
      <c r="N2595" t="s">
        <v>6104</v>
      </c>
      <c r="O2595" t="s">
        <v>7309</v>
      </c>
      <c r="Q2595" t="s">
        <v>7322</v>
      </c>
      <c r="R2595" t="s">
        <v>6074</v>
      </c>
      <c r="S2595" t="s">
        <v>7324</v>
      </c>
      <c r="T2595" t="s">
        <v>7336</v>
      </c>
      <c r="U2595" t="s">
        <v>263</v>
      </c>
      <c r="V2595">
        <v>917</v>
      </c>
      <c r="W2595" t="s">
        <v>7362</v>
      </c>
      <c r="X2595" t="s">
        <v>7376</v>
      </c>
      <c r="Z2595" t="s">
        <v>9365</v>
      </c>
      <c r="AB2595" t="s">
        <v>12041</v>
      </c>
      <c r="AC2595">
        <v>31</v>
      </c>
      <c r="AD2595" t="s">
        <v>12422</v>
      </c>
      <c r="AE2595" t="s">
        <v>6110</v>
      </c>
      <c r="AF2595">
        <v>18</v>
      </c>
      <c r="AG2595">
        <v>3</v>
      </c>
      <c r="AH2595">
        <v>0</v>
      </c>
      <c r="AI2595">
        <v>197.84</v>
      </c>
      <c r="AL2595" t="s">
        <v>12460</v>
      </c>
      <c r="AM2595">
        <v>42200</v>
      </c>
      <c r="AN2595" t="s">
        <v>12706</v>
      </c>
      <c r="AS2595">
        <v>0.3</v>
      </c>
      <c r="AT2595" t="s">
        <v>381</v>
      </c>
      <c r="AU2595" t="s">
        <v>218</v>
      </c>
      <c r="AV2595" t="s">
        <v>13145</v>
      </c>
    </row>
    <row r="2596" spans="1:48">
      <c r="A2596" s="1">
        <f>HYPERLINK("https://cms.ls-nyc.org/matter/dynamic-profile/view/1892748","19-1892748")</f>
        <v>0</v>
      </c>
      <c r="B2596" t="s">
        <v>108</v>
      </c>
      <c r="C2596" t="s">
        <v>395</v>
      </c>
      <c r="E2596" t="s">
        <v>1811</v>
      </c>
      <c r="F2596" t="s">
        <v>3343</v>
      </c>
      <c r="G2596" t="s">
        <v>5121</v>
      </c>
      <c r="H2596">
        <v>2</v>
      </c>
      <c r="I2596" t="s">
        <v>6047</v>
      </c>
      <c r="J2596">
        <v>10459</v>
      </c>
      <c r="K2596" t="s">
        <v>6074</v>
      </c>
      <c r="L2596" t="s">
        <v>6074</v>
      </c>
      <c r="M2596" t="s">
        <v>7127</v>
      </c>
      <c r="N2596" t="s">
        <v>7274</v>
      </c>
      <c r="O2596" t="s">
        <v>7306</v>
      </c>
      <c r="Q2596" t="s">
        <v>7322</v>
      </c>
      <c r="R2596" t="s">
        <v>6076</v>
      </c>
      <c r="S2596" t="s">
        <v>7324</v>
      </c>
      <c r="U2596" t="s">
        <v>395</v>
      </c>
      <c r="V2596">
        <v>750</v>
      </c>
      <c r="W2596" t="s">
        <v>7363</v>
      </c>
      <c r="Z2596" t="s">
        <v>9366</v>
      </c>
      <c r="AB2596" t="s">
        <v>12042</v>
      </c>
      <c r="AC2596">
        <v>0</v>
      </c>
      <c r="AF2596">
        <v>0</v>
      </c>
      <c r="AG2596">
        <v>2</v>
      </c>
      <c r="AH2596">
        <v>0</v>
      </c>
      <c r="AI2596">
        <v>197.85</v>
      </c>
      <c r="AL2596" t="s">
        <v>12460</v>
      </c>
      <c r="AM2596">
        <v>33456</v>
      </c>
      <c r="AN2596" t="s">
        <v>12707</v>
      </c>
      <c r="AS2596">
        <v>0</v>
      </c>
      <c r="AU2596" t="s">
        <v>13125</v>
      </c>
      <c r="AV2596" t="s">
        <v>13145</v>
      </c>
    </row>
    <row r="2597" spans="1:48">
      <c r="A2597" s="1">
        <f>HYPERLINK("https://cms.ls-nyc.org/matter/dynamic-profile/view/1881696","18-1881696")</f>
        <v>0</v>
      </c>
      <c r="B2597" t="s">
        <v>77</v>
      </c>
      <c r="C2597" t="s">
        <v>350</v>
      </c>
      <c r="E2597" t="s">
        <v>1812</v>
      </c>
      <c r="F2597" t="s">
        <v>3344</v>
      </c>
      <c r="G2597" t="s">
        <v>5122</v>
      </c>
      <c r="H2597">
        <v>1</v>
      </c>
      <c r="I2597" t="s">
        <v>6043</v>
      </c>
      <c r="J2597">
        <v>11203</v>
      </c>
      <c r="K2597" t="s">
        <v>6074</v>
      </c>
      <c r="L2597" t="s">
        <v>6074</v>
      </c>
      <c r="M2597" t="s">
        <v>7128</v>
      </c>
      <c r="N2597" t="s">
        <v>7276</v>
      </c>
      <c r="O2597" t="s">
        <v>7308</v>
      </c>
      <c r="Q2597" t="s">
        <v>7322</v>
      </c>
      <c r="S2597" t="s">
        <v>7324</v>
      </c>
      <c r="U2597" t="s">
        <v>365</v>
      </c>
      <c r="V2597">
        <v>1829</v>
      </c>
      <c r="W2597" t="s">
        <v>7362</v>
      </c>
      <c r="X2597" t="s">
        <v>7366</v>
      </c>
      <c r="Z2597" t="s">
        <v>9367</v>
      </c>
      <c r="AB2597" t="s">
        <v>12043</v>
      </c>
      <c r="AC2597">
        <v>0</v>
      </c>
      <c r="AE2597" t="s">
        <v>12434</v>
      </c>
      <c r="AF2597">
        <v>9</v>
      </c>
      <c r="AG2597">
        <v>3</v>
      </c>
      <c r="AH2597">
        <v>0</v>
      </c>
      <c r="AI2597">
        <v>198.05</v>
      </c>
      <c r="AL2597" t="s">
        <v>12460</v>
      </c>
      <c r="AM2597">
        <v>41154.28</v>
      </c>
      <c r="AS2597">
        <v>10.75</v>
      </c>
      <c r="AT2597" t="s">
        <v>472</v>
      </c>
      <c r="AU2597" t="s">
        <v>13082</v>
      </c>
    </row>
    <row r="2598" spans="1:48">
      <c r="A2598" s="1">
        <f>HYPERLINK("https://cms.ls-nyc.org/matter/dynamic-profile/view/1879223","18-1879223")</f>
        <v>0</v>
      </c>
      <c r="B2598" t="s">
        <v>81</v>
      </c>
      <c r="C2598" t="s">
        <v>355</v>
      </c>
      <c r="E2598" t="s">
        <v>956</v>
      </c>
      <c r="F2598" t="s">
        <v>2528</v>
      </c>
      <c r="G2598" t="s">
        <v>4333</v>
      </c>
      <c r="H2598" t="s">
        <v>5387</v>
      </c>
      <c r="I2598" t="s">
        <v>6043</v>
      </c>
      <c r="J2598">
        <v>11226</v>
      </c>
      <c r="K2598" t="s">
        <v>6074</v>
      </c>
      <c r="L2598" t="s">
        <v>6074</v>
      </c>
      <c r="N2598" t="s">
        <v>7276</v>
      </c>
      <c r="O2598" t="s">
        <v>7308</v>
      </c>
      <c r="Q2598" t="s">
        <v>7322</v>
      </c>
      <c r="S2598" t="s">
        <v>7324</v>
      </c>
      <c r="U2598" t="s">
        <v>442</v>
      </c>
      <c r="V2598">
        <v>0</v>
      </c>
      <c r="W2598" t="s">
        <v>7362</v>
      </c>
      <c r="Z2598" t="s">
        <v>9368</v>
      </c>
      <c r="AB2598" t="s">
        <v>12044</v>
      </c>
      <c r="AC2598">
        <v>0</v>
      </c>
      <c r="AF2598">
        <v>0</v>
      </c>
      <c r="AG2598">
        <v>4</v>
      </c>
      <c r="AH2598">
        <v>1</v>
      </c>
      <c r="AI2598">
        <v>198.25</v>
      </c>
      <c r="AL2598" t="s">
        <v>12460</v>
      </c>
      <c r="AM2598">
        <v>58324</v>
      </c>
      <c r="AS2598">
        <v>80.45</v>
      </c>
      <c r="AT2598" t="s">
        <v>362</v>
      </c>
      <c r="AU2598" t="s">
        <v>69</v>
      </c>
    </row>
    <row r="2599" spans="1:48">
      <c r="A2599" s="1">
        <f>HYPERLINK("https://cms.ls-nyc.org/matter/dynamic-profile/view/1875551","18-1875551")</f>
        <v>0</v>
      </c>
      <c r="B2599" t="s">
        <v>105</v>
      </c>
      <c r="C2599" t="s">
        <v>233</v>
      </c>
      <c r="D2599" t="s">
        <v>346</v>
      </c>
      <c r="E2599" t="s">
        <v>1813</v>
      </c>
      <c r="F2599" t="s">
        <v>2584</v>
      </c>
      <c r="G2599" t="s">
        <v>3796</v>
      </c>
      <c r="H2599" t="s">
        <v>5649</v>
      </c>
      <c r="I2599" t="s">
        <v>6047</v>
      </c>
      <c r="J2599">
        <v>10453</v>
      </c>
      <c r="K2599" t="s">
        <v>6074</v>
      </c>
      <c r="L2599" t="s">
        <v>6074</v>
      </c>
      <c r="M2599" t="s">
        <v>7129</v>
      </c>
      <c r="N2599" t="s">
        <v>7276</v>
      </c>
      <c r="O2599" t="s">
        <v>7306</v>
      </c>
      <c r="P2599" t="s">
        <v>7314</v>
      </c>
      <c r="Q2599" t="s">
        <v>7322</v>
      </c>
      <c r="R2599" t="s">
        <v>6076</v>
      </c>
      <c r="S2599" t="s">
        <v>7324</v>
      </c>
      <c r="U2599" t="s">
        <v>346</v>
      </c>
      <c r="V2599">
        <v>835</v>
      </c>
      <c r="W2599" t="s">
        <v>7363</v>
      </c>
      <c r="X2599" t="s">
        <v>7376</v>
      </c>
      <c r="Y2599" t="s">
        <v>7386</v>
      </c>
      <c r="Z2599" t="s">
        <v>9369</v>
      </c>
      <c r="AB2599" t="s">
        <v>12045</v>
      </c>
      <c r="AC2599">
        <v>30</v>
      </c>
      <c r="AF2599">
        <v>3</v>
      </c>
      <c r="AG2599">
        <v>1</v>
      </c>
      <c r="AH2599">
        <v>0</v>
      </c>
      <c r="AI2599">
        <v>198.32</v>
      </c>
      <c r="AL2599" t="s">
        <v>12460</v>
      </c>
      <c r="AM2599">
        <v>24076</v>
      </c>
      <c r="AS2599">
        <v>1.1</v>
      </c>
      <c r="AT2599" t="s">
        <v>346</v>
      </c>
      <c r="AU2599" t="s">
        <v>13104</v>
      </c>
    </row>
    <row r="2600" spans="1:48">
      <c r="A2600" s="1">
        <f>HYPERLINK("https://cms.ls-nyc.org/matter/dynamic-profile/view/1890003","19-1890003")</f>
        <v>0</v>
      </c>
      <c r="B2600" t="s">
        <v>131</v>
      </c>
      <c r="C2600" t="s">
        <v>351</v>
      </c>
      <c r="E2600" t="s">
        <v>1786</v>
      </c>
      <c r="F2600" t="s">
        <v>3345</v>
      </c>
      <c r="G2600" t="s">
        <v>5123</v>
      </c>
      <c r="H2600">
        <v>53</v>
      </c>
      <c r="I2600" t="s">
        <v>6049</v>
      </c>
      <c r="J2600">
        <v>10034</v>
      </c>
      <c r="K2600" t="s">
        <v>6074</v>
      </c>
      <c r="L2600" t="s">
        <v>6074</v>
      </c>
      <c r="N2600" t="s">
        <v>7276</v>
      </c>
      <c r="O2600" t="s">
        <v>7306</v>
      </c>
      <c r="Q2600" t="s">
        <v>7322</v>
      </c>
      <c r="R2600" t="s">
        <v>6076</v>
      </c>
      <c r="S2600" t="s">
        <v>7324</v>
      </c>
      <c r="U2600" t="s">
        <v>351</v>
      </c>
      <c r="V2600">
        <v>930.27</v>
      </c>
      <c r="W2600" t="s">
        <v>7365</v>
      </c>
      <c r="X2600" t="s">
        <v>7368</v>
      </c>
      <c r="Z2600" t="s">
        <v>9370</v>
      </c>
      <c r="AB2600" t="s">
        <v>12046</v>
      </c>
      <c r="AC2600">
        <v>20</v>
      </c>
      <c r="AD2600" t="s">
        <v>12422</v>
      </c>
      <c r="AE2600" t="s">
        <v>6110</v>
      </c>
      <c r="AF2600">
        <v>22</v>
      </c>
      <c r="AG2600">
        <v>4</v>
      </c>
      <c r="AH2600">
        <v>1</v>
      </c>
      <c r="AI2600">
        <v>198.59</v>
      </c>
      <c r="AL2600" t="s">
        <v>12461</v>
      </c>
      <c r="AM2600">
        <v>59916</v>
      </c>
      <c r="AS2600">
        <v>0.1</v>
      </c>
      <c r="AT2600" t="s">
        <v>287</v>
      </c>
      <c r="AU2600" t="s">
        <v>13106</v>
      </c>
    </row>
    <row r="2601" spans="1:48">
      <c r="A2601" s="1">
        <f>HYPERLINK("https://cms.ls-nyc.org/matter/dynamic-profile/view/1897727","19-1897727")</f>
        <v>0</v>
      </c>
      <c r="B2601" t="s">
        <v>131</v>
      </c>
      <c r="C2601" t="s">
        <v>263</v>
      </c>
      <c r="E2601" t="s">
        <v>1428</v>
      </c>
      <c r="F2601" t="s">
        <v>2390</v>
      </c>
      <c r="G2601" t="s">
        <v>5124</v>
      </c>
      <c r="H2601" t="s">
        <v>5900</v>
      </c>
      <c r="I2601" t="s">
        <v>6049</v>
      </c>
      <c r="J2601">
        <v>10034</v>
      </c>
      <c r="K2601" t="s">
        <v>6074</v>
      </c>
      <c r="L2601" t="s">
        <v>6075</v>
      </c>
      <c r="N2601" t="s">
        <v>6104</v>
      </c>
      <c r="O2601" t="s">
        <v>7306</v>
      </c>
      <c r="Q2601" t="s">
        <v>7322</v>
      </c>
      <c r="R2601" t="s">
        <v>6076</v>
      </c>
      <c r="S2601" t="s">
        <v>7324</v>
      </c>
      <c r="U2601" t="s">
        <v>265</v>
      </c>
      <c r="V2601">
        <v>908.41</v>
      </c>
      <c r="W2601" t="s">
        <v>7365</v>
      </c>
      <c r="X2601" t="s">
        <v>7372</v>
      </c>
      <c r="Z2601" t="s">
        <v>9371</v>
      </c>
      <c r="AB2601" t="s">
        <v>12047</v>
      </c>
      <c r="AC2601">
        <v>80</v>
      </c>
      <c r="AD2601" t="s">
        <v>12422</v>
      </c>
      <c r="AE2601" t="s">
        <v>6110</v>
      </c>
      <c r="AF2601">
        <v>22</v>
      </c>
      <c r="AG2601">
        <v>1</v>
      </c>
      <c r="AH2601">
        <v>0</v>
      </c>
      <c r="AI2601">
        <v>199.01</v>
      </c>
      <c r="AL2601" t="s">
        <v>12461</v>
      </c>
      <c r="AM2601">
        <v>24856</v>
      </c>
      <c r="AS2601">
        <v>0.6</v>
      </c>
      <c r="AT2601" t="s">
        <v>362</v>
      </c>
      <c r="AU2601" t="s">
        <v>13088</v>
      </c>
      <c r="AV2601" t="s">
        <v>13145</v>
      </c>
    </row>
    <row r="2602" spans="1:48">
      <c r="A2602" s="1">
        <f>HYPERLINK("https://cms.ls-nyc.org/matter/dynamic-profile/view/1882669","18-1882669")</f>
        <v>0</v>
      </c>
      <c r="B2602" t="s">
        <v>60</v>
      </c>
      <c r="C2602" t="s">
        <v>296</v>
      </c>
      <c r="E2602" t="s">
        <v>1814</v>
      </c>
      <c r="F2602" t="s">
        <v>3346</v>
      </c>
      <c r="G2602" t="s">
        <v>5125</v>
      </c>
      <c r="H2602">
        <v>1</v>
      </c>
      <c r="I2602" t="s">
        <v>6025</v>
      </c>
      <c r="J2602">
        <v>11691</v>
      </c>
      <c r="K2602" t="s">
        <v>6074</v>
      </c>
      <c r="L2602" t="s">
        <v>6074</v>
      </c>
      <c r="M2602" t="s">
        <v>6101</v>
      </c>
      <c r="N2602" t="s">
        <v>6104</v>
      </c>
      <c r="O2602" t="s">
        <v>7306</v>
      </c>
      <c r="Q2602" t="s">
        <v>7322</v>
      </c>
      <c r="R2602" t="s">
        <v>6076</v>
      </c>
      <c r="S2602" t="s">
        <v>7324</v>
      </c>
      <c r="T2602" t="s">
        <v>7336</v>
      </c>
      <c r="U2602" t="s">
        <v>411</v>
      </c>
      <c r="V2602">
        <v>1450</v>
      </c>
      <c r="W2602" t="s">
        <v>7361</v>
      </c>
      <c r="X2602" t="s">
        <v>7368</v>
      </c>
      <c r="Z2602" t="s">
        <v>9372</v>
      </c>
      <c r="AB2602" t="s">
        <v>12048</v>
      </c>
      <c r="AC2602">
        <v>3</v>
      </c>
      <c r="AD2602" t="s">
        <v>12419</v>
      </c>
      <c r="AE2602" t="s">
        <v>12434</v>
      </c>
      <c r="AF2602">
        <v>4</v>
      </c>
      <c r="AG2602">
        <v>1</v>
      </c>
      <c r="AH2602">
        <v>2</v>
      </c>
      <c r="AI2602">
        <v>199.07</v>
      </c>
      <c r="AL2602" t="s">
        <v>12460</v>
      </c>
      <c r="AM2602">
        <v>41366</v>
      </c>
      <c r="AS2602">
        <v>2.8</v>
      </c>
      <c r="AT2602" t="s">
        <v>254</v>
      </c>
      <c r="AU2602" t="s">
        <v>13100</v>
      </c>
    </row>
    <row r="2603" spans="1:48">
      <c r="A2603" s="1">
        <f>HYPERLINK("https://cms.ls-nyc.org/matter/dynamic-profile/view/1879813","18-1879813")</f>
        <v>0</v>
      </c>
      <c r="B2603" t="s">
        <v>87</v>
      </c>
      <c r="C2603" t="s">
        <v>325</v>
      </c>
      <c r="D2603" t="s">
        <v>246</v>
      </c>
      <c r="E2603" t="s">
        <v>1815</v>
      </c>
      <c r="F2603" t="s">
        <v>3347</v>
      </c>
      <c r="G2603" t="s">
        <v>4053</v>
      </c>
      <c r="H2603" t="s">
        <v>5901</v>
      </c>
      <c r="I2603" t="s">
        <v>6043</v>
      </c>
      <c r="J2603">
        <v>11208</v>
      </c>
      <c r="K2603" t="s">
        <v>6074</v>
      </c>
      <c r="L2603" t="s">
        <v>6074</v>
      </c>
      <c r="M2603" t="s">
        <v>7130</v>
      </c>
      <c r="N2603" t="s">
        <v>7276</v>
      </c>
      <c r="O2603" t="s">
        <v>7308</v>
      </c>
      <c r="P2603" t="s">
        <v>7316</v>
      </c>
      <c r="Q2603" t="s">
        <v>7322</v>
      </c>
      <c r="S2603" t="s">
        <v>7324</v>
      </c>
      <c r="U2603" t="s">
        <v>246</v>
      </c>
      <c r="V2603">
        <v>0</v>
      </c>
      <c r="W2603" t="s">
        <v>7362</v>
      </c>
      <c r="X2603" t="s">
        <v>7368</v>
      </c>
      <c r="Y2603" t="s">
        <v>7396</v>
      </c>
      <c r="Z2603" t="s">
        <v>9373</v>
      </c>
      <c r="AB2603" t="s">
        <v>12049</v>
      </c>
      <c r="AC2603">
        <v>294</v>
      </c>
      <c r="AF2603">
        <v>8</v>
      </c>
      <c r="AG2603">
        <v>1</v>
      </c>
      <c r="AH2603">
        <v>1</v>
      </c>
      <c r="AI2603">
        <v>199.07</v>
      </c>
      <c r="AL2603" t="s">
        <v>12460</v>
      </c>
      <c r="AM2603">
        <v>32767.43</v>
      </c>
      <c r="AP2603" t="s">
        <v>12863</v>
      </c>
      <c r="AQ2603" t="s">
        <v>12909</v>
      </c>
      <c r="AR2603" t="s">
        <v>13011</v>
      </c>
      <c r="AS2603">
        <v>9.4</v>
      </c>
      <c r="AT2603" t="s">
        <v>246</v>
      </c>
      <c r="AU2603" t="s">
        <v>13083</v>
      </c>
    </row>
    <row r="2604" spans="1:48">
      <c r="A2604" s="1">
        <f>HYPERLINK("https://cms.ls-nyc.org/matter/dynamic-profile/view/1879828","18-1879828")</f>
        <v>0</v>
      </c>
      <c r="B2604" t="s">
        <v>87</v>
      </c>
      <c r="C2604" t="s">
        <v>271</v>
      </c>
      <c r="D2604" t="s">
        <v>246</v>
      </c>
      <c r="E2604" t="s">
        <v>1815</v>
      </c>
      <c r="F2604" t="s">
        <v>3347</v>
      </c>
      <c r="G2604" t="s">
        <v>4053</v>
      </c>
      <c r="H2604" t="s">
        <v>5901</v>
      </c>
      <c r="I2604" t="s">
        <v>6043</v>
      </c>
      <c r="J2604">
        <v>11208</v>
      </c>
      <c r="K2604" t="s">
        <v>6074</v>
      </c>
      <c r="L2604" t="s">
        <v>6074</v>
      </c>
      <c r="M2604" t="s">
        <v>7130</v>
      </c>
      <c r="O2604" t="s">
        <v>7309</v>
      </c>
      <c r="P2604" t="s">
        <v>7316</v>
      </c>
      <c r="Q2604" t="s">
        <v>7322</v>
      </c>
      <c r="S2604" t="s">
        <v>7327</v>
      </c>
      <c r="U2604" t="s">
        <v>246</v>
      </c>
      <c r="V2604">
        <v>0</v>
      </c>
      <c r="W2604" t="s">
        <v>7362</v>
      </c>
      <c r="X2604" t="s">
        <v>7368</v>
      </c>
      <c r="Y2604" t="s">
        <v>7405</v>
      </c>
      <c r="Z2604" t="s">
        <v>9373</v>
      </c>
      <c r="AB2604" t="s">
        <v>12049</v>
      </c>
      <c r="AC2604">
        <v>294</v>
      </c>
      <c r="AF2604">
        <v>8</v>
      </c>
      <c r="AG2604">
        <v>1</v>
      </c>
      <c r="AH2604">
        <v>1</v>
      </c>
      <c r="AI2604">
        <v>199.07</v>
      </c>
      <c r="AL2604" t="s">
        <v>12460</v>
      </c>
      <c r="AM2604">
        <v>32767.43</v>
      </c>
      <c r="AS2604">
        <v>3.4</v>
      </c>
      <c r="AT2604" t="s">
        <v>246</v>
      </c>
      <c r="AU2604" t="s">
        <v>13083</v>
      </c>
      <c r="AV2604" t="s">
        <v>13145</v>
      </c>
    </row>
    <row r="2605" spans="1:48">
      <c r="A2605" s="1">
        <f>HYPERLINK("https://cms.ls-nyc.org/matter/dynamic-profile/view/1888152","19-1888152")</f>
        <v>0</v>
      </c>
      <c r="B2605" t="s">
        <v>131</v>
      </c>
      <c r="C2605" t="s">
        <v>370</v>
      </c>
      <c r="E2605" t="s">
        <v>1816</v>
      </c>
      <c r="F2605" t="s">
        <v>2486</v>
      </c>
      <c r="G2605" t="s">
        <v>5126</v>
      </c>
      <c r="H2605">
        <v>45</v>
      </c>
      <c r="I2605" t="s">
        <v>6049</v>
      </c>
      <c r="J2605">
        <v>10034</v>
      </c>
      <c r="K2605" t="s">
        <v>6074</v>
      </c>
      <c r="L2605" t="s">
        <v>6074</v>
      </c>
      <c r="O2605" t="s">
        <v>7310</v>
      </c>
      <c r="Q2605" t="s">
        <v>7322</v>
      </c>
      <c r="R2605" t="s">
        <v>6076</v>
      </c>
      <c r="S2605" t="s">
        <v>7324</v>
      </c>
      <c r="U2605" t="s">
        <v>370</v>
      </c>
      <c r="V2605">
        <v>0</v>
      </c>
      <c r="W2605" t="s">
        <v>7365</v>
      </c>
      <c r="X2605" t="s">
        <v>7367</v>
      </c>
      <c r="AC2605">
        <v>0</v>
      </c>
      <c r="AD2605" t="s">
        <v>12422</v>
      </c>
      <c r="AE2605" t="s">
        <v>6110</v>
      </c>
      <c r="AF2605">
        <v>0</v>
      </c>
      <c r="AG2605">
        <v>4</v>
      </c>
      <c r="AH2605">
        <v>0</v>
      </c>
      <c r="AI2605">
        <v>199.2</v>
      </c>
      <c r="AL2605" t="s">
        <v>12461</v>
      </c>
      <c r="AM2605">
        <v>50000</v>
      </c>
      <c r="AS2605">
        <v>1.3</v>
      </c>
      <c r="AT2605" t="s">
        <v>330</v>
      </c>
      <c r="AU2605" t="s">
        <v>13106</v>
      </c>
    </row>
    <row r="2606" spans="1:48">
      <c r="A2606" s="1">
        <f>HYPERLINK("https://cms.ls-nyc.org/matter/dynamic-profile/view/1874218","18-1874218")</f>
        <v>0</v>
      </c>
      <c r="B2606" t="s">
        <v>217</v>
      </c>
      <c r="C2606" t="s">
        <v>384</v>
      </c>
      <c r="E2606" t="s">
        <v>701</v>
      </c>
      <c r="F2606" t="s">
        <v>2565</v>
      </c>
      <c r="G2606" t="s">
        <v>5127</v>
      </c>
      <c r="H2606" t="s">
        <v>5578</v>
      </c>
      <c r="I2606" t="s">
        <v>6043</v>
      </c>
      <c r="J2606">
        <v>11215</v>
      </c>
      <c r="K2606" t="s">
        <v>6074</v>
      </c>
      <c r="L2606" t="s">
        <v>6074</v>
      </c>
      <c r="M2606" t="s">
        <v>7131</v>
      </c>
      <c r="N2606" t="s">
        <v>7291</v>
      </c>
      <c r="O2606" t="s">
        <v>7311</v>
      </c>
      <c r="Q2606" t="s">
        <v>7322</v>
      </c>
      <c r="S2606" t="s">
        <v>7327</v>
      </c>
      <c r="U2606" t="s">
        <v>422</v>
      </c>
      <c r="V2606">
        <v>1750</v>
      </c>
      <c r="W2606" t="s">
        <v>7362</v>
      </c>
      <c r="X2606" t="s">
        <v>7379</v>
      </c>
      <c r="Z2606" t="s">
        <v>9374</v>
      </c>
      <c r="AB2606" t="s">
        <v>12050</v>
      </c>
      <c r="AC2606">
        <v>6</v>
      </c>
      <c r="AF2606">
        <v>2</v>
      </c>
      <c r="AG2606">
        <v>2</v>
      </c>
      <c r="AH2606">
        <v>0</v>
      </c>
      <c r="AI2606">
        <v>199.27</v>
      </c>
      <c r="AL2606" t="s">
        <v>12460</v>
      </c>
      <c r="AM2606">
        <v>32800</v>
      </c>
      <c r="AS2606">
        <v>8.9</v>
      </c>
      <c r="AT2606" t="s">
        <v>259</v>
      </c>
      <c r="AU2606" t="s">
        <v>13083</v>
      </c>
    </row>
    <row r="2607" spans="1:48">
      <c r="A2607" s="1">
        <f>HYPERLINK("https://cms.ls-nyc.org/matter/dynamic-profile/view/1866186","18-1866186")</f>
        <v>0</v>
      </c>
      <c r="B2607" t="s">
        <v>89</v>
      </c>
      <c r="C2607" t="s">
        <v>449</v>
      </c>
      <c r="E2607" t="s">
        <v>1817</v>
      </c>
      <c r="F2607" t="s">
        <v>1977</v>
      </c>
      <c r="G2607" t="s">
        <v>5128</v>
      </c>
      <c r="H2607" t="s">
        <v>5545</v>
      </c>
      <c r="I2607" t="s">
        <v>6043</v>
      </c>
      <c r="J2607">
        <v>11212</v>
      </c>
      <c r="K2607" t="s">
        <v>6074</v>
      </c>
      <c r="L2607" t="s">
        <v>6074</v>
      </c>
      <c r="M2607" t="s">
        <v>6104</v>
      </c>
      <c r="N2607" t="s">
        <v>7275</v>
      </c>
      <c r="O2607" t="s">
        <v>7307</v>
      </c>
      <c r="Q2607" t="s">
        <v>7322</v>
      </c>
      <c r="R2607" t="s">
        <v>6076</v>
      </c>
      <c r="S2607" t="s">
        <v>7324</v>
      </c>
      <c r="U2607" t="s">
        <v>7344</v>
      </c>
      <c r="V2607">
        <v>710</v>
      </c>
      <c r="W2607" t="s">
        <v>7362</v>
      </c>
      <c r="X2607" t="s">
        <v>7367</v>
      </c>
      <c r="Z2607" t="s">
        <v>9375</v>
      </c>
      <c r="AA2607" t="s">
        <v>10280</v>
      </c>
      <c r="AB2607" t="s">
        <v>12051</v>
      </c>
      <c r="AC2607">
        <v>90</v>
      </c>
      <c r="AD2607" t="s">
        <v>12420</v>
      </c>
      <c r="AE2607" t="s">
        <v>12434</v>
      </c>
      <c r="AF2607">
        <v>11</v>
      </c>
      <c r="AG2607">
        <v>1</v>
      </c>
      <c r="AH2607">
        <v>1</v>
      </c>
      <c r="AI2607">
        <v>199.34</v>
      </c>
      <c r="AL2607" t="s">
        <v>12460</v>
      </c>
      <c r="AM2607">
        <v>32812</v>
      </c>
      <c r="AN2607" t="s">
        <v>12491</v>
      </c>
      <c r="AS2607">
        <v>1</v>
      </c>
      <c r="AT2607" t="s">
        <v>449</v>
      </c>
      <c r="AU2607" t="s">
        <v>13096</v>
      </c>
    </row>
    <row r="2608" spans="1:48">
      <c r="A2608" s="1">
        <f>HYPERLINK("https://cms.ls-nyc.org/matter/dynamic-profile/view/1874407","18-1874407")</f>
        <v>0</v>
      </c>
      <c r="B2608" t="s">
        <v>139</v>
      </c>
      <c r="C2608" t="s">
        <v>236</v>
      </c>
      <c r="D2608" t="s">
        <v>237</v>
      </c>
      <c r="E2608" t="s">
        <v>707</v>
      </c>
      <c r="F2608" t="s">
        <v>3348</v>
      </c>
      <c r="G2608" t="s">
        <v>5129</v>
      </c>
      <c r="H2608" t="s">
        <v>5612</v>
      </c>
      <c r="I2608" t="s">
        <v>6049</v>
      </c>
      <c r="J2608">
        <v>10040</v>
      </c>
      <c r="K2608" t="s">
        <v>6074</v>
      </c>
      <c r="L2608" t="s">
        <v>6074</v>
      </c>
      <c r="M2608" t="s">
        <v>7132</v>
      </c>
      <c r="N2608" t="s">
        <v>7274</v>
      </c>
      <c r="O2608" t="s">
        <v>7306</v>
      </c>
      <c r="P2608" t="s">
        <v>7314</v>
      </c>
      <c r="Q2608" t="s">
        <v>7322</v>
      </c>
      <c r="R2608" t="s">
        <v>6076</v>
      </c>
      <c r="S2608" t="s">
        <v>7324</v>
      </c>
      <c r="U2608" t="s">
        <v>236</v>
      </c>
      <c r="V2608">
        <v>1238.12</v>
      </c>
      <c r="W2608" t="s">
        <v>7365</v>
      </c>
      <c r="X2608" t="s">
        <v>7367</v>
      </c>
      <c r="Y2608" t="s">
        <v>7386</v>
      </c>
      <c r="Z2608" t="s">
        <v>9376</v>
      </c>
      <c r="AB2608" t="s">
        <v>12052</v>
      </c>
      <c r="AC2608">
        <v>25</v>
      </c>
      <c r="AD2608" t="s">
        <v>12422</v>
      </c>
      <c r="AE2608" t="s">
        <v>6110</v>
      </c>
      <c r="AF2608">
        <v>4</v>
      </c>
      <c r="AG2608">
        <v>2</v>
      </c>
      <c r="AH2608">
        <v>0</v>
      </c>
      <c r="AI2608">
        <v>199.37</v>
      </c>
      <c r="AL2608" t="s">
        <v>12461</v>
      </c>
      <c r="AM2608">
        <v>32816</v>
      </c>
      <c r="AS2608">
        <v>1.2</v>
      </c>
      <c r="AT2608" t="s">
        <v>237</v>
      </c>
      <c r="AU2608" t="s">
        <v>13106</v>
      </c>
    </row>
    <row r="2609" spans="1:48">
      <c r="A2609" s="1">
        <f>HYPERLINK("https://cms.ls-nyc.org/matter/dynamic-profile/view/1898372","19-1898372")</f>
        <v>0</v>
      </c>
      <c r="B2609" t="s">
        <v>52</v>
      </c>
      <c r="C2609" t="s">
        <v>257</v>
      </c>
      <c r="D2609" t="s">
        <v>421</v>
      </c>
      <c r="E2609" t="s">
        <v>802</v>
      </c>
      <c r="F2609" t="s">
        <v>3349</v>
      </c>
      <c r="G2609" t="s">
        <v>5130</v>
      </c>
      <c r="H2609" t="s">
        <v>5902</v>
      </c>
      <c r="I2609" t="s">
        <v>6035</v>
      </c>
      <c r="J2609">
        <v>11377</v>
      </c>
      <c r="K2609" t="s">
        <v>6074</v>
      </c>
      <c r="L2609" t="s">
        <v>6074</v>
      </c>
      <c r="M2609" t="s">
        <v>6081</v>
      </c>
      <c r="N2609" t="s">
        <v>6104</v>
      </c>
      <c r="O2609" t="s">
        <v>7306</v>
      </c>
      <c r="P2609" t="s">
        <v>7314</v>
      </c>
      <c r="Q2609" t="s">
        <v>7323</v>
      </c>
      <c r="R2609" t="s">
        <v>6076</v>
      </c>
      <c r="S2609" t="s">
        <v>7324</v>
      </c>
      <c r="T2609" t="s">
        <v>7336</v>
      </c>
      <c r="U2609" t="s">
        <v>257</v>
      </c>
      <c r="V2609">
        <v>1160</v>
      </c>
      <c r="W2609" t="s">
        <v>7361</v>
      </c>
      <c r="X2609" t="s">
        <v>7369</v>
      </c>
      <c r="Y2609" t="s">
        <v>7386</v>
      </c>
      <c r="Z2609" t="s">
        <v>9377</v>
      </c>
      <c r="AB2609" t="s">
        <v>12053</v>
      </c>
      <c r="AC2609">
        <v>40</v>
      </c>
      <c r="AD2609" t="s">
        <v>12422</v>
      </c>
      <c r="AE2609" t="s">
        <v>6110</v>
      </c>
      <c r="AF2609">
        <v>7</v>
      </c>
      <c r="AG2609">
        <v>2</v>
      </c>
      <c r="AH2609">
        <v>0</v>
      </c>
      <c r="AI2609">
        <v>199.88</v>
      </c>
      <c r="AL2609" t="s">
        <v>12460</v>
      </c>
      <c r="AM2609">
        <v>33800</v>
      </c>
      <c r="AS2609">
        <v>1.1</v>
      </c>
      <c r="AT2609" t="s">
        <v>276</v>
      </c>
      <c r="AU2609" t="s">
        <v>52</v>
      </c>
    </row>
    <row r="2610" spans="1:48">
      <c r="A2610" s="1">
        <f>HYPERLINK("https://cms.ls-nyc.org/matter/dynamic-profile/view/1880073","18-1880073")</f>
        <v>0</v>
      </c>
      <c r="B2610" t="s">
        <v>54</v>
      </c>
      <c r="C2610" t="s">
        <v>245</v>
      </c>
      <c r="D2610" t="s">
        <v>354</v>
      </c>
      <c r="E2610" t="s">
        <v>1818</v>
      </c>
      <c r="F2610" t="s">
        <v>2104</v>
      </c>
      <c r="G2610" t="s">
        <v>5131</v>
      </c>
      <c r="I2610" t="s">
        <v>6071</v>
      </c>
      <c r="J2610">
        <v>11411</v>
      </c>
      <c r="K2610" t="s">
        <v>6074</v>
      </c>
      <c r="L2610" t="s">
        <v>6074</v>
      </c>
      <c r="M2610" t="s">
        <v>7133</v>
      </c>
      <c r="N2610" t="s">
        <v>7274</v>
      </c>
      <c r="O2610" t="s">
        <v>7307</v>
      </c>
      <c r="P2610" t="s">
        <v>7314</v>
      </c>
      <c r="Q2610" t="s">
        <v>7322</v>
      </c>
      <c r="R2610" t="s">
        <v>6076</v>
      </c>
      <c r="S2610" t="s">
        <v>7324</v>
      </c>
      <c r="T2610" t="s">
        <v>7336</v>
      </c>
      <c r="U2610" t="s">
        <v>245</v>
      </c>
      <c r="V2610">
        <v>0</v>
      </c>
      <c r="W2610" t="s">
        <v>7361</v>
      </c>
      <c r="X2610" t="s">
        <v>7366</v>
      </c>
      <c r="Y2610" t="s">
        <v>7386</v>
      </c>
      <c r="Z2610" t="s">
        <v>9218</v>
      </c>
      <c r="AB2610" t="s">
        <v>12054</v>
      </c>
      <c r="AC2610">
        <v>1</v>
      </c>
      <c r="AD2610" t="s">
        <v>12419</v>
      </c>
      <c r="AE2610" t="s">
        <v>6110</v>
      </c>
      <c r="AF2610">
        <v>46</v>
      </c>
      <c r="AG2610">
        <v>2</v>
      </c>
      <c r="AH2610">
        <v>1</v>
      </c>
      <c r="AI2610">
        <v>200</v>
      </c>
      <c r="AL2610" t="s">
        <v>12460</v>
      </c>
      <c r="AM2610">
        <v>41560</v>
      </c>
      <c r="AS2610">
        <v>1</v>
      </c>
      <c r="AT2610" t="s">
        <v>354</v>
      </c>
      <c r="AU2610" t="s">
        <v>48</v>
      </c>
    </row>
    <row r="2611" spans="1:48">
      <c r="A2611" s="1">
        <f>HYPERLINK("https://cms.ls-nyc.org/matter/dynamic-profile/view/1899896","19-1899896")</f>
        <v>0</v>
      </c>
      <c r="B2611" t="s">
        <v>82</v>
      </c>
      <c r="C2611" t="s">
        <v>317</v>
      </c>
      <c r="E2611" t="s">
        <v>1050</v>
      </c>
      <c r="F2611" t="s">
        <v>2283</v>
      </c>
      <c r="G2611" t="s">
        <v>3728</v>
      </c>
      <c r="H2611" t="s">
        <v>5469</v>
      </c>
      <c r="I2611" t="s">
        <v>6043</v>
      </c>
      <c r="J2611">
        <v>11226</v>
      </c>
      <c r="K2611" t="s">
        <v>6074</v>
      </c>
      <c r="L2611" t="s">
        <v>6075</v>
      </c>
      <c r="O2611" t="s">
        <v>7309</v>
      </c>
      <c r="Q2611" t="s">
        <v>7322</v>
      </c>
      <c r="S2611" t="s">
        <v>7324</v>
      </c>
      <c r="U2611" t="s">
        <v>317</v>
      </c>
      <c r="V2611">
        <v>0</v>
      </c>
      <c r="W2611" t="s">
        <v>7362</v>
      </c>
      <c r="Z2611" t="s">
        <v>7992</v>
      </c>
      <c r="AB2611" t="s">
        <v>10792</v>
      </c>
      <c r="AC2611">
        <v>0</v>
      </c>
      <c r="AF2611">
        <v>0</v>
      </c>
      <c r="AG2611">
        <v>1</v>
      </c>
      <c r="AH2611">
        <v>0</v>
      </c>
      <c r="AI2611">
        <v>200.16</v>
      </c>
      <c r="AL2611" t="s">
        <v>12460</v>
      </c>
      <c r="AM2611">
        <v>25000</v>
      </c>
      <c r="AS2611">
        <v>26</v>
      </c>
      <c r="AT2611" t="s">
        <v>324</v>
      </c>
      <c r="AU2611" t="s">
        <v>88</v>
      </c>
      <c r="AV2611" t="s">
        <v>13145</v>
      </c>
    </row>
    <row r="2612" spans="1:48">
      <c r="A2612" s="1">
        <f>HYPERLINK("https://cms.ls-nyc.org/matter/dynamic-profile/view/1894638","19-1894638")</f>
        <v>0</v>
      </c>
      <c r="B2612" t="s">
        <v>81</v>
      </c>
      <c r="C2612" t="s">
        <v>235</v>
      </c>
      <c r="E2612" t="s">
        <v>1819</v>
      </c>
      <c r="F2612" t="s">
        <v>2100</v>
      </c>
      <c r="G2612" t="s">
        <v>4346</v>
      </c>
      <c r="H2612" t="s">
        <v>5390</v>
      </c>
      <c r="I2612" t="s">
        <v>6043</v>
      </c>
      <c r="J2612">
        <v>11225</v>
      </c>
      <c r="K2612" t="s">
        <v>6074</v>
      </c>
      <c r="L2612" t="s">
        <v>6074</v>
      </c>
      <c r="N2612" t="s">
        <v>7282</v>
      </c>
      <c r="O2612" t="s">
        <v>7308</v>
      </c>
      <c r="Q2612" t="s">
        <v>7322</v>
      </c>
      <c r="R2612" t="s">
        <v>6074</v>
      </c>
      <c r="S2612" t="s">
        <v>7324</v>
      </c>
      <c r="U2612" t="s">
        <v>338</v>
      </c>
      <c r="V2612">
        <v>1928.63</v>
      </c>
      <c r="W2612" t="s">
        <v>7362</v>
      </c>
      <c r="Z2612" t="s">
        <v>9378</v>
      </c>
      <c r="AC2612">
        <v>0</v>
      </c>
      <c r="AF2612">
        <v>8</v>
      </c>
      <c r="AG2612">
        <v>1</v>
      </c>
      <c r="AH2612">
        <v>0</v>
      </c>
      <c r="AI2612">
        <v>200.16</v>
      </c>
      <c r="AL2612" t="s">
        <v>12460</v>
      </c>
      <c r="AM2612">
        <v>25000</v>
      </c>
      <c r="AS2612">
        <v>0</v>
      </c>
      <c r="AU2612" t="s">
        <v>88</v>
      </c>
      <c r="AV2612" t="s">
        <v>13145</v>
      </c>
    </row>
    <row r="2613" spans="1:48">
      <c r="A2613" s="1">
        <f>HYPERLINK("https://cms.ls-nyc.org/matter/dynamic-profile/view/1894656","19-1894656")</f>
        <v>0</v>
      </c>
      <c r="B2613" t="s">
        <v>81</v>
      </c>
      <c r="C2613" t="s">
        <v>235</v>
      </c>
      <c r="E2613" t="s">
        <v>1819</v>
      </c>
      <c r="F2613" t="s">
        <v>2100</v>
      </c>
      <c r="G2613" t="s">
        <v>4346</v>
      </c>
      <c r="H2613" t="s">
        <v>5390</v>
      </c>
      <c r="I2613" t="s">
        <v>6043</v>
      </c>
      <c r="J2613">
        <v>11225</v>
      </c>
      <c r="K2613" t="s">
        <v>6074</v>
      </c>
      <c r="L2613" t="s">
        <v>6074</v>
      </c>
      <c r="N2613" t="s">
        <v>7282</v>
      </c>
      <c r="O2613" t="s">
        <v>7308</v>
      </c>
      <c r="Q2613" t="s">
        <v>7322</v>
      </c>
      <c r="R2613" t="s">
        <v>6074</v>
      </c>
      <c r="S2613" t="s">
        <v>7324</v>
      </c>
      <c r="U2613" t="s">
        <v>338</v>
      </c>
      <c r="V2613">
        <v>1928.63</v>
      </c>
      <c r="W2613" t="s">
        <v>7362</v>
      </c>
      <c r="Z2613" t="s">
        <v>9378</v>
      </c>
      <c r="AC2613">
        <v>0</v>
      </c>
      <c r="AF2613">
        <v>8</v>
      </c>
      <c r="AG2613">
        <v>1</v>
      </c>
      <c r="AH2613">
        <v>0</v>
      </c>
      <c r="AI2613">
        <v>200.16</v>
      </c>
      <c r="AL2613" t="s">
        <v>12460</v>
      </c>
      <c r="AM2613">
        <v>25000</v>
      </c>
      <c r="AS2613">
        <v>0</v>
      </c>
      <c r="AU2613" t="s">
        <v>88</v>
      </c>
      <c r="AV2613" t="s">
        <v>13145</v>
      </c>
    </row>
    <row r="2614" spans="1:48">
      <c r="A2614" s="1">
        <f>HYPERLINK("https://cms.ls-nyc.org/matter/dynamic-profile/view/1895658","19-1895658")</f>
        <v>0</v>
      </c>
      <c r="B2614" t="s">
        <v>81</v>
      </c>
      <c r="C2614" t="s">
        <v>264</v>
      </c>
      <c r="E2614" t="s">
        <v>1819</v>
      </c>
      <c r="F2614" t="s">
        <v>2100</v>
      </c>
      <c r="G2614" t="s">
        <v>4346</v>
      </c>
      <c r="H2614" t="s">
        <v>5390</v>
      </c>
      <c r="I2614" t="s">
        <v>6043</v>
      </c>
      <c r="J2614">
        <v>11225</v>
      </c>
      <c r="K2614" t="s">
        <v>6074</v>
      </c>
      <c r="L2614" t="s">
        <v>6074</v>
      </c>
      <c r="N2614" t="s">
        <v>7282</v>
      </c>
      <c r="O2614" t="s">
        <v>7308</v>
      </c>
      <c r="Q2614" t="s">
        <v>7322</v>
      </c>
      <c r="R2614" t="s">
        <v>6074</v>
      </c>
      <c r="S2614" t="s">
        <v>7324</v>
      </c>
      <c r="U2614" t="s">
        <v>264</v>
      </c>
      <c r="V2614">
        <v>1928.63</v>
      </c>
      <c r="W2614" t="s">
        <v>7362</v>
      </c>
      <c r="Z2614" t="s">
        <v>9378</v>
      </c>
      <c r="AC2614">
        <v>0</v>
      </c>
      <c r="AF2614">
        <v>8</v>
      </c>
      <c r="AG2614">
        <v>1</v>
      </c>
      <c r="AH2614">
        <v>0</v>
      </c>
      <c r="AI2614">
        <v>200.16</v>
      </c>
      <c r="AL2614" t="s">
        <v>12460</v>
      </c>
      <c r="AM2614">
        <v>25000</v>
      </c>
      <c r="AS2614">
        <v>0</v>
      </c>
      <c r="AU2614" t="s">
        <v>88</v>
      </c>
    </row>
    <row r="2615" spans="1:48">
      <c r="A2615" s="1">
        <f>HYPERLINK("https://cms.ls-nyc.org/matter/dynamic-profile/view/1892034","19-1892034")</f>
        <v>0</v>
      </c>
      <c r="B2615" t="s">
        <v>77</v>
      </c>
      <c r="C2615" t="s">
        <v>329</v>
      </c>
      <c r="E2615" t="s">
        <v>1153</v>
      </c>
      <c r="F2615" t="s">
        <v>3350</v>
      </c>
      <c r="G2615" t="s">
        <v>5132</v>
      </c>
      <c r="H2615" t="s">
        <v>5903</v>
      </c>
      <c r="I2615" t="s">
        <v>6043</v>
      </c>
      <c r="J2615">
        <v>11212</v>
      </c>
      <c r="K2615" t="s">
        <v>6074</v>
      </c>
      <c r="L2615" t="s">
        <v>6074</v>
      </c>
      <c r="M2615" t="s">
        <v>7134</v>
      </c>
      <c r="N2615" t="s">
        <v>7276</v>
      </c>
      <c r="O2615" t="s">
        <v>7306</v>
      </c>
      <c r="Q2615" t="s">
        <v>7322</v>
      </c>
      <c r="R2615" t="s">
        <v>6076</v>
      </c>
      <c r="S2615" t="s">
        <v>7324</v>
      </c>
      <c r="U2615" t="s">
        <v>329</v>
      </c>
      <c r="V2615">
        <v>1049.49</v>
      </c>
      <c r="W2615" t="s">
        <v>7362</v>
      </c>
      <c r="X2615" t="s">
        <v>7368</v>
      </c>
      <c r="Z2615" t="s">
        <v>9379</v>
      </c>
      <c r="AB2615" t="s">
        <v>12055</v>
      </c>
      <c r="AC2615">
        <v>54</v>
      </c>
      <c r="AD2615" t="s">
        <v>12422</v>
      </c>
      <c r="AE2615" t="s">
        <v>6110</v>
      </c>
      <c r="AF2615">
        <v>15</v>
      </c>
      <c r="AG2615">
        <v>1</v>
      </c>
      <c r="AH2615">
        <v>0</v>
      </c>
      <c r="AI2615">
        <v>200.16</v>
      </c>
      <c r="AL2615" t="s">
        <v>12460</v>
      </c>
      <c r="AM2615">
        <v>25000</v>
      </c>
      <c r="AS2615">
        <v>1.25</v>
      </c>
      <c r="AT2615" t="s">
        <v>436</v>
      </c>
      <c r="AU2615" t="s">
        <v>180</v>
      </c>
    </row>
    <row r="2616" spans="1:48">
      <c r="A2616" s="1">
        <f>HYPERLINK("https://cms.ls-nyc.org/matter/dynamic-profile/view/1891952","19-1891952")</f>
        <v>0</v>
      </c>
      <c r="B2616" t="s">
        <v>64</v>
      </c>
      <c r="C2616" t="s">
        <v>329</v>
      </c>
      <c r="D2616" t="s">
        <v>317</v>
      </c>
      <c r="E2616" t="s">
        <v>1037</v>
      </c>
      <c r="F2616" t="s">
        <v>2258</v>
      </c>
      <c r="G2616" t="s">
        <v>5133</v>
      </c>
      <c r="H2616" t="s">
        <v>5446</v>
      </c>
      <c r="I2616" t="s">
        <v>6025</v>
      </c>
      <c r="J2616">
        <v>11691</v>
      </c>
      <c r="K2616" t="s">
        <v>6074</v>
      </c>
      <c r="L2616" t="s">
        <v>6074</v>
      </c>
      <c r="M2616" t="s">
        <v>7135</v>
      </c>
      <c r="N2616" t="s">
        <v>7276</v>
      </c>
      <c r="O2616" t="s">
        <v>7308</v>
      </c>
      <c r="P2616" t="s">
        <v>7316</v>
      </c>
      <c r="Q2616" t="s">
        <v>7322</v>
      </c>
      <c r="R2616" t="s">
        <v>6076</v>
      </c>
      <c r="S2616" t="s">
        <v>7324</v>
      </c>
      <c r="T2616" t="s">
        <v>7338</v>
      </c>
      <c r="U2616" t="s">
        <v>329</v>
      </c>
      <c r="V2616">
        <v>816</v>
      </c>
      <c r="W2616" t="s">
        <v>7361</v>
      </c>
      <c r="X2616" t="s">
        <v>7374</v>
      </c>
      <c r="Y2616" t="s">
        <v>7388</v>
      </c>
      <c r="Z2616" t="s">
        <v>9380</v>
      </c>
      <c r="AA2616" t="s">
        <v>9856</v>
      </c>
      <c r="AB2616" t="s">
        <v>12056</v>
      </c>
      <c r="AC2616">
        <v>53</v>
      </c>
      <c r="AD2616" t="s">
        <v>12420</v>
      </c>
      <c r="AE2616" t="s">
        <v>12434</v>
      </c>
      <c r="AF2616">
        <v>1</v>
      </c>
      <c r="AG2616">
        <v>1</v>
      </c>
      <c r="AH2616">
        <v>1</v>
      </c>
      <c r="AI2616">
        <v>200.26</v>
      </c>
      <c r="AL2616" t="s">
        <v>12460</v>
      </c>
      <c r="AM2616">
        <v>33864.48</v>
      </c>
      <c r="AO2616" t="s">
        <v>12846</v>
      </c>
      <c r="AP2616" t="s">
        <v>12858</v>
      </c>
      <c r="AQ2616" t="s">
        <v>12909</v>
      </c>
      <c r="AR2616" t="s">
        <v>12918</v>
      </c>
      <c r="AS2616">
        <v>4.35</v>
      </c>
      <c r="AT2616" t="s">
        <v>317</v>
      </c>
      <c r="AU2616" t="s">
        <v>64</v>
      </c>
    </row>
    <row r="2617" spans="1:48">
      <c r="A2617" s="1">
        <f>HYPERLINK("https://cms.ls-nyc.org/matter/dynamic-profile/view/1887309","19-1887309")</f>
        <v>0</v>
      </c>
      <c r="B2617" t="s">
        <v>90</v>
      </c>
      <c r="C2617" t="s">
        <v>267</v>
      </c>
      <c r="D2617" t="s">
        <v>267</v>
      </c>
      <c r="E2617" t="s">
        <v>1457</v>
      </c>
      <c r="F2617" t="s">
        <v>3351</v>
      </c>
      <c r="G2617" t="s">
        <v>5134</v>
      </c>
      <c r="H2617">
        <v>3</v>
      </c>
      <c r="I2617" t="s">
        <v>6043</v>
      </c>
      <c r="J2617">
        <v>11236</v>
      </c>
      <c r="K2617" t="s">
        <v>6074</v>
      </c>
      <c r="L2617" t="s">
        <v>6074</v>
      </c>
      <c r="M2617" t="s">
        <v>6081</v>
      </c>
      <c r="O2617" t="s">
        <v>7306</v>
      </c>
      <c r="P2617" t="s">
        <v>7314</v>
      </c>
      <c r="Q2617" t="s">
        <v>7322</v>
      </c>
      <c r="R2617" t="s">
        <v>6076</v>
      </c>
      <c r="S2617" t="s">
        <v>7326</v>
      </c>
      <c r="U2617" t="s">
        <v>462</v>
      </c>
      <c r="V2617">
        <v>0</v>
      </c>
      <c r="W2617" t="s">
        <v>7362</v>
      </c>
      <c r="X2617" t="s">
        <v>7375</v>
      </c>
      <c r="Y2617" t="s">
        <v>7386</v>
      </c>
      <c r="Z2617" t="s">
        <v>9381</v>
      </c>
      <c r="AB2617" t="s">
        <v>12057</v>
      </c>
      <c r="AC2617">
        <v>0</v>
      </c>
      <c r="AE2617" t="s">
        <v>6110</v>
      </c>
      <c r="AF2617">
        <v>1</v>
      </c>
      <c r="AG2617">
        <v>1</v>
      </c>
      <c r="AH2617">
        <v>1</v>
      </c>
      <c r="AI2617">
        <v>200.49</v>
      </c>
      <c r="AL2617" t="s">
        <v>12460</v>
      </c>
      <c r="AM2617">
        <v>33000</v>
      </c>
      <c r="AS2617">
        <v>0.2</v>
      </c>
      <c r="AT2617" t="s">
        <v>267</v>
      </c>
      <c r="AU2617" t="s">
        <v>180</v>
      </c>
    </row>
    <row r="2618" spans="1:48">
      <c r="A2618" s="1">
        <f>HYPERLINK("https://cms.ls-nyc.org/matter/dynamic-profile/view/1887009","19-1887009")</f>
        <v>0</v>
      </c>
      <c r="B2618" t="s">
        <v>126</v>
      </c>
      <c r="C2618" t="s">
        <v>410</v>
      </c>
      <c r="E2618" t="s">
        <v>1820</v>
      </c>
      <c r="F2618" t="s">
        <v>2142</v>
      </c>
      <c r="G2618" t="s">
        <v>5135</v>
      </c>
      <c r="H2618" t="s">
        <v>5439</v>
      </c>
      <c r="I2618" t="s">
        <v>6049</v>
      </c>
      <c r="J2618">
        <v>10029</v>
      </c>
      <c r="K2618" t="s">
        <v>6074</v>
      </c>
      <c r="L2618" t="s">
        <v>6074</v>
      </c>
      <c r="M2618" t="s">
        <v>7136</v>
      </c>
      <c r="N2618" t="s">
        <v>7276</v>
      </c>
      <c r="O2618" t="s">
        <v>7310</v>
      </c>
      <c r="Q2618" t="s">
        <v>7322</v>
      </c>
      <c r="R2618" t="s">
        <v>6076</v>
      </c>
      <c r="S2618" t="s">
        <v>7324</v>
      </c>
      <c r="T2618" t="s">
        <v>7336</v>
      </c>
      <c r="U2618" t="s">
        <v>292</v>
      </c>
      <c r="V2618">
        <v>832.3200000000001</v>
      </c>
      <c r="W2618" t="s">
        <v>7365</v>
      </c>
      <c r="X2618" t="s">
        <v>7368</v>
      </c>
      <c r="Z2618" t="s">
        <v>9382</v>
      </c>
      <c r="AB2618" t="s">
        <v>12058</v>
      </c>
      <c r="AC2618">
        <v>10</v>
      </c>
      <c r="AD2618" t="s">
        <v>12422</v>
      </c>
      <c r="AE2618" t="s">
        <v>6110</v>
      </c>
      <c r="AF2618">
        <v>3</v>
      </c>
      <c r="AG2618">
        <v>1</v>
      </c>
      <c r="AH2618">
        <v>1</v>
      </c>
      <c r="AI2618">
        <v>200.49</v>
      </c>
      <c r="AL2618" t="s">
        <v>12460</v>
      </c>
      <c r="AM2618">
        <v>33000</v>
      </c>
      <c r="AS2618">
        <v>2</v>
      </c>
      <c r="AT2618" t="s">
        <v>456</v>
      </c>
      <c r="AU2618" t="s">
        <v>13089</v>
      </c>
    </row>
    <row r="2619" spans="1:48">
      <c r="A2619" s="1">
        <f>HYPERLINK("https://cms.ls-nyc.org/matter/dynamic-profile/view/1891751","19-1891751")</f>
        <v>0</v>
      </c>
      <c r="B2619" t="s">
        <v>218</v>
      </c>
      <c r="C2619" t="s">
        <v>318</v>
      </c>
      <c r="E2619" t="s">
        <v>684</v>
      </c>
      <c r="F2619" t="s">
        <v>3352</v>
      </c>
      <c r="G2619" t="s">
        <v>5136</v>
      </c>
      <c r="I2619" t="s">
        <v>6043</v>
      </c>
      <c r="J2619">
        <v>11212</v>
      </c>
      <c r="K2619" t="s">
        <v>6074</v>
      </c>
      <c r="L2619" t="s">
        <v>6074</v>
      </c>
      <c r="O2619" t="s">
        <v>7308</v>
      </c>
      <c r="Q2619" t="s">
        <v>7322</v>
      </c>
      <c r="S2619" t="s">
        <v>7324</v>
      </c>
      <c r="U2619" t="s">
        <v>456</v>
      </c>
      <c r="V2619">
        <v>0</v>
      </c>
      <c r="W2619" t="s">
        <v>7362</v>
      </c>
      <c r="Z2619" t="s">
        <v>9383</v>
      </c>
      <c r="AC2619">
        <v>0</v>
      </c>
      <c r="AF2619">
        <v>0</v>
      </c>
      <c r="AG2619">
        <v>2</v>
      </c>
      <c r="AH2619">
        <v>0</v>
      </c>
      <c r="AI2619">
        <v>201.06</v>
      </c>
      <c r="AL2619" t="s">
        <v>12460</v>
      </c>
      <c r="AM2619">
        <v>34000</v>
      </c>
      <c r="AS2619">
        <v>0</v>
      </c>
      <c r="AU2619" t="s">
        <v>88</v>
      </c>
      <c r="AV2619" t="s">
        <v>6110</v>
      </c>
    </row>
    <row r="2620" spans="1:48">
      <c r="A2620" s="1">
        <f>HYPERLINK("https://cms.ls-nyc.org/matter/dynamic-profile/view/1899126","19-1899126")</f>
        <v>0</v>
      </c>
      <c r="B2620" t="s">
        <v>132</v>
      </c>
      <c r="C2620" t="s">
        <v>254</v>
      </c>
      <c r="E2620" t="s">
        <v>1821</v>
      </c>
      <c r="F2620" t="s">
        <v>3353</v>
      </c>
      <c r="G2620" t="s">
        <v>5137</v>
      </c>
      <c r="H2620" t="s">
        <v>5734</v>
      </c>
      <c r="I2620" t="s">
        <v>6049</v>
      </c>
      <c r="J2620">
        <v>10128</v>
      </c>
      <c r="K2620" t="s">
        <v>6076</v>
      </c>
      <c r="L2620" t="s">
        <v>6075</v>
      </c>
      <c r="N2620" t="s">
        <v>7278</v>
      </c>
      <c r="O2620" t="s">
        <v>7306</v>
      </c>
      <c r="Q2620" t="s">
        <v>7323</v>
      </c>
      <c r="R2620" t="s">
        <v>6076</v>
      </c>
      <c r="S2620" t="s">
        <v>7324</v>
      </c>
      <c r="U2620" t="s">
        <v>254</v>
      </c>
      <c r="V2620">
        <v>0</v>
      </c>
      <c r="W2620" t="s">
        <v>7365</v>
      </c>
      <c r="X2620" t="s">
        <v>7369</v>
      </c>
      <c r="Z2620" t="s">
        <v>9384</v>
      </c>
      <c r="AC2620">
        <v>0</v>
      </c>
      <c r="AD2620" t="s">
        <v>12422</v>
      </c>
      <c r="AE2620" t="s">
        <v>7305</v>
      </c>
      <c r="AF2620">
        <v>0</v>
      </c>
      <c r="AG2620">
        <v>1</v>
      </c>
      <c r="AH2620">
        <v>1</v>
      </c>
      <c r="AI2620">
        <v>201.06</v>
      </c>
      <c r="AL2620" t="s">
        <v>12460</v>
      </c>
      <c r="AM2620">
        <v>34000</v>
      </c>
      <c r="AS2620">
        <v>0</v>
      </c>
      <c r="AU2620" t="s">
        <v>13106</v>
      </c>
      <c r="AV2620" t="s">
        <v>6110</v>
      </c>
    </row>
    <row r="2621" spans="1:48">
      <c r="A2621" s="1">
        <f>HYPERLINK("https://cms.ls-nyc.org/matter/dynamic-profile/view/1887677","18-1887677")</f>
        <v>0</v>
      </c>
      <c r="B2621" t="s">
        <v>102</v>
      </c>
      <c r="C2621" t="s">
        <v>428</v>
      </c>
      <c r="E2621" t="s">
        <v>862</v>
      </c>
      <c r="F2621" t="s">
        <v>2291</v>
      </c>
      <c r="G2621" t="s">
        <v>3779</v>
      </c>
      <c r="H2621" t="s">
        <v>5679</v>
      </c>
      <c r="I2621" t="s">
        <v>6047</v>
      </c>
      <c r="J2621">
        <v>10460</v>
      </c>
      <c r="K2621" t="s">
        <v>6074</v>
      </c>
      <c r="L2621" t="s">
        <v>6074</v>
      </c>
      <c r="M2621" t="s">
        <v>6182</v>
      </c>
      <c r="N2621" t="s">
        <v>7273</v>
      </c>
      <c r="O2621" t="s">
        <v>7308</v>
      </c>
      <c r="Q2621" t="s">
        <v>7322</v>
      </c>
      <c r="R2621" t="s">
        <v>6074</v>
      </c>
      <c r="S2621" t="s">
        <v>7324</v>
      </c>
      <c r="U2621" t="s">
        <v>457</v>
      </c>
      <c r="V2621">
        <v>1018</v>
      </c>
      <c r="W2621" t="s">
        <v>7363</v>
      </c>
      <c r="X2621" t="s">
        <v>7376</v>
      </c>
      <c r="Z2621" t="s">
        <v>9385</v>
      </c>
      <c r="AB2621" t="s">
        <v>12059</v>
      </c>
      <c r="AC2621">
        <v>168</v>
      </c>
      <c r="AD2621" t="s">
        <v>12422</v>
      </c>
      <c r="AE2621" t="s">
        <v>12434</v>
      </c>
      <c r="AF2621">
        <v>14</v>
      </c>
      <c r="AG2621">
        <v>1</v>
      </c>
      <c r="AH2621">
        <v>1</v>
      </c>
      <c r="AI2621">
        <v>201.24</v>
      </c>
      <c r="AL2621" t="s">
        <v>12460</v>
      </c>
      <c r="AM2621">
        <v>33124</v>
      </c>
      <c r="AS2621">
        <v>1.5</v>
      </c>
      <c r="AT2621" t="s">
        <v>367</v>
      </c>
      <c r="AU2621" t="s">
        <v>13095</v>
      </c>
    </row>
    <row r="2622" spans="1:48">
      <c r="A2622" s="1">
        <f>HYPERLINK("https://cms.ls-nyc.org/matter/dynamic-profile/view/1890790","19-1890790")</f>
        <v>0</v>
      </c>
      <c r="B2622" t="s">
        <v>96</v>
      </c>
      <c r="C2622" t="s">
        <v>420</v>
      </c>
      <c r="E2622" t="s">
        <v>1822</v>
      </c>
      <c r="F2622" t="s">
        <v>3354</v>
      </c>
      <c r="G2622" t="s">
        <v>3792</v>
      </c>
      <c r="H2622" t="s">
        <v>5904</v>
      </c>
      <c r="I2622" t="s">
        <v>6047</v>
      </c>
      <c r="J2622">
        <v>10453</v>
      </c>
      <c r="K2622" t="s">
        <v>6074</v>
      </c>
      <c r="L2622" t="s">
        <v>6074</v>
      </c>
      <c r="N2622" t="s">
        <v>7279</v>
      </c>
      <c r="O2622" t="s">
        <v>7311</v>
      </c>
      <c r="Q2622" t="s">
        <v>7322</v>
      </c>
      <c r="R2622" t="s">
        <v>6074</v>
      </c>
      <c r="S2622" t="s">
        <v>7324</v>
      </c>
      <c r="U2622" t="s">
        <v>457</v>
      </c>
      <c r="V2622">
        <v>864</v>
      </c>
      <c r="W2622" t="s">
        <v>7363</v>
      </c>
      <c r="X2622" t="s">
        <v>7376</v>
      </c>
      <c r="Z2622" t="s">
        <v>9386</v>
      </c>
      <c r="AB2622" t="s">
        <v>12060</v>
      </c>
      <c r="AC2622">
        <v>170</v>
      </c>
      <c r="AD2622" t="s">
        <v>12422</v>
      </c>
      <c r="AE2622" t="s">
        <v>12441</v>
      </c>
      <c r="AF2622">
        <v>22</v>
      </c>
      <c r="AG2622">
        <v>1</v>
      </c>
      <c r="AH2622">
        <v>0</v>
      </c>
      <c r="AI2622">
        <v>201.76</v>
      </c>
      <c r="AL2622" t="s">
        <v>12460</v>
      </c>
      <c r="AM2622">
        <v>25200</v>
      </c>
      <c r="AS2622">
        <v>0</v>
      </c>
      <c r="AU2622" t="s">
        <v>13099</v>
      </c>
    </row>
    <row r="2623" spans="1:48">
      <c r="A2623" s="1">
        <f>HYPERLINK("https://cms.ls-nyc.org/matter/dynamic-profile/view/1890778","19-1890778")</f>
        <v>0</v>
      </c>
      <c r="B2623" t="s">
        <v>96</v>
      </c>
      <c r="C2623" t="s">
        <v>420</v>
      </c>
      <c r="E2623" t="s">
        <v>1822</v>
      </c>
      <c r="F2623" t="s">
        <v>3354</v>
      </c>
      <c r="G2623" t="s">
        <v>3792</v>
      </c>
      <c r="H2623" t="s">
        <v>5904</v>
      </c>
      <c r="I2623" t="s">
        <v>6047</v>
      </c>
      <c r="J2623">
        <v>10453</v>
      </c>
      <c r="K2623" t="s">
        <v>6074</v>
      </c>
      <c r="L2623" t="s">
        <v>6074</v>
      </c>
      <c r="M2623" t="s">
        <v>6259</v>
      </c>
      <c r="N2623" t="s">
        <v>7273</v>
      </c>
      <c r="O2623" t="s">
        <v>7308</v>
      </c>
      <c r="Q2623" t="s">
        <v>7322</v>
      </c>
      <c r="R2623" t="s">
        <v>6074</v>
      </c>
      <c r="S2623" t="s">
        <v>7324</v>
      </c>
      <c r="U2623" t="s">
        <v>457</v>
      </c>
      <c r="V2623">
        <v>864</v>
      </c>
      <c r="W2623" t="s">
        <v>7363</v>
      </c>
      <c r="X2623" t="s">
        <v>7376</v>
      </c>
      <c r="Z2623" t="s">
        <v>9386</v>
      </c>
      <c r="AB2623" t="s">
        <v>12060</v>
      </c>
      <c r="AC2623">
        <v>170</v>
      </c>
      <c r="AD2623" t="s">
        <v>12422</v>
      </c>
      <c r="AE2623" t="s">
        <v>12441</v>
      </c>
      <c r="AF2623">
        <v>22</v>
      </c>
      <c r="AG2623">
        <v>1</v>
      </c>
      <c r="AH2623">
        <v>0</v>
      </c>
      <c r="AI2623">
        <v>201.76</v>
      </c>
      <c r="AL2623" t="s">
        <v>12460</v>
      </c>
      <c r="AM2623">
        <v>25200</v>
      </c>
      <c r="AS2623">
        <v>0</v>
      </c>
      <c r="AU2623" t="s">
        <v>13099</v>
      </c>
    </row>
    <row r="2624" spans="1:48">
      <c r="A2624" s="1">
        <f>HYPERLINK("https://cms.ls-nyc.org/matter/dynamic-profile/view/1892214","19-1892214")</f>
        <v>0</v>
      </c>
      <c r="B2624" t="s">
        <v>89</v>
      </c>
      <c r="C2624" t="s">
        <v>359</v>
      </c>
      <c r="E2624" t="s">
        <v>1476</v>
      </c>
      <c r="F2624" t="s">
        <v>1017</v>
      </c>
      <c r="G2624" t="s">
        <v>4439</v>
      </c>
      <c r="H2624" t="s">
        <v>5564</v>
      </c>
      <c r="I2624" t="s">
        <v>6043</v>
      </c>
      <c r="J2624">
        <v>11213</v>
      </c>
      <c r="K2624" t="s">
        <v>6074</v>
      </c>
      <c r="L2624" t="s">
        <v>6074</v>
      </c>
      <c r="M2624" t="s">
        <v>7137</v>
      </c>
      <c r="N2624" t="s">
        <v>7273</v>
      </c>
      <c r="O2624" t="s">
        <v>7308</v>
      </c>
      <c r="Q2624" t="s">
        <v>7322</v>
      </c>
      <c r="R2624" t="s">
        <v>6074</v>
      </c>
      <c r="S2624" t="s">
        <v>7324</v>
      </c>
      <c r="T2624" t="s">
        <v>7336</v>
      </c>
      <c r="U2624" t="s">
        <v>331</v>
      </c>
      <c r="V2624">
        <v>1071.14</v>
      </c>
      <c r="W2624" t="s">
        <v>7362</v>
      </c>
      <c r="Z2624" t="s">
        <v>9387</v>
      </c>
      <c r="AC2624">
        <v>35</v>
      </c>
      <c r="AD2624" t="s">
        <v>12422</v>
      </c>
      <c r="AE2624" t="s">
        <v>6110</v>
      </c>
      <c r="AF2624">
        <v>19</v>
      </c>
      <c r="AG2624">
        <v>3</v>
      </c>
      <c r="AH2624">
        <v>1</v>
      </c>
      <c r="AI2624">
        <v>201.94</v>
      </c>
      <c r="AL2624" t="s">
        <v>12460</v>
      </c>
      <c r="AM2624">
        <v>52000</v>
      </c>
      <c r="AN2624" t="s">
        <v>12708</v>
      </c>
      <c r="AS2624">
        <v>0</v>
      </c>
      <c r="AU2624" t="s">
        <v>218</v>
      </c>
    </row>
    <row r="2625" spans="1:47">
      <c r="A2625" s="1">
        <f>HYPERLINK("https://cms.ls-nyc.org/matter/dynamic-profile/view/1897575","19-1897575")</f>
        <v>0</v>
      </c>
      <c r="B2625" t="s">
        <v>126</v>
      </c>
      <c r="C2625" t="s">
        <v>424</v>
      </c>
      <c r="E2625" t="s">
        <v>1033</v>
      </c>
      <c r="F2625" t="s">
        <v>2258</v>
      </c>
      <c r="G2625" t="s">
        <v>4479</v>
      </c>
      <c r="H2625" t="s">
        <v>5495</v>
      </c>
      <c r="I2625" t="s">
        <v>6049</v>
      </c>
      <c r="J2625">
        <v>10035</v>
      </c>
      <c r="K2625" t="s">
        <v>6074</v>
      </c>
      <c r="L2625" t="s">
        <v>6074</v>
      </c>
      <c r="N2625" t="s">
        <v>6104</v>
      </c>
      <c r="O2625" t="s">
        <v>7307</v>
      </c>
      <c r="Q2625" t="s">
        <v>7322</v>
      </c>
      <c r="R2625" t="s">
        <v>6074</v>
      </c>
      <c r="S2625" t="s">
        <v>7324</v>
      </c>
      <c r="T2625" t="s">
        <v>7336</v>
      </c>
      <c r="U2625" t="s">
        <v>279</v>
      </c>
      <c r="V2625">
        <v>985</v>
      </c>
      <c r="W2625" t="s">
        <v>7365</v>
      </c>
      <c r="X2625" t="s">
        <v>7375</v>
      </c>
      <c r="Z2625" t="s">
        <v>9388</v>
      </c>
      <c r="AB2625" t="s">
        <v>12061</v>
      </c>
      <c r="AC2625">
        <v>60</v>
      </c>
      <c r="AD2625" t="s">
        <v>12422</v>
      </c>
      <c r="AE2625" t="s">
        <v>6110</v>
      </c>
      <c r="AF2625">
        <v>10</v>
      </c>
      <c r="AG2625">
        <v>3</v>
      </c>
      <c r="AH2625">
        <v>1</v>
      </c>
      <c r="AI2625">
        <v>201.94</v>
      </c>
      <c r="AL2625" t="s">
        <v>12460</v>
      </c>
      <c r="AM2625">
        <v>52000</v>
      </c>
      <c r="AS2625">
        <v>0</v>
      </c>
      <c r="AU2625" t="s">
        <v>13107</v>
      </c>
    </row>
    <row r="2626" spans="1:47">
      <c r="A2626" s="1">
        <f>HYPERLINK("https://cms.ls-nyc.org/matter/dynamic-profile/view/1879751","18-1879751")</f>
        <v>0</v>
      </c>
      <c r="B2626" t="s">
        <v>219</v>
      </c>
      <c r="C2626" t="s">
        <v>282</v>
      </c>
      <c r="D2626" t="s">
        <v>435</v>
      </c>
      <c r="E2626" t="s">
        <v>1823</v>
      </c>
      <c r="F2626" t="s">
        <v>3355</v>
      </c>
      <c r="G2626" t="s">
        <v>5138</v>
      </c>
      <c r="H2626" t="s">
        <v>5418</v>
      </c>
      <c r="I2626" t="s">
        <v>6047</v>
      </c>
      <c r="J2626">
        <v>10461</v>
      </c>
      <c r="K2626" t="s">
        <v>6074</v>
      </c>
      <c r="L2626" t="s">
        <v>6074</v>
      </c>
      <c r="M2626" t="s">
        <v>7138</v>
      </c>
      <c r="N2626" t="s">
        <v>7276</v>
      </c>
      <c r="O2626" t="s">
        <v>7306</v>
      </c>
      <c r="P2626" t="s">
        <v>7314</v>
      </c>
      <c r="Q2626" t="s">
        <v>7322</v>
      </c>
      <c r="R2626" t="s">
        <v>6076</v>
      </c>
      <c r="S2626" t="s">
        <v>7324</v>
      </c>
      <c r="T2626" t="s">
        <v>7336</v>
      </c>
      <c r="U2626" t="s">
        <v>435</v>
      </c>
      <c r="V2626">
        <v>1600</v>
      </c>
      <c r="W2626" t="s">
        <v>7363</v>
      </c>
      <c r="X2626" t="s">
        <v>7366</v>
      </c>
      <c r="Y2626" t="s">
        <v>7386</v>
      </c>
      <c r="Z2626" t="s">
        <v>9389</v>
      </c>
      <c r="AA2626" t="s">
        <v>10281</v>
      </c>
      <c r="AB2626" t="s">
        <v>12062</v>
      </c>
      <c r="AC2626">
        <v>13</v>
      </c>
      <c r="AD2626" t="s">
        <v>12422</v>
      </c>
      <c r="AE2626" t="s">
        <v>6110</v>
      </c>
      <c r="AF2626">
        <v>1</v>
      </c>
      <c r="AG2626">
        <v>2</v>
      </c>
      <c r="AH2626">
        <v>1</v>
      </c>
      <c r="AI2626">
        <v>202.12</v>
      </c>
      <c r="AL2626" t="s">
        <v>12460</v>
      </c>
      <c r="AM2626">
        <v>42000</v>
      </c>
      <c r="AN2626" t="s">
        <v>12709</v>
      </c>
      <c r="AP2626" t="s">
        <v>12858</v>
      </c>
      <c r="AR2626" t="s">
        <v>13052</v>
      </c>
      <c r="AS2626">
        <v>1.2</v>
      </c>
      <c r="AT2626" t="s">
        <v>435</v>
      </c>
      <c r="AU2626" t="s">
        <v>13095</v>
      </c>
    </row>
    <row r="2627" spans="1:47">
      <c r="A2627" s="1">
        <f>HYPERLINK("https://cms.ls-nyc.org/matter/dynamic-profile/view/1875460","18-1875460")</f>
        <v>0</v>
      </c>
      <c r="B2627" t="s">
        <v>191</v>
      </c>
      <c r="C2627" t="s">
        <v>480</v>
      </c>
      <c r="D2627" t="s">
        <v>373</v>
      </c>
      <c r="E2627" t="s">
        <v>915</v>
      </c>
      <c r="F2627" t="s">
        <v>3356</v>
      </c>
      <c r="G2627" t="s">
        <v>5139</v>
      </c>
      <c r="H2627">
        <v>2</v>
      </c>
      <c r="I2627" t="s">
        <v>6047</v>
      </c>
      <c r="J2627">
        <v>10460</v>
      </c>
      <c r="K2627" t="s">
        <v>6074</v>
      </c>
      <c r="L2627" t="s">
        <v>6074</v>
      </c>
      <c r="M2627" t="s">
        <v>7139</v>
      </c>
      <c r="N2627" t="s">
        <v>7276</v>
      </c>
      <c r="O2627" t="s">
        <v>7308</v>
      </c>
      <c r="P2627" t="s">
        <v>7316</v>
      </c>
      <c r="Q2627" t="s">
        <v>7322</v>
      </c>
      <c r="R2627" t="s">
        <v>6076</v>
      </c>
      <c r="S2627" t="s">
        <v>7324</v>
      </c>
      <c r="T2627" t="s">
        <v>7337</v>
      </c>
      <c r="U2627" t="s">
        <v>502</v>
      </c>
      <c r="V2627">
        <v>1079</v>
      </c>
      <c r="W2627" t="s">
        <v>7363</v>
      </c>
      <c r="X2627" t="s">
        <v>7305</v>
      </c>
      <c r="Y2627" t="s">
        <v>7388</v>
      </c>
      <c r="Z2627" t="s">
        <v>9390</v>
      </c>
      <c r="AB2627" t="s">
        <v>12063</v>
      </c>
      <c r="AC2627">
        <v>26</v>
      </c>
      <c r="AD2627" t="s">
        <v>12422</v>
      </c>
      <c r="AE2627" t="s">
        <v>6110</v>
      </c>
      <c r="AF2627">
        <v>13</v>
      </c>
      <c r="AG2627">
        <v>3</v>
      </c>
      <c r="AH2627">
        <v>0</v>
      </c>
      <c r="AI2627">
        <v>202.12</v>
      </c>
      <c r="AJ2627" t="s">
        <v>411</v>
      </c>
      <c r="AK2627" t="s">
        <v>12456</v>
      </c>
      <c r="AL2627" t="s">
        <v>12460</v>
      </c>
      <c r="AM2627">
        <v>42000</v>
      </c>
      <c r="AN2627" t="s">
        <v>12710</v>
      </c>
      <c r="AO2627" t="s">
        <v>12850</v>
      </c>
      <c r="AP2627" t="s">
        <v>12904</v>
      </c>
      <c r="AQ2627" t="s">
        <v>12909</v>
      </c>
      <c r="AR2627" t="s">
        <v>13048</v>
      </c>
      <c r="AS2627">
        <v>9.300000000000001</v>
      </c>
      <c r="AT2627" t="s">
        <v>383</v>
      </c>
      <c r="AU2627" t="s">
        <v>13094</v>
      </c>
    </row>
    <row r="2628" spans="1:47">
      <c r="A2628" s="1">
        <f>HYPERLINK("https://cms.ls-nyc.org/matter/dynamic-profile/view/1887669","19-1887669")</f>
        <v>0</v>
      </c>
      <c r="B2628" t="s">
        <v>102</v>
      </c>
      <c r="C2628" t="s">
        <v>428</v>
      </c>
      <c r="E2628" t="s">
        <v>688</v>
      </c>
      <c r="F2628" t="s">
        <v>3357</v>
      </c>
      <c r="G2628" t="s">
        <v>3779</v>
      </c>
      <c r="H2628" t="s">
        <v>5357</v>
      </c>
      <c r="I2628" t="s">
        <v>6047</v>
      </c>
      <c r="J2628">
        <v>10460</v>
      </c>
      <c r="K2628" t="s">
        <v>6074</v>
      </c>
      <c r="L2628" t="s">
        <v>6075</v>
      </c>
      <c r="M2628" t="s">
        <v>6182</v>
      </c>
      <c r="N2628" t="s">
        <v>7273</v>
      </c>
      <c r="O2628" t="s">
        <v>7308</v>
      </c>
      <c r="Q2628" t="s">
        <v>7322</v>
      </c>
      <c r="R2628" t="s">
        <v>6074</v>
      </c>
      <c r="S2628" t="s">
        <v>7324</v>
      </c>
      <c r="U2628" t="s">
        <v>457</v>
      </c>
      <c r="V2628">
        <v>582</v>
      </c>
      <c r="W2628" t="s">
        <v>7363</v>
      </c>
      <c r="X2628" t="s">
        <v>7376</v>
      </c>
      <c r="Z2628" t="s">
        <v>9391</v>
      </c>
      <c r="AC2628">
        <v>168</v>
      </c>
      <c r="AE2628" t="s">
        <v>12434</v>
      </c>
      <c r="AF2628">
        <v>3</v>
      </c>
      <c r="AG2628">
        <v>1</v>
      </c>
      <c r="AH2628">
        <v>0</v>
      </c>
      <c r="AI2628">
        <v>202.44</v>
      </c>
      <c r="AL2628" t="s">
        <v>12460</v>
      </c>
      <c r="AM2628">
        <v>24576</v>
      </c>
      <c r="AS2628">
        <v>0</v>
      </c>
      <c r="AU2628" t="s">
        <v>13095</v>
      </c>
    </row>
    <row r="2629" spans="1:47">
      <c r="A2629" s="1">
        <f>HYPERLINK("https://cms.ls-nyc.org/matter/dynamic-profile/view/1875691","18-1875691")</f>
        <v>0</v>
      </c>
      <c r="B2629" t="s">
        <v>132</v>
      </c>
      <c r="C2629" t="s">
        <v>353</v>
      </c>
      <c r="D2629" t="s">
        <v>252</v>
      </c>
      <c r="E2629" t="s">
        <v>765</v>
      </c>
      <c r="F2629" t="s">
        <v>2512</v>
      </c>
      <c r="G2629" t="s">
        <v>5140</v>
      </c>
      <c r="H2629" t="s">
        <v>5857</v>
      </c>
      <c r="I2629" t="s">
        <v>6049</v>
      </c>
      <c r="J2629">
        <v>10040</v>
      </c>
      <c r="K2629" t="s">
        <v>6074</v>
      </c>
      <c r="L2629" t="s">
        <v>6074</v>
      </c>
      <c r="M2629" t="s">
        <v>7140</v>
      </c>
      <c r="N2629" t="s">
        <v>7276</v>
      </c>
      <c r="O2629" t="s">
        <v>7308</v>
      </c>
      <c r="P2629" t="s">
        <v>7316</v>
      </c>
      <c r="Q2629" t="s">
        <v>7322</v>
      </c>
      <c r="R2629" t="s">
        <v>6076</v>
      </c>
      <c r="S2629" t="s">
        <v>7324</v>
      </c>
      <c r="U2629" t="s">
        <v>353</v>
      </c>
      <c r="V2629">
        <v>874.96</v>
      </c>
      <c r="W2629" t="s">
        <v>7365</v>
      </c>
      <c r="X2629" t="s">
        <v>7367</v>
      </c>
      <c r="Y2629" t="s">
        <v>7388</v>
      </c>
      <c r="Z2629" t="s">
        <v>9392</v>
      </c>
      <c r="AB2629" t="s">
        <v>12064</v>
      </c>
      <c r="AC2629">
        <v>116</v>
      </c>
      <c r="AD2629" t="s">
        <v>12422</v>
      </c>
      <c r="AE2629" t="s">
        <v>12441</v>
      </c>
      <c r="AF2629">
        <v>47</v>
      </c>
      <c r="AG2629">
        <v>1</v>
      </c>
      <c r="AH2629">
        <v>0</v>
      </c>
      <c r="AI2629">
        <v>202.64</v>
      </c>
      <c r="AJ2629" t="s">
        <v>354</v>
      </c>
      <c r="AK2629" t="s">
        <v>12456</v>
      </c>
      <c r="AL2629" t="s">
        <v>12460</v>
      </c>
      <c r="AM2629">
        <v>24600</v>
      </c>
      <c r="AS2629">
        <v>33</v>
      </c>
      <c r="AT2629" t="s">
        <v>234</v>
      </c>
      <c r="AU2629" t="s">
        <v>13106</v>
      </c>
    </row>
    <row r="2630" spans="1:47">
      <c r="A2630" s="1">
        <f>HYPERLINK("https://cms.ls-nyc.org/matter/dynamic-profile/view/1876504","18-1876504")</f>
        <v>0</v>
      </c>
      <c r="B2630" t="s">
        <v>72</v>
      </c>
      <c r="C2630" t="s">
        <v>401</v>
      </c>
      <c r="E2630" t="s">
        <v>679</v>
      </c>
      <c r="F2630" t="s">
        <v>3342</v>
      </c>
      <c r="G2630" t="s">
        <v>5036</v>
      </c>
      <c r="H2630">
        <v>24</v>
      </c>
      <c r="I2630" t="s">
        <v>6043</v>
      </c>
      <c r="J2630">
        <v>11213</v>
      </c>
      <c r="K2630" t="s">
        <v>6074</v>
      </c>
      <c r="L2630" t="s">
        <v>6074</v>
      </c>
      <c r="M2630" t="s">
        <v>6147</v>
      </c>
      <c r="N2630" t="s">
        <v>7273</v>
      </c>
      <c r="O2630" t="s">
        <v>7308</v>
      </c>
      <c r="Q2630" t="s">
        <v>7322</v>
      </c>
      <c r="R2630" t="s">
        <v>6074</v>
      </c>
      <c r="S2630" t="s">
        <v>7324</v>
      </c>
      <c r="U2630" t="s">
        <v>253</v>
      </c>
      <c r="V2630">
        <v>917</v>
      </c>
      <c r="W2630" t="s">
        <v>7362</v>
      </c>
      <c r="X2630" t="s">
        <v>7376</v>
      </c>
      <c r="Z2630" t="s">
        <v>9365</v>
      </c>
      <c r="AB2630" t="s">
        <v>12041</v>
      </c>
      <c r="AC2630">
        <v>31</v>
      </c>
      <c r="AD2630" t="s">
        <v>12422</v>
      </c>
      <c r="AE2630" t="s">
        <v>6110</v>
      </c>
      <c r="AF2630">
        <v>18</v>
      </c>
      <c r="AG2630">
        <v>3</v>
      </c>
      <c r="AH2630">
        <v>0</v>
      </c>
      <c r="AI2630">
        <v>203.08</v>
      </c>
      <c r="AJ2630" t="s">
        <v>329</v>
      </c>
      <c r="AK2630" t="s">
        <v>12456</v>
      </c>
      <c r="AL2630" t="s">
        <v>12460</v>
      </c>
      <c r="AM2630">
        <v>42200</v>
      </c>
      <c r="AS2630">
        <v>400.05</v>
      </c>
      <c r="AT2630" t="s">
        <v>460</v>
      </c>
      <c r="AU2630" t="s">
        <v>218</v>
      </c>
    </row>
    <row r="2631" spans="1:47">
      <c r="A2631" s="1">
        <f>HYPERLINK("https://cms.ls-nyc.org/matter/dynamic-profile/view/1860824","18-1860824")</f>
        <v>0</v>
      </c>
      <c r="B2631" t="s">
        <v>94</v>
      </c>
      <c r="C2631" t="s">
        <v>531</v>
      </c>
      <c r="D2631" t="s">
        <v>344</v>
      </c>
      <c r="E2631" t="s">
        <v>1061</v>
      </c>
      <c r="F2631" t="s">
        <v>3358</v>
      </c>
      <c r="G2631" t="s">
        <v>5141</v>
      </c>
      <c r="H2631" t="s">
        <v>5905</v>
      </c>
      <c r="I2631" t="s">
        <v>6037</v>
      </c>
      <c r="J2631">
        <v>11372</v>
      </c>
      <c r="K2631" t="s">
        <v>6074</v>
      </c>
      <c r="L2631" t="s">
        <v>6074</v>
      </c>
      <c r="M2631" t="s">
        <v>6204</v>
      </c>
      <c r="N2631" t="s">
        <v>7275</v>
      </c>
      <c r="O2631" t="s">
        <v>7309</v>
      </c>
      <c r="P2631" t="s">
        <v>7315</v>
      </c>
      <c r="Q2631" t="s">
        <v>7322</v>
      </c>
      <c r="R2631" t="s">
        <v>6074</v>
      </c>
      <c r="S2631" t="s">
        <v>7326</v>
      </c>
      <c r="T2631" t="s">
        <v>7336</v>
      </c>
      <c r="U2631" t="s">
        <v>355</v>
      </c>
      <c r="V2631">
        <v>2350</v>
      </c>
      <c r="W2631" t="s">
        <v>7361</v>
      </c>
      <c r="X2631" t="s">
        <v>7371</v>
      </c>
      <c r="Y2631" t="s">
        <v>7390</v>
      </c>
      <c r="Z2631" t="s">
        <v>9393</v>
      </c>
      <c r="AA2631" t="s">
        <v>6101</v>
      </c>
      <c r="AB2631" t="s">
        <v>12065</v>
      </c>
      <c r="AC2631">
        <v>60</v>
      </c>
      <c r="AD2631" t="s">
        <v>6322</v>
      </c>
      <c r="AE2631" t="s">
        <v>6110</v>
      </c>
      <c r="AF2631">
        <v>11</v>
      </c>
      <c r="AG2631">
        <v>2</v>
      </c>
      <c r="AH2631">
        <v>3</v>
      </c>
      <c r="AI2631">
        <v>203.94</v>
      </c>
      <c r="AJ2631" t="s">
        <v>510</v>
      </c>
      <c r="AK2631" t="s">
        <v>12456</v>
      </c>
      <c r="AL2631" t="s">
        <v>12460</v>
      </c>
      <c r="AM2631">
        <v>60000</v>
      </c>
      <c r="AO2631" t="s">
        <v>12847</v>
      </c>
      <c r="AP2631" t="s">
        <v>12858</v>
      </c>
      <c r="AQ2631" t="s">
        <v>12909</v>
      </c>
      <c r="AR2631" t="s">
        <v>13006</v>
      </c>
      <c r="AS2631">
        <v>28.25</v>
      </c>
      <c r="AT2631" t="s">
        <v>301</v>
      </c>
      <c r="AU2631" t="s">
        <v>189</v>
      </c>
    </row>
    <row r="2632" spans="1:47">
      <c r="A2632" s="1">
        <f>HYPERLINK("https://cms.ls-nyc.org/matter/dynamic-profile/view/1880157","18-1880157")</f>
        <v>0</v>
      </c>
      <c r="B2632" t="s">
        <v>94</v>
      </c>
      <c r="C2632" t="s">
        <v>391</v>
      </c>
      <c r="E2632" t="s">
        <v>1061</v>
      </c>
      <c r="F2632" t="s">
        <v>3358</v>
      </c>
      <c r="G2632" t="s">
        <v>5141</v>
      </c>
      <c r="H2632" t="s">
        <v>5905</v>
      </c>
      <c r="I2632" t="s">
        <v>6037</v>
      </c>
      <c r="J2632">
        <v>11372</v>
      </c>
      <c r="K2632" t="s">
        <v>6074</v>
      </c>
      <c r="L2632" t="s">
        <v>6074</v>
      </c>
      <c r="M2632" t="s">
        <v>7141</v>
      </c>
      <c r="N2632" t="s">
        <v>7276</v>
      </c>
      <c r="O2632" t="s">
        <v>7308</v>
      </c>
      <c r="Q2632" t="s">
        <v>7322</v>
      </c>
      <c r="R2632" t="s">
        <v>6076</v>
      </c>
      <c r="S2632" t="s">
        <v>7324</v>
      </c>
      <c r="T2632" t="s">
        <v>7336</v>
      </c>
      <c r="U2632" t="s">
        <v>333</v>
      </c>
      <c r="V2632">
        <v>2350</v>
      </c>
      <c r="W2632" t="s">
        <v>7361</v>
      </c>
      <c r="X2632" t="s">
        <v>7368</v>
      </c>
      <c r="Z2632" t="s">
        <v>9393</v>
      </c>
      <c r="AB2632" t="s">
        <v>12065</v>
      </c>
      <c r="AC2632">
        <v>60</v>
      </c>
      <c r="AD2632" t="s">
        <v>12430</v>
      </c>
      <c r="AE2632" t="s">
        <v>6110</v>
      </c>
      <c r="AF2632">
        <v>11</v>
      </c>
      <c r="AG2632">
        <v>2</v>
      </c>
      <c r="AH2632">
        <v>3</v>
      </c>
      <c r="AI2632">
        <v>203.94</v>
      </c>
      <c r="AJ2632" t="s">
        <v>492</v>
      </c>
      <c r="AK2632" t="s">
        <v>12456</v>
      </c>
      <c r="AL2632" t="s">
        <v>12460</v>
      </c>
      <c r="AM2632">
        <v>60000</v>
      </c>
      <c r="AO2632" t="s">
        <v>12847</v>
      </c>
      <c r="AP2632" t="s">
        <v>12858</v>
      </c>
      <c r="AQ2632" t="s">
        <v>12909</v>
      </c>
      <c r="AR2632" t="s">
        <v>13006</v>
      </c>
      <c r="AS2632">
        <v>19.9</v>
      </c>
      <c r="AT2632" t="s">
        <v>457</v>
      </c>
      <c r="AU2632" t="s">
        <v>189</v>
      </c>
    </row>
    <row r="2633" spans="1:47">
      <c r="A2633" s="1">
        <f>HYPERLINK("https://cms.ls-nyc.org/matter/dynamic-profile/view/1897574","19-1897574")</f>
        <v>0</v>
      </c>
      <c r="B2633" t="s">
        <v>69</v>
      </c>
      <c r="C2633" t="s">
        <v>424</v>
      </c>
      <c r="E2633" t="s">
        <v>1824</v>
      </c>
      <c r="F2633" t="s">
        <v>3359</v>
      </c>
      <c r="G2633" t="s">
        <v>5142</v>
      </c>
      <c r="H2633" t="s">
        <v>5438</v>
      </c>
      <c r="I2633" t="s">
        <v>6043</v>
      </c>
      <c r="J2633">
        <v>11226</v>
      </c>
      <c r="K2633" t="s">
        <v>6074</v>
      </c>
      <c r="L2633" t="s">
        <v>6075</v>
      </c>
      <c r="O2633" t="s">
        <v>7309</v>
      </c>
      <c r="Q2633" t="s">
        <v>7322</v>
      </c>
      <c r="S2633" t="s">
        <v>7324</v>
      </c>
      <c r="U2633" t="s">
        <v>424</v>
      </c>
      <c r="V2633">
        <v>0</v>
      </c>
      <c r="W2633" t="s">
        <v>7362</v>
      </c>
      <c r="Z2633" t="s">
        <v>9394</v>
      </c>
      <c r="AC2633">
        <v>0</v>
      </c>
      <c r="AF2633">
        <v>0</v>
      </c>
      <c r="AG2633">
        <v>2</v>
      </c>
      <c r="AH2633">
        <v>0</v>
      </c>
      <c r="AI2633">
        <v>204.8</v>
      </c>
      <c r="AL2633" t="s">
        <v>12460</v>
      </c>
      <c r="AM2633">
        <v>34632</v>
      </c>
      <c r="AS2633">
        <v>3.7</v>
      </c>
      <c r="AT2633" t="s">
        <v>254</v>
      </c>
      <c r="AU2633" t="s">
        <v>69</v>
      </c>
    </row>
    <row r="2634" spans="1:47">
      <c r="A2634" s="1">
        <f>HYPERLINK("https://cms.ls-nyc.org/matter/dynamic-profile/view/1857511","18-1857511")</f>
        <v>0</v>
      </c>
      <c r="B2634" t="s">
        <v>101</v>
      </c>
      <c r="C2634" t="s">
        <v>476</v>
      </c>
      <c r="E2634" t="s">
        <v>1825</v>
      </c>
      <c r="F2634" t="s">
        <v>3360</v>
      </c>
      <c r="G2634" t="s">
        <v>4161</v>
      </c>
      <c r="H2634" t="s">
        <v>5906</v>
      </c>
      <c r="I2634" t="s">
        <v>6047</v>
      </c>
      <c r="J2634">
        <v>10452</v>
      </c>
      <c r="K2634" t="s">
        <v>6074</v>
      </c>
      <c r="L2634" t="s">
        <v>6074</v>
      </c>
      <c r="M2634" t="s">
        <v>6537</v>
      </c>
      <c r="N2634" t="s">
        <v>7285</v>
      </c>
      <c r="O2634" t="s">
        <v>7311</v>
      </c>
      <c r="Q2634" t="s">
        <v>7322</v>
      </c>
      <c r="R2634" t="s">
        <v>6074</v>
      </c>
      <c r="S2634" t="s">
        <v>7324</v>
      </c>
      <c r="U2634" t="s">
        <v>502</v>
      </c>
      <c r="V2634">
        <v>766.61</v>
      </c>
      <c r="W2634" t="s">
        <v>7363</v>
      </c>
      <c r="X2634" t="s">
        <v>7376</v>
      </c>
      <c r="Z2634" t="s">
        <v>9395</v>
      </c>
      <c r="AB2634" t="s">
        <v>12066</v>
      </c>
      <c r="AC2634">
        <v>122</v>
      </c>
      <c r="AD2634" t="s">
        <v>12422</v>
      </c>
      <c r="AE2634" t="s">
        <v>6110</v>
      </c>
      <c r="AF2634">
        <v>24</v>
      </c>
      <c r="AG2634">
        <v>2</v>
      </c>
      <c r="AH2634">
        <v>5</v>
      </c>
      <c r="AI2634">
        <v>204.94</v>
      </c>
      <c r="AL2634" t="s">
        <v>12460</v>
      </c>
      <c r="AM2634">
        <v>78000</v>
      </c>
      <c r="AN2634" t="s">
        <v>12711</v>
      </c>
      <c r="AS2634">
        <v>0.25</v>
      </c>
      <c r="AT2634" t="s">
        <v>498</v>
      </c>
      <c r="AU2634" t="s">
        <v>13099</v>
      </c>
    </row>
    <row r="2635" spans="1:47">
      <c r="A2635" s="1">
        <f>HYPERLINK("https://cms.ls-nyc.org/matter/dynamic-profile/view/1877294","18-1877294")</f>
        <v>0</v>
      </c>
      <c r="B2635" t="s">
        <v>166</v>
      </c>
      <c r="C2635" t="s">
        <v>409</v>
      </c>
      <c r="E2635" t="s">
        <v>1121</v>
      </c>
      <c r="F2635" t="s">
        <v>3361</v>
      </c>
      <c r="G2635" t="s">
        <v>5143</v>
      </c>
      <c r="H2635" t="s">
        <v>5436</v>
      </c>
      <c r="I2635" t="s">
        <v>6047</v>
      </c>
      <c r="J2635">
        <v>10452</v>
      </c>
      <c r="K2635" t="s">
        <v>6074</v>
      </c>
      <c r="L2635" t="s">
        <v>6074</v>
      </c>
      <c r="M2635" t="s">
        <v>7142</v>
      </c>
      <c r="N2635" t="s">
        <v>7276</v>
      </c>
      <c r="O2635" t="s">
        <v>7308</v>
      </c>
      <c r="Q2635" t="s">
        <v>7322</v>
      </c>
      <c r="R2635" t="s">
        <v>6076</v>
      </c>
      <c r="S2635" t="s">
        <v>7324</v>
      </c>
      <c r="T2635" t="s">
        <v>7339</v>
      </c>
      <c r="U2635" t="s">
        <v>409</v>
      </c>
      <c r="V2635">
        <v>1405.42</v>
      </c>
      <c r="W2635" t="s">
        <v>7363</v>
      </c>
      <c r="X2635" t="s">
        <v>7373</v>
      </c>
      <c r="Z2635" t="s">
        <v>9396</v>
      </c>
      <c r="AB2635" t="s">
        <v>12067</v>
      </c>
      <c r="AC2635">
        <v>129</v>
      </c>
      <c r="AD2635" t="s">
        <v>12422</v>
      </c>
      <c r="AE2635" t="s">
        <v>6110</v>
      </c>
      <c r="AF2635">
        <v>7</v>
      </c>
      <c r="AG2635">
        <v>4</v>
      </c>
      <c r="AH2635">
        <v>1</v>
      </c>
      <c r="AI2635">
        <v>205.3</v>
      </c>
      <c r="AJ2635" t="s">
        <v>354</v>
      </c>
      <c r="AK2635" t="s">
        <v>12456</v>
      </c>
      <c r="AL2635" t="s">
        <v>12460</v>
      </c>
      <c r="AM2635">
        <v>60400</v>
      </c>
      <c r="AN2635" t="s">
        <v>12531</v>
      </c>
      <c r="AO2635" t="s">
        <v>12853</v>
      </c>
      <c r="AP2635" t="s">
        <v>12905</v>
      </c>
      <c r="AQ2635" t="s">
        <v>12909</v>
      </c>
      <c r="AR2635" t="s">
        <v>13053</v>
      </c>
      <c r="AS2635">
        <v>43.7</v>
      </c>
      <c r="AT2635" t="s">
        <v>343</v>
      </c>
      <c r="AU2635" t="s">
        <v>13094</v>
      </c>
    </row>
    <row r="2636" spans="1:47">
      <c r="A2636" s="1">
        <f>HYPERLINK("https://cms.ls-nyc.org/matter/dynamic-profile/view/1875578","18-1875578")</f>
        <v>0</v>
      </c>
      <c r="B2636" t="s">
        <v>72</v>
      </c>
      <c r="C2636" t="s">
        <v>233</v>
      </c>
      <c r="D2636" t="s">
        <v>337</v>
      </c>
      <c r="E2636" t="s">
        <v>1204</v>
      </c>
      <c r="F2636" t="s">
        <v>2083</v>
      </c>
      <c r="G2636" t="s">
        <v>5144</v>
      </c>
      <c r="H2636" t="s">
        <v>5788</v>
      </c>
      <c r="I2636" t="s">
        <v>6043</v>
      </c>
      <c r="J2636">
        <v>11212</v>
      </c>
      <c r="K2636" t="s">
        <v>6074</v>
      </c>
      <c r="L2636" t="s">
        <v>6074</v>
      </c>
      <c r="M2636" t="s">
        <v>7143</v>
      </c>
      <c r="N2636" t="s">
        <v>7274</v>
      </c>
      <c r="O2636" t="s">
        <v>7308</v>
      </c>
      <c r="P2636" t="s">
        <v>7316</v>
      </c>
      <c r="Q2636" t="s">
        <v>7322</v>
      </c>
      <c r="R2636" t="s">
        <v>6076</v>
      </c>
      <c r="S2636" t="s">
        <v>7324</v>
      </c>
      <c r="U2636" t="s">
        <v>233</v>
      </c>
      <c r="V2636">
        <v>1116.59</v>
      </c>
      <c r="W2636" t="s">
        <v>7362</v>
      </c>
      <c r="X2636" t="s">
        <v>7305</v>
      </c>
      <c r="Y2636" t="s">
        <v>7388</v>
      </c>
      <c r="Z2636" t="s">
        <v>9397</v>
      </c>
      <c r="AB2636" t="s">
        <v>12068</v>
      </c>
      <c r="AC2636">
        <v>0</v>
      </c>
      <c r="AD2636" t="s">
        <v>12422</v>
      </c>
      <c r="AF2636">
        <v>25</v>
      </c>
      <c r="AG2636">
        <v>4</v>
      </c>
      <c r="AH2636">
        <v>0</v>
      </c>
      <c r="AI2636">
        <v>205.34</v>
      </c>
      <c r="AJ2636" t="s">
        <v>354</v>
      </c>
      <c r="AK2636" t="s">
        <v>12456</v>
      </c>
      <c r="AL2636" t="s">
        <v>12460</v>
      </c>
      <c r="AM2636">
        <v>51540</v>
      </c>
      <c r="AS2636">
        <v>17.2</v>
      </c>
      <c r="AT2636" t="s">
        <v>366</v>
      </c>
      <c r="AU2636" t="s">
        <v>72</v>
      </c>
    </row>
    <row r="2637" spans="1:47">
      <c r="A2637" s="1">
        <f>HYPERLINK("https://cms.ls-nyc.org/matter/dynamic-profile/view/1888142","19-1888142")</f>
        <v>0</v>
      </c>
      <c r="B2637" t="s">
        <v>83</v>
      </c>
      <c r="C2637" t="s">
        <v>466</v>
      </c>
      <c r="D2637" t="s">
        <v>564</v>
      </c>
      <c r="E2637" t="s">
        <v>1826</v>
      </c>
      <c r="F2637" t="s">
        <v>2173</v>
      </c>
      <c r="G2637" t="s">
        <v>5145</v>
      </c>
      <c r="H2637">
        <v>2</v>
      </c>
      <c r="I2637" t="s">
        <v>6043</v>
      </c>
      <c r="J2637">
        <v>11226</v>
      </c>
      <c r="K2637" t="s">
        <v>6074</v>
      </c>
      <c r="L2637" t="s">
        <v>6074</v>
      </c>
      <c r="M2637" t="s">
        <v>7144</v>
      </c>
      <c r="N2637" t="s">
        <v>7276</v>
      </c>
      <c r="O2637" t="s">
        <v>7308</v>
      </c>
      <c r="P2637" t="s">
        <v>7316</v>
      </c>
      <c r="Q2637" t="s">
        <v>7322</v>
      </c>
      <c r="R2637" t="s">
        <v>6076</v>
      </c>
      <c r="S2637" t="s">
        <v>7324</v>
      </c>
      <c r="T2637" t="s">
        <v>7337</v>
      </c>
      <c r="U2637" t="s">
        <v>390</v>
      </c>
      <c r="V2637">
        <v>1287.2</v>
      </c>
      <c r="W2637" t="s">
        <v>7362</v>
      </c>
      <c r="Y2637" t="s">
        <v>7388</v>
      </c>
      <c r="AC2637">
        <v>16</v>
      </c>
      <c r="AD2637" t="s">
        <v>12422</v>
      </c>
      <c r="AF2637">
        <v>0</v>
      </c>
      <c r="AG2637">
        <v>2</v>
      </c>
      <c r="AH2637">
        <v>0</v>
      </c>
      <c r="AI2637">
        <v>205.35</v>
      </c>
      <c r="AL2637" t="s">
        <v>12461</v>
      </c>
      <c r="AM2637">
        <v>33800</v>
      </c>
      <c r="AO2637" t="s">
        <v>12847</v>
      </c>
      <c r="AS2637">
        <v>12.6</v>
      </c>
      <c r="AT2637" t="s">
        <v>564</v>
      </c>
      <c r="AU2637" t="s">
        <v>88</v>
      </c>
    </row>
    <row r="2638" spans="1:47">
      <c r="A2638" s="1">
        <f>HYPERLINK("https://cms.ls-nyc.org/matter/dynamic-profile/view/1879892","18-1879892")</f>
        <v>0</v>
      </c>
      <c r="B2638" t="s">
        <v>133</v>
      </c>
      <c r="C2638" t="s">
        <v>271</v>
      </c>
      <c r="E2638" t="s">
        <v>767</v>
      </c>
      <c r="F2638" t="s">
        <v>2488</v>
      </c>
      <c r="G2638" t="s">
        <v>4128</v>
      </c>
      <c r="H2638" t="s">
        <v>5411</v>
      </c>
      <c r="I2638" t="s">
        <v>6049</v>
      </c>
      <c r="J2638">
        <v>10040</v>
      </c>
      <c r="K2638" t="s">
        <v>6074</v>
      </c>
      <c r="L2638" t="s">
        <v>6074</v>
      </c>
      <c r="N2638" t="s">
        <v>7279</v>
      </c>
      <c r="O2638" t="s">
        <v>7308</v>
      </c>
      <c r="Q2638" t="s">
        <v>7322</v>
      </c>
      <c r="R2638" t="s">
        <v>6074</v>
      </c>
      <c r="S2638" t="s">
        <v>7324</v>
      </c>
      <c r="U2638" t="s">
        <v>271</v>
      </c>
      <c r="V2638">
        <v>1269.44</v>
      </c>
      <c r="W2638" t="s">
        <v>7365</v>
      </c>
      <c r="X2638" t="s">
        <v>7368</v>
      </c>
      <c r="Z2638" t="s">
        <v>9398</v>
      </c>
      <c r="AB2638" t="s">
        <v>12069</v>
      </c>
      <c r="AC2638">
        <v>88</v>
      </c>
      <c r="AD2638" t="s">
        <v>12422</v>
      </c>
      <c r="AE2638" t="s">
        <v>6110</v>
      </c>
      <c r="AF2638">
        <v>24</v>
      </c>
      <c r="AG2638">
        <v>2</v>
      </c>
      <c r="AH2638">
        <v>0</v>
      </c>
      <c r="AI2638">
        <v>205.35</v>
      </c>
      <c r="AL2638" t="s">
        <v>12461</v>
      </c>
      <c r="AM2638">
        <v>33800</v>
      </c>
      <c r="AS2638">
        <v>0</v>
      </c>
      <c r="AU2638" t="s">
        <v>13106</v>
      </c>
    </row>
    <row r="2639" spans="1:47">
      <c r="A2639" s="1">
        <f>HYPERLINK("https://cms.ls-nyc.org/matter/dynamic-profile/view/1884361","18-1884361")</f>
        <v>0</v>
      </c>
      <c r="B2639" t="s">
        <v>68</v>
      </c>
      <c r="C2639" t="s">
        <v>297</v>
      </c>
      <c r="D2639" t="s">
        <v>344</v>
      </c>
      <c r="E2639" t="s">
        <v>1827</v>
      </c>
      <c r="F2639" t="s">
        <v>3362</v>
      </c>
      <c r="G2639" t="s">
        <v>5146</v>
      </c>
      <c r="H2639" t="s">
        <v>5907</v>
      </c>
      <c r="I2639" t="s">
        <v>6043</v>
      </c>
      <c r="J2639">
        <v>11208</v>
      </c>
      <c r="K2639" t="s">
        <v>6074</v>
      </c>
      <c r="L2639" t="s">
        <v>6074</v>
      </c>
      <c r="M2639" t="s">
        <v>7145</v>
      </c>
      <c r="N2639" t="s">
        <v>7276</v>
      </c>
      <c r="O2639" t="s">
        <v>7307</v>
      </c>
      <c r="P2639" t="s">
        <v>7314</v>
      </c>
      <c r="Q2639" t="s">
        <v>7322</v>
      </c>
      <c r="S2639" t="s">
        <v>7324</v>
      </c>
      <c r="U2639" t="s">
        <v>297</v>
      </c>
      <c r="V2639">
        <v>1400</v>
      </c>
      <c r="W2639" t="s">
        <v>7362</v>
      </c>
      <c r="X2639" t="s">
        <v>7305</v>
      </c>
      <c r="Y2639" t="s">
        <v>7386</v>
      </c>
      <c r="Z2639" t="s">
        <v>7972</v>
      </c>
      <c r="AB2639" t="s">
        <v>12070</v>
      </c>
      <c r="AC2639">
        <v>2</v>
      </c>
      <c r="AD2639" t="s">
        <v>12422</v>
      </c>
      <c r="AF2639">
        <v>4</v>
      </c>
      <c r="AG2639">
        <v>1</v>
      </c>
      <c r="AH2639">
        <v>0</v>
      </c>
      <c r="AI2639">
        <v>205.93</v>
      </c>
      <c r="AL2639" t="s">
        <v>12460</v>
      </c>
      <c r="AM2639">
        <v>25000</v>
      </c>
      <c r="AN2639" t="s">
        <v>12505</v>
      </c>
      <c r="AS2639">
        <v>1.7</v>
      </c>
      <c r="AT2639" t="s">
        <v>413</v>
      </c>
      <c r="AU2639" t="s">
        <v>13084</v>
      </c>
    </row>
    <row r="2640" spans="1:47">
      <c r="A2640" s="1">
        <f>HYPERLINK("https://cms.ls-nyc.org/matter/dynamic-profile/view/1872377","18-1872377")</f>
        <v>0</v>
      </c>
      <c r="B2640" t="s">
        <v>184</v>
      </c>
      <c r="C2640" t="s">
        <v>394</v>
      </c>
      <c r="D2640" t="s">
        <v>368</v>
      </c>
      <c r="E2640" t="s">
        <v>1828</v>
      </c>
      <c r="F2640" t="s">
        <v>2527</v>
      </c>
      <c r="G2640" t="s">
        <v>5147</v>
      </c>
      <c r="H2640" t="s">
        <v>5815</v>
      </c>
      <c r="I2640" t="s">
        <v>6047</v>
      </c>
      <c r="J2640">
        <v>10473</v>
      </c>
      <c r="K2640" t="s">
        <v>6074</v>
      </c>
      <c r="L2640" t="s">
        <v>6074</v>
      </c>
      <c r="M2640" t="s">
        <v>7146</v>
      </c>
      <c r="N2640" t="s">
        <v>7276</v>
      </c>
      <c r="O2640" t="s">
        <v>7307</v>
      </c>
      <c r="P2640" t="s">
        <v>7314</v>
      </c>
      <c r="Q2640" t="s">
        <v>7322</v>
      </c>
      <c r="R2640" t="s">
        <v>6076</v>
      </c>
      <c r="S2640" t="s">
        <v>7324</v>
      </c>
      <c r="T2640" t="s">
        <v>7339</v>
      </c>
      <c r="U2640" t="s">
        <v>394</v>
      </c>
      <c r="V2640">
        <v>640</v>
      </c>
      <c r="W2640" t="s">
        <v>7363</v>
      </c>
      <c r="X2640" t="s">
        <v>7377</v>
      </c>
      <c r="Y2640" t="s">
        <v>7386</v>
      </c>
      <c r="Z2640" t="s">
        <v>9399</v>
      </c>
      <c r="AA2640" t="s">
        <v>10282</v>
      </c>
      <c r="AB2640" t="s">
        <v>12071</v>
      </c>
      <c r="AC2640">
        <v>5</v>
      </c>
      <c r="AD2640" t="s">
        <v>12419</v>
      </c>
      <c r="AE2640" t="s">
        <v>6110</v>
      </c>
      <c r="AF2640">
        <v>5</v>
      </c>
      <c r="AG2640">
        <v>1</v>
      </c>
      <c r="AH2640">
        <v>0</v>
      </c>
      <c r="AI2640">
        <v>205.93</v>
      </c>
      <c r="AJ2640" t="s">
        <v>354</v>
      </c>
      <c r="AK2640" t="s">
        <v>12456</v>
      </c>
      <c r="AL2640" t="s">
        <v>12460</v>
      </c>
      <c r="AM2640">
        <v>25000</v>
      </c>
      <c r="AN2640" t="s">
        <v>12712</v>
      </c>
      <c r="AS2640">
        <v>4.9</v>
      </c>
      <c r="AT2640" t="s">
        <v>368</v>
      </c>
      <c r="AU2640" t="s">
        <v>13123</v>
      </c>
    </row>
    <row r="2641" spans="1:48">
      <c r="A2641" s="1">
        <f>HYPERLINK("https://cms.ls-nyc.org/matter/dynamic-profile/view/1875906","18-1875906")</f>
        <v>0</v>
      </c>
      <c r="B2641" t="s">
        <v>197</v>
      </c>
      <c r="C2641" t="s">
        <v>301</v>
      </c>
      <c r="D2641" t="s">
        <v>462</v>
      </c>
      <c r="E2641" t="s">
        <v>1829</v>
      </c>
      <c r="F2641" t="s">
        <v>1990</v>
      </c>
      <c r="G2641" t="s">
        <v>5148</v>
      </c>
      <c r="H2641" t="s">
        <v>5424</v>
      </c>
      <c r="I2641" t="s">
        <v>6049</v>
      </c>
      <c r="J2641">
        <v>10039</v>
      </c>
      <c r="K2641" t="s">
        <v>6074</v>
      </c>
      <c r="L2641" t="s">
        <v>6074</v>
      </c>
      <c r="M2641" t="s">
        <v>7147</v>
      </c>
      <c r="N2641" t="s">
        <v>7276</v>
      </c>
      <c r="O2641" t="s">
        <v>7306</v>
      </c>
      <c r="P2641" t="s">
        <v>7314</v>
      </c>
      <c r="Q2641" t="s">
        <v>7322</v>
      </c>
      <c r="R2641" t="s">
        <v>6076</v>
      </c>
      <c r="S2641" t="s">
        <v>7324</v>
      </c>
      <c r="U2641" t="s">
        <v>502</v>
      </c>
      <c r="V2641">
        <v>700</v>
      </c>
      <c r="W2641" t="s">
        <v>7365</v>
      </c>
      <c r="X2641" t="s">
        <v>7367</v>
      </c>
      <c r="Y2641" t="s">
        <v>7386</v>
      </c>
      <c r="Z2641" t="s">
        <v>9400</v>
      </c>
      <c r="AB2641" t="s">
        <v>12072</v>
      </c>
      <c r="AC2641">
        <v>0</v>
      </c>
      <c r="AD2641" t="s">
        <v>12422</v>
      </c>
      <c r="AE2641" t="s">
        <v>6110</v>
      </c>
      <c r="AF2641">
        <v>12</v>
      </c>
      <c r="AG2641">
        <v>1</v>
      </c>
      <c r="AH2641">
        <v>0</v>
      </c>
      <c r="AI2641">
        <v>205.93</v>
      </c>
      <c r="AJ2641" t="s">
        <v>411</v>
      </c>
      <c r="AK2641" t="s">
        <v>12456</v>
      </c>
      <c r="AL2641" t="s">
        <v>12460</v>
      </c>
      <c r="AM2641">
        <v>25000</v>
      </c>
      <c r="AS2641">
        <v>1</v>
      </c>
      <c r="AT2641" t="s">
        <v>301</v>
      </c>
      <c r="AU2641" t="s">
        <v>13111</v>
      </c>
    </row>
    <row r="2642" spans="1:48">
      <c r="A2642" s="1">
        <f>HYPERLINK("https://cms.ls-nyc.org/matter/dynamic-profile/view/1879973","18-1879973")</f>
        <v>0</v>
      </c>
      <c r="B2642" t="s">
        <v>103</v>
      </c>
      <c r="C2642" t="s">
        <v>355</v>
      </c>
      <c r="E2642" t="s">
        <v>1423</v>
      </c>
      <c r="F2642" t="s">
        <v>2174</v>
      </c>
      <c r="G2642" t="s">
        <v>5149</v>
      </c>
      <c r="H2642">
        <v>1</v>
      </c>
      <c r="I2642" t="s">
        <v>6047</v>
      </c>
      <c r="J2642">
        <v>10475</v>
      </c>
      <c r="K2642" t="s">
        <v>6074</v>
      </c>
      <c r="L2642" t="s">
        <v>6074</v>
      </c>
      <c r="M2642" t="s">
        <v>7148</v>
      </c>
      <c r="N2642" t="s">
        <v>7298</v>
      </c>
      <c r="O2642" t="s">
        <v>7308</v>
      </c>
      <c r="Q2642" t="s">
        <v>7322</v>
      </c>
      <c r="R2642" t="s">
        <v>6076</v>
      </c>
      <c r="S2642" t="s">
        <v>7324</v>
      </c>
      <c r="U2642" t="s">
        <v>355</v>
      </c>
      <c r="V2642">
        <v>1513</v>
      </c>
      <c r="W2642" t="s">
        <v>7363</v>
      </c>
      <c r="Z2642" t="s">
        <v>9401</v>
      </c>
      <c r="AC2642">
        <v>10914</v>
      </c>
      <c r="AD2642" t="s">
        <v>12423</v>
      </c>
      <c r="AF2642">
        <v>12</v>
      </c>
      <c r="AG2642">
        <v>1</v>
      </c>
      <c r="AH2642">
        <v>2</v>
      </c>
      <c r="AI2642">
        <v>206.74</v>
      </c>
      <c r="AJ2642" t="s">
        <v>492</v>
      </c>
      <c r="AK2642" t="s">
        <v>12456</v>
      </c>
      <c r="AL2642" t="s">
        <v>12460</v>
      </c>
      <c r="AM2642">
        <v>42960</v>
      </c>
      <c r="AS2642">
        <v>41.5</v>
      </c>
      <c r="AT2642" t="s">
        <v>446</v>
      </c>
      <c r="AU2642" t="s">
        <v>103</v>
      </c>
    </row>
    <row r="2643" spans="1:48">
      <c r="A2643" s="1">
        <f>HYPERLINK("https://cms.ls-nyc.org/matter/dynamic-profile/view/1899551","19-1899551")</f>
        <v>0</v>
      </c>
      <c r="B2643" t="s">
        <v>86</v>
      </c>
      <c r="C2643" t="s">
        <v>446</v>
      </c>
      <c r="E2643" t="s">
        <v>1675</v>
      </c>
      <c r="F2643" t="s">
        <v>3363</v>
      </c>
      <c r="G2643" t="s">
        <v>5150</v>
      </c>
      <c r="H2643" t="s">
        <v>5350</v>
      </c>
      <c r="I2643" t="s">
        <v>6043</v>
      </c>
      <c r="J2643">
        <v>11233</v>
      </c>
      <c r="K2643" t="s">
        <v>6074</v>
      </c>
      <c r="L2643" t="s">
        <v>6075</v>
      </c>
      <c r="M2643" t="s">
        <v>6101</v>
      </c>
      <c r="N2643" t="s">
        <v>6104</v>
      </c>
      <c r="O2643" t="s">
        <v>7306</v>
      </c>
      <c r="Q2643" t="s">
        <v>7322</v>
      </c>
      <c r="R2643" t="s">
        <v>6076</v>
      </c>
      <c r="S2643" t="s">
        <v>7324</v>
      </c>
      <c r="T2643" t="s">
        <v>7336</v>
      </c>
      <c r="U2643" t="s">
        <v>501</v>
      </c>
      <c r="V2643">
        <v>2150</v>
      </c>
      <c r="W2643" t="s">
        <v>7362</v>
      </c>
      <c r="X2643" t="s">
        <v>7372</v>
      </c>
      <c r="Z2643" t="s">
        <v>9402</v>
      </c>
      <c r="AA2643" t="s">
        <v>6101</v>
      </c>
      <c r="AB2643" t="s">
        <v>12073</v>
      </c>
      <c r="AC2643">
        <v>2</v>
      </c>
      <c r="AD2643" t="s">
        <v>12419</v>
      </c>
      <c r="AE2643" t="s">
        <v>6110</v>
      </c>
      <c r="AF2643">
        <v>1</v>
      </c>
      <c r="AG2643">
        <v>2</v>
      </c>
      <c r="AH2643">
        <v>0</v>
      </c>
      <c r="AI2643">
        <v>206.98</v>
      </c>
      <c r="AL2643" t="s">
        <v>12460</v>
      </c>
      <c r="AM2643">
        <v>35000</v>
      </c>
      <c r="AS2643">
        <v>3.25</v>
      </c>
      <c r="AT2643" t="s">
        <v>460</v>
      </c>
      <c r="AU2643" t="s">
        <v>13104</v>
      </c>
      <c r="AV2643" t="s">
        <v>13145</v>
      </c>
    </row>
    <row r="2644" spans="1:48">
      <c r="A2644" s="1">
        <f>HYPERLINK("https://cms.ls-nyc.org/matter/dynamic-profile/view/1892306","19-1892306")</f>
        <v>0</v>
      </c>
      <c r="B2644" t="s">
        <v>71</v>
      </c>
      <c r="C2644" t="s">
        <v>337</v>
      </c>
      <c r="D2644" t="s">
        <v>322</v>
      </c>
      <c r="E2644" t="s">
        <v>987</v>
      </c>
      <c r="F2644" t="s">
        <v>3364</v>
      </c>
      <c r="G2644" t="s">
        <v>5151</v>
      </c>
      <c r="H2644" t="s">
        <v>5425</v>
      </c>
      <c r="I2644" t="s">
        <v>6043</v>
      </c>
      <c r="J2644">
        <v>11207</v>
      </c>
      <c r="K2644" t="s">
        <v>6074</v>
      </c>
      <c r="L2644" t="s">
        <v>6074</v>
      </c>
      <c r="M2644" t="s">
        <v>7149</v>
      </c>
      <c r="N2644" t="s">
        <v>7276</v>
      </c>
      <c r="O2644" t="s">
        <v>7308</v>
      </c>
      <c r="P2644" t="s">
        <v>7317</v>
      </c>
      <c r="Q2644" t="s">
        <v>7322</v>
      </c>
      <c r="R2644" t="s">
        <v>6076</v>
      </c>
      <c r="S2644" t="s">
        <v>7324</v>
      </c>
      <c r="T2644" t="s">
        <v>7340</v>
      </c>
      <c r="U2644" t="s">
        <v>337</v>
      </c>
      <c r="V2644">
        <v>888.29</v>
      </c>
      <c r="W2644" t="s">
        <v>7362</v>
      </c>
      <c r="X2644" t="s">
        <v>7367</v>
      </c>
      <c r="Y2644" t="s">
        <v>7386</v>
      </c>
      <c r="Z2644" t="s">
        <v>9403</v>
      </c>
      <c r="AA2644" t="s">
        <v>6110</v>
      </c>
      <c r="AB2644" t="s">
        <v>12074</v>
      </c>
      <c r="AC2644">
        <v>63</v>
      </c>
      <c r="AD2644" t="s">
        <v>12421</v>
      </c>
      <c r="AE2644" t="s">
        <v>12434</v>
      </c>
      <c r="AF2644">
        <v>18</v>
      </c>
      <c r="AG2644">
        <v>1</v>
      </c>
      <c r="AH2644">
        <v>1</v>
      </c>
      <c r="AI2644">
        <v>206.98</v>
      </c>
      <c r="AL2644" t="s">
        <v>12460</v>
      </c>
      <c r="AM2644">
        <v>35000</v>
      </c>
      <c r="AS2644">
        <v>9</v>
      </c>
      <c r="AT2644" t="s">
        <v>322</v>
      </c>
      <c r="AU2644" t="s">
        <v>13081</v>
      </c>
    </row>
    <row r="2645" spans="1:48">
      <c r="A2645" s="1">
        <f>HYPERLINK("https://cms.ls-nyc.org/matter/dynamic-profile/view/1868024","18-1868024")</f>
        <v>0</v>
      </c>
      <c r="B2645" t="s">
        <v>83</v>
      </c>
      <c r="C2645" t="s">
        <v>532</v>
      </c>
      <c r="E2645" t="s">
        <v>1830</v>
      </c>
      <c r="F2645" t="s">
        <v>3365</v>
      </c>
      <c r="G2645" t="s">
        <v>3719</v>
      </c>
      <c r="H2645" t="s">
        <v>5908</v>
      </c>
      <c r="I2645" t="s">
        <v>6043</v>
      </c>
      <c r="J2645">
        <v>11230</v>
      </c>
      <c r="K2645" t="s">
        <v>6074</v>
      </c>
      <c r="L2645" t="s">
        <v>6075</v>
      </c>
      <c r="N2645" t="s">
        <v>6104</v>
      </c>
      <c r="O2645" t="s">
        <v>7309</v>
      </c>
      <c r="Q2645" t="s">
        <v>7322</v>
      </c>
      <c r="R2645" t="s">
        <v>6074</v>
      </c>
      <c r="S2645" t="s">
        <v>7324</v>
      </c>
      <c r="U2645" t="s">
        <v>271</v>
      </c>
      <c r="V2645">
        <v>615.9400000000001</v>
      </c>
      <c r="W2645" t="s">
        <v>7362</v>
      </c>
      <c r="X2645" t="s">
        <v>7376</v>
      </c>
      <c r="Z2645" t="s">
        <v>9404</v>
      </c>
      <c r="AC2645">
        <v>40</v>
      </c>
      <c r="AD2645" t="s">
        <v>12422</v>
      </c>
      <c r="AE2645" t="s">
        <v>6110</v>
      </c>
      <c r="AF2645">
        <v>37</v>
      </c>
      <c r="AG2645">
        <v>4</v>
      </c>
      <c r="AH2645">
        <v>0</v>
      </c>
      <c r="AI2645">
        <v>207.17</v>
      </c>
      <c r="AL2645" t="s">
        <v>12460</v>
      </c>
      <c r="AM2645">
        <v>52000</v>
      </c>
      <c r="AS2645">
        <v>3.7</v>
      </c>
      <c r="AT2645" t="s">
        <v>448</v>
      </c>
      <c r="AU2645" t="s">
        <v>13087</v>
      </c>
    </row>
    <row r="2646" spans="1:48">
      <c r="A2646" s="1">
        <f>HYPERLINK("https://cms.ls-nyc.org/matter/dynamic-profile/view/1881860","18-1881860")</f>
        <v>0</v>
      </c>
      <c r="B2646" t="s">
        <v>215</v>
      </c>
      <c r="C2646" t="s">
        <v>258</v>
      </c>
      <c r="E2646" t="s">
        <v>1831</v>
      </c>
      <c r="F2646" t="s">
        <v>2285</v>
      </c>
      <c r="G2646" t="s">
        <v>5152</v>
      </c>
      <c r="H2646" t="s">
        <v>5490</v>
      </c>
      <c r="I2646" t="s">
        <v>6047</v>
      </c>
      <c r="J2646">
        <v>10456</v>
      </c>
      <c r="K2646" t="s">
        <v>6074</v>
      </c>
      <c r="L2646" t="s">
        <v>6074</v>
      </c>
      <c r="N2646" t="s">
        <v>7274</v>
      </c>
      <c r="O2646" t="s">
        <v>7309</v>
      </c>
      <c r="Q2646" t="s">
        <v>7322</v>
      </c>
      <c r="R2646" t="s">
        <v>6076</v>
      </c>
      <c r="S2646" t="s">
        <v>7324</v>
      </c>
      <c r="U2646" t="s">
        <v>442</v>
      </c>
      <c r="V2646">
        <v>971</v>
      </c>
      <c r="W2646" t="s">
        <v>7363</v>
      </c>
      <c r="X2646" t="s">
        <v>7368</v>
      </c>
      <c r="Z2646" t="s">
        <v>9405</v>
      </c>
      <c r="AB2646" t="s">
        <v>12075</v>
      </c>
      <c r="AC2646">
        <v>0</v>
      </c>
      <c r="AD2646" t="s">
        <v>12422</v>
      </c>
      <c r="AE2646" t="s">
        <v>12441</v>
      </c>
      <c r="AF2646">
        <v>60</v>
      </c>
      <c r="AG2646">
        <v>2</v>
      </c>
      <c r="AH2646">
        <v>0</v>
      </c>
      <c r="AI2646">
        <v>207.48</v>
      </c>
      <c r="AL2646" t="s">
        <v>12461</v>
      </c>
      <c r="AM2646">
        <v>34152</v>
      </c>
      <c r="AS2646">
        <v>4.9</v>
      </c>
      <c r="AT2646" t="s">
        <v>359</v>
      </c>
      <c r="AU2646" t="s">
        <v>13116</v>
      </c>
    </row>
    <row r="2647" spans="1:48">
      <c r="A2647" s="1">
        <f>HYPERLINK("https://cms.ls-nyc.org/matter/dynamic-profile/view/1884708","18-1884708")</f>
        <v>0</v>
      </c>
      <c r="B2647" t="s">
        <v>220</v>
      </c>
      <c r="C2647" t="s">
        <v>413</v>
      </c>
      <c r="E2647" t="s">
        <v>935</v>
      </c>
      <c r="F2647" t="s">
        <v>3366</v>
      </c>
      <c r="G2647" t="s">
        <v>5153</v>
      </c>
      <c r="H2647">
        <v>15</v>
      </c>
      <c r="I2647" t="s">
        <v>6047</v>
      </c>
      <c r="J2647">
        <v>10451</v>
      </c>
      <c r="K2647" t="s">
        <v>6074</v>
      </c>
      <c r="L2647" t="s">
        <v>6074</v>
      </c>
      <c r="M2647" t="s">
        <v>6101</v>
      </c>
      <c r="N2647" t="s">
        <v>7296</v>
      </c>
      <c r="O2647" t="s">
        <v>7309</v>
      </c>
      <c r="Q2647" t="s">
        <v>7322</v>
      </c>
      <c r="R2647" t="s">
        <v>6076</v>
      </c>
      <c r="S2647" t="s">
        <v>7331</v>
      </c>
      <c r="U2647" t="s">
        <v>422</v>
      </c>
      <c r="V2647">
        <v>964</v>
      </c>
      <c r="W2647" t="s">
        <v>7363</v>
      </c>
      <c r="X2647" t="s">
        <v>7368</v>
      </c>
      <c r="Z2647" t="s">
        <v>9406</v>
      </c>
      <c r="AB2647" t="s">
        <v>12076</v>
      </c>
      <c r="AC2647">
        <v>17</v>
      </c>
      <c r="AD2647" t="s">
        <v>12422</v>
      </c>
      <c r="AE2647" t="s">
        <v>12434</v>
      </c>
      <c r="AF2647">
        <v>7</v>
      </c>
      <c r="AG2647">
        <v>1</v>
      </c>
      <c r="AH2647">
        <v>0</v>
      </c>
      <c r="AI2647">
        <v>207.58</v>
      </c>
      <c r="AL2647" t="s">
        <v>12461</v>
      </c>
      <c r="AM2647">
        <v>25200</v>
      </c>
      <c r="AN2647" t="s">
        <v>12713</v>
      </c>
      <c r="AS2647">
        <v>4.7</v>
      </c>
      <c r="AT2647" t="s">
        <v>347</v>
      </c>
      <c r="AU2647" t="s">
        <v>13118</v>
      </c>
    </row>
    <row r="2648" spans="1:48">
      <c r="A2648" s="1">
        <f>HYPERLINK("https://cms.ls-nyc.org/matter/dynamic-profile/view/1891637","19-1891637")</f>
        <v>0</v>
      </c>
      <c r="B2648" t="s">
        <v>120</v>
      </c>
      <c r="C2648" t="s">
        <v>277</v>
      </c>
      <c r="E2648" t="s">
        <v>1194</v>
      </c>
      <c r="F2648" t="s">
        <v>3367</v>
      </c>
      <c r="G2648" t="s">
        <v>5154</v>
      </c>
      <c r="H2648" t="s">
        <v>5909</v>
      </c>
      <c r="I2648" t="s">
        <v>6048</v>
      </c>
      <c r="J2648">
        <v>10304</v>
      </c>
      <c r="K2648" t="s">
        <v>6075</v>
      </c>
      <c r="L2648" t="s">
        <v>6075</v>
      </c>
      <c r="N2648" t="s">
        <v>7276</v>
      </c>
      <c r="O2648" t="s">
        <v>7308</v>
      </c>
      <c r="Q2648" t="s">
        <v>7322</v>
      </c>
      <c r="R2648" t="s">
        <v>6076</v>
      </c>
      <c r="S2648" t="s">
        <v>7324</v>
      </c>
      <c r="U2648" t="s">
        <v>277</v>
      </c>
      <c r="V2648">
        <v>0</v>
      </c>
      <c r="W2648" t="s">
        <v>7364</v>
      </c>
      <c r="Z2648" t="s">
        <v>9407</v>
      </c>
      <c r="AB2648" t="s">
        <v>12077</v>
      </c>
      <c r="AC2648">
        <v>0</v>
      </c>
      <c r="AF2648">
        <v>0</v>
      </c>
      <c r="AG2648">
        <v>1</v>
      </c>
      <c r="AH2648">
        <v>0</v>
      </c>
      <c r="AI2648">
        <v>207.62</v>
      </c>
      <c r="AK2648" t="s">
        <v>12456</v>
      </c>
      <c r="AL2648" t="s">
        <v>12460</v>
      </c>
      <c r="AM2648">
        <v>25932</v>
      </c>
      <c r="AS2648">
        <v>3.8</v>
      </c>
      <c r="AT2648" t="s">
        <v>324</v>
      </c>
      <c r="AU2648" t="s">
        <v>13102</v>
      </c>
    </row>
    <row r="2649" spans="1:48">
      <c r="A2649" s="1">
        <f>HYPERLINK("https://cms.ls-nyc.org/matter/dynamic-profile/view/1872874","18-1872874")</f>
        <v>0</v>
      </c>
      <c r="B2649" t="s">
        <v>155</v>
      </c>
      <c r="C2649" t="s">
        <v>319</v>
      </c>
      <c r="E2649" t="s">
        <v>989</v>
      </c>
      <c r="F2649" t="s">
        <v>2612</v>
      </c>
      <c r="G2649" t="s">
        <v>5155</v>
      </c>
      <c r="H2649" t="s">
        <v>5453</v>
      </c>
      <c r="I2649" t="s">
        <v>6049</v>
      </c>
      <c r="J2649">
        <v>10031</v>
      </c>
      <c r="K2649" t="s">
        <v>6074</v>
      </c>
      <c r="L2649" t="s">
        <v>6074</v>
      </c>
      <c r="M2649" t="s">
        <v>7150</v>
      </c>
      <c r="N2649" t="s">
        <v>7274</v>
      </c>
      <c r="O2649" t="s">
        <v>7308</v>
      </c>
      <c r="Q2649" t="s">
        <v>7322</v>
      </c>
      <c r="R2649" t="s">
        <v>6076</v>
      </c>
      <c r="S2649" t="s">
        <v>7324</v>
      </c>
      <c r="T2649" t="s">
        <v>7336</v>
      </c>
      <c r="U2649" t="s">
        <v>319</v>
      </c>
      <c r="V2649">
        <v>186.57</v>
      </c>
      <c r="W2649" t="s">
        <v>7365</v>
      </c>
      <c r="X2649" t="s">
        <v>7367</v>
      </c>
      <c r="Z2649" t="s">
        <v>9408</v>
      </c>
      <c r="AB2649" t="s">
        <v>12078</v>
      </c>
      <c r="AC2649">
        <v>0</v>
      </c>
      <c r="AD2649" t="s">
        <v>12422</v>
      </c>
      <c r="AE2649" t="s">
        <v>6110</v>
      </c>
      <c r="AF2649">
        <v>48</v>
      </c>
      <c r="AG2649">
        <v>2</v>
      </c>
      <c r="AH2649">
        <v>0</v>
      </c>
      <c r="AI2649">
        <v>207.87</v>
      </c>
      <c r="AL2649" t="s">
        <v>12460</v>
      </c>
      <c r="AM2649">
        <v>34216</v>
      </c>
      <c r="AS2649">
        <v>85.65000000000001</v>
      </c>
      <c r="AT2649" t="s">
        <v>564</v>
      </c>
      <c r="AU2649" t="s">
        <v>13111</v>
      </c>
    </row>
    <row r="2650" spans="1:48">
      <c r="A2650" s="1">
        <f>HYPERLINK("https://cms.ls-nyc.org/matter/dynamic-profile/view/0815813","16-0815813")</f>
        <v>0</v>
      </c>
      <c r="B2650" t="s">
        <v>143</v>
      </c>
      <c r="C2650" t="s">
        <v>533</v>
      </c>
      <c r="E2650" t="s">
        <v>1279</v>
      </c>
      <c r="F2650" t="s">
        <v>3368</v>
      </c>
      <c r="G2650" t="s">
        <v>5156</v>
      </c>
      <c r="H2650" t="s">
        <v>5430</v>
      </c>
      <c r="I2650" t="s">
        <v>6047</v>
      </c>
      <c r="J2650">
        <v>10471</v>
      </c>
      <c r="K2650" t="s">
        <v>6074</v>
      </c>
      <c r="L2650" t="s">
        <v>6074</v>
      </c>
      <c r="M2650" t="s">
        <v>7151</v>
      </c>
      <c r="N2650" t="s">
        <v>7276</v>
      </c>
      <c r="O2650" t="s">
        <v>7308</v>
      </c>
      <c r="Q2650" t="s">
        <v>7322</v>
      </c>
      <c r="R2650" t="s">
        <v>6076</v>
      </c>
      <c r="S2650" t="s">
        <v>7324</v>
      </c>
      <c r="T2650" t="s">
        <v>7336</v>
      </c>
      <c r="U2650" t="s">
        <v>422</v>
      </c>
      <c r="V2650">
        <v>2000</v>
      </c>
      <c r="W2650" t="s">
        <v>7363</v>
      </c>
      <c r="X2650" t="s">
        <v>7377</v>
      </c>
      <c r="Z2650" t="s">
        <v>8628</v>
      </c>
      <c r="AB2650" t="s">
        <v>12079</v>
      </c>
      <c r="AC2650">
        <v>69</v>
      </c>
      <c r="AD2650" t="s">
        <v>6322</v>
      </c>
      <c r="AE2650" t="s">
        <v>6110</v>
      </c>
      <c r="AF2650">
        <v>2</v>
      </c>
      <c r="AG2650">
        <v>2</v>
      </c>
      <c r="AH2650">
        <v>0</v>
      </c>
      <c r="AI2650">
        <v>208.11</v>
      </c>
      <c r="AL2650" t="s">
        <v>12461</v>
      </c>
      <c r="AM2650">
        <v>33339.54</v>
      </c>
      <c r="AN2650" t="s">
        <v>12714</v>
      </c>
      <c r="AS2650">
        <v>136.4</v>
      </c>
      <c r="AT2650" t="s">
        <v>241</v>
      </c>
      <c r="AU2650" t="s">
        <v>13120</v>
      </c>
    </row>
    <row r="2651" spans="1:48">
      <c r="A2651" s="1">
        <f>HYPERLINK("https://cms.ls-nyc.org/matter/dynamic-profile/view/1890535","19-1890535")</f>
        <v>0</v>
      </c>
      <c r="B2651" t="s">
        <v>72</v>
      </c>
      <c r="C2651" t="s">
        <v>448</v>
      </c>
      <c r="E2651" t="s">
        <v>1832</v>
      </c>
      <c r="F2651" t="s">
        <v>2226</v>
      </c>
      <c r="G2651" t="s">
        <v>3701</v>
      </c>
      <c r="H2651" t="s">
        <v>5910</v>
      </c>
      <c r="I2651" t="s">
        <v>6043</v>
      </c>
      <c r="J2651">
        <v>11233</v>
      </c>
      <c r="K2651" t="s">
        <v>6074</v>
      </c>
      <c r="L2651" t="s">
        <v>6076</v>
      </c>
      <c r="M2651" t="s">
        <v>6104</v>
      </c>
      <c r="N2651" t="s">
        <v>7279</v>
      </c>
      <c r="O2651" t="s">
        <v>7311</v>
      </c>
      <c r="Q2651" t="s">
        <v>7322</v>
      </c>
      <c r="R2651" t="s">
        <v>6074</v>
      </c>
      <c r="S2651" t="s">
        <v>7324</v>
      </c>
      <c r="T2651" t="s">
        <v>7336</v>
      </c>
      <c r="U2651" t="s">
        <v>330</v>
      </c>
      <c r="V2651">
        <v>1121</v>
      </c>
      <c r="W2651" t="s">
        <v>7362</v>
      </c>
      <c r="X2651" t="s">
        <v>7305</v>
      </c>
      <c r="Z2651" t="s">
        <v>9409</v>
      </c>
      <c r="AC2651">
        <v>359</v>
      </c>
      <c r="AD2651" t="s">
        <v>12422</v>
      </c>
      <c r="AE2651" t="s">
        <v>6110</v>
      </c>
      <c r="AF2651">
        <v>4</v>
      </c>
      <c r="AG2651">
        <v>3</v>
      </c>
      <c r="AH2651">
        <v>0</v>
      </c>
      <c r="AI2651">
        <v>209.07</v>
      </c>
      <c r="AJ2651" t="s">
        <v>459</v>
      </c>
      <c r="AK2651" t="s">
        <v>12456</v>
      </c>
      <c r="AL2651" t="s">
        <v>12460</v>
      </c>
      <c r="AM2651">
        <v>44595</v>
      </c>
      <c r="AN2651" t="s">
        <v>12544</v>
      </c>
      <c r="AS2651">
        <v>0</v>
      </c>
      <c r="AU2651" t="s">
        <v>218</v>
      </c>
    </row>
    <row r="2652" spans="1:48">
      <c r="A2652" s="1">
        <f>HYPERLINK("https://cms.ls-nyc.org/matter/dynamic-profile/view/1891469","19-1891469")</f>
        <v>0</v>
      </c>
      <c r="B2652" t="s">
        <v>72</v>
      </c>
      <c r="C2652" t="s">
        <v>278</v>
      </c>
      <c r="E2652" t="s">
        <v>1832</v>
      </c>
      <c r="F2652" t="s">
        <v>2226</v>
      </c>
      <c r="G2652" t="s">
        <v>3701</v>
      </c>
      <c r="H2652" t="s">
        <v>5910</v>
      </c>
      <c r="I2652" t="s">
        <v>6043</v>
      </c>
      <c r="J2652">
        <v>11233</v>
      </c>
      <c r="K2652" t="s">
        <v>6074</v>
      </c>
      <c r="L2652" t="s">
        <v>6076</v>
      </c>
      <c r="N2652" t="s">
        <v>7275</v>
      </c>
      <c r="O2652" t="s">
        <v>7307</v>
      </c>
      <c r="Q2652" t="s">
        <v>7322</v>
      </c>
      <c r="R2652" t="s">
        <v>6074</v>
      </c>
      <c r="S2652" t="s">
        <v>7324</v>
      </c>
      <c r="T2652" t="s">
        <v>7336</v>
      </c>
      <c r="U2652" t="s">
        <v>287</v>
      </c>
      <c r="V2652">
        <v>1121</v>
      </c>
      <c r="W2652" t="s">
        <v>7362</v>
      </c>
      <c r="X2652" t="s">
        <v>7305</v>
      </c>
      <c r="Z2652" t="s">
        <v>9409</v>
      </c>
      <c r="AC2652">
        <v>359</v>
      </c>
      <c r="AD2652" t="s">
        <v>12422</v>
      </c>
      <c r="AE2652" t="s">
        <v>6110</v>
      </c>
      <c r="AF2652">
        <v>4</v>
      </c>
      <c r="AG2652">
        <v>3</v>
      </c>
      <c r="AH2652">
        <v>0</v>
      </c>
      <c r="AI2652">
        <v>209.07</v>
      </c>
      <c r="AJ2652" t="s">
        <v>459</v>
      </c>
      <c r="AK2652" t="s">
        <v>12456</v>
      </c>
      <c r="AL2652" t="s">
        <v>12460</v>
      </c>
      <c r="AM2652">
        <v>44595</v>
      </c>
      <c r="AN2652" t="s">
        <v>12715</v>
      </c>
      <c r="AS2652">
        <v>0</v>
      </c>
      <c r="AU2652" t="s">
        <v>180</v>
      </c>
    </row>
    <row r="2653" spans="1:48">
      <c r="A2653" s="1">
        <f>HYPERLINK("https://cms.ls-nyc.org/matter/dynamic-profile/view/1898091","19-1898091")</f>
        <v>0</v>
      </c>
      <c r="B2653" t="s">
        <v>83</v>
      </c>
      <c r="C2653" t="s">
        <v>362</v>
      </c>
      <c r="E2653" t="s">
        <v>1294</v>
      </c>
      <c r="F2653" t="s">
        <v>2565</v>
      </c>
      <c r="G2653" t="s">
        <v>5157</v>
      </c>
      <c r="H2653" t="s">
        <v>5359</v>
      </c>
      <c r="I2653" t="s">
        <v>6043</v>
      </c>
      <c r="J2653">
        <v>11237</v>
      </c>
      <c r="K2653" t="s">
        <v>6074</v>
      </c>
      <c r="L2653" t="s">
        <v>6074</v>
      </c>
      <c r="N2653" t="s">
        <v>7274</v>
      </c>
      <c r="O2653" t="s">
        <v>7306</v>
      </c>
      <c r="Q2653" t="s">
        <v>7322</v>
      </c>
      <c r="R2653" t="s">
        <v>6076</v>
      </c>
      <c r="S2653" t="s">
        <v>7324</v>
      </c>
      <c r="U2653" t="s">
        <v>375</v>
      </c>
      <c r="V2653">
        <v>0</v>
      </c>
      <c r="W2653" t="s">
        <v>7362</v>
      </c>
      <c r="Z2653" t="s">
        <v>9410</v>
      </c>
      <c r="AC2653">
        <v>0</v>
      </c>
      <c r="AF2653">
        <v>8</v>
      </c>
      <c r="AG2653">
        <v>1</v>
      </c>
      <c r="AH2653">
        <v>0</v>
      </c>
      <c r="AI2653">
        <v>210.01</v>
      </c>
      <c r="AL2653" t="s">
        <v>12461</v>
      </c>
      <c r="AM2653">
        <v>26230</v>
      </c>
      <c r="AS2653">
        <v>1</v>
      </c>
      <c r="AT2653" t="s">
        <v>423</v>
      </c>
      <c r="AU2653" t="s">
        <v>88</v>
      </c>
    </row>
    <row r="2654" spans="1:48">
      <c r="A2654" s="1">
        <f>HYPERLINK("https://cms.ls-nyc.org/matter/dynamic-profile/view/1878956","18-1878956")</f>
        <v>0</v>
      </c>
      <c r="B2654" t="s">
        <v>133</v>
      </c>
      <c r="C2654" t="s">
        <v>438</v>
      </c>
      <c r="E2654" t="s">
        <v>1745</v>
      </c>
      <c r="F2654" t="s">
        <v>2122</v>
      </c>
      <c r="G2654" t="s">
        <v>4128</v>
      </c>
      <c r="H2654" t="s">
        <v>5433</v>
      </c>
      <c r="I2654" t="s">
        <v>6049</v>
      </c>
      <c r="J2654">
        <v>10040</v>
      </c>
      <c r="K2654" t="s">
        <v>6074</v>
      </c>
      <c r="L2654" t="s">
        <v>6074</v>
      </c>
      <c r="N2654" t="s">
        <v>7279</v>
      </c>
      <c r="O2654" t="s">
        <v>7308</v>
      </c>
      <c r="Q2654" t="s">
        <v>7322</v>
      </c>
      <c r="R2654" t="s">
        <v>6074</v>
      </c>
      <c r="S2654" t="s">
        <v>7324</v>
      </c>
      <c r="U2654" t="s">
        <v>438</v>
      </c>
      <c r="V2654">
        <v>913.34</v>
      </c>
      <c r="W2654" t="s">
        <v>7365</v>
      </c>
      <c r="X2654" t="s">
        <v>7375</v>
      </c>
      <c r="Z2654" t="s">
        <v>9411</v>
      </c>
      <c r="AB2654" t="s">
        <v>12080</v>
      </c>
      <c r="AC2654">
        <v>88</v>
      </c>
      <c r="AD2654" t="s">
        <v>12422</v>
      </c>
      <c r="AE2654" t="s">
        <v>6110</v>
      </c>
      <c r="AF2654">
        <v>29</v>
      </c>
      <c r="AG2654">
        <v>1</v>
      </c>
      <c r="AH2654">
        <v>1</v>
      </c>
      <c r="AI2654">
        <v>210.58</v>
      </c>
      <c r="AL2654" t="s">
        <v>12461</v>
      </c>
      <c r="AM2654">
        <v>34661.76</v>
      </c>
      <c r="AS2654">
        <v>0</v>
      </c>
      <c r="AU2654" t="s">
        <v>13106</v>
      </c>
    </row>
    <row r="2655" spans="1:48">
      <c r="A2655" s="1">
        <f>HYPERLINK("https://cms.ls-nyc.org/matter/dynamic-profile/view/1890434","19-1890434")</f>
        <v>0</v>
      </c>
      <c r="B2655" t="s">
        <v>130</v>
      </c>
      <c r="C2655" t="s">
        <v>330</v>
      </c>
      <c r="D2655" t="s">
        <v>329</v>
      </c>
      <c r="E2655" t="s">
        <v>935</v>
      </c>
      <c r="F2655" t="s">
        <v>3369</v>
      </c>
      <c r="G2655" t="s">
        <v>5158</v>
      </c>
      <c r="H2655">
        <v>26</v>
      </c>
      <c r="I2655" t="s">
        <v>6049</v>
      </c>
      <c r="J2655">
        <v>10033</v>
      </c>
      <c r="K2655" t="s">
        <v>6074</v>
      </c>
      <c r="L2655" t="s">
        <v>6074</v>
      </c>
      <c r="N2655" t="s">
        <v>7278</v>
      </c>
      <c r="O2655" t="s">
        <v>7306</v>
      </c>
      <c r="P2655" t="s">
        <v>7314</v>
      </c>
      <c r="Q2655" t="s">
        <v>7322</v>
      </c>
      <c r="R2655" t="s">
        <v>6076</v>
      </c>
      <c r="S2655" t="s">
        <v>7324</v>
      </c>
      <c r="U2655" t="s">
        <v>330</v>
      </c>
      <c r="V2655">
        <v>819</v>
      </c>
      <c r="W2655" t="s">
        <v>7365</v>
      </c>
      <c r="X2655" t="s">
        <v>7367</v>
      </c>
      <c r="Y2655" t="s">
        <v>7386</v>
      </c>
      <c r="Z2655" t="s">
        <v>9412</v>
      </c>
      <c r="AB2655" t="s">
        <v>12081</v>
      </c>
      <c r="AC2655">
        <v>42</v>
      </c>
      <c r="AD2655" t="s">
        <v>12422</v>
      </c>
      <c r="AE2655" t="s">
        <v>6110</v>
      </c>
      <c r="AF2655">
        <v>31</v>
      </c>
      <c r="AG2655">
        <v>3</v>
      </c>
      <c r="AH2655">
        <v>0</v>
      </c>
      <c r="AI2655">
        <v>210.97</v>
      </c>
      <c r="AL2655" t="s">
        <v>12461</v>
      </c>
      <c r="AM2655">
        <v>45000</v>
      </c>
      <c r="AS2655">
        <v>2.9</v>
      </c>
      <c r="AT2655" t="s">
        <v>318</v>
      </c>
      <c r="AU2655" t="s">
        <v>13106</v>
      </c>
    </row>
    <row r="2656" spans="1:48">
      <c r="A2656" s="1">
        <f>HYPERLINK("https://cms.ls-nyc.org/matter/dynamic-profile/view/1886416","18-1886416")</f>
        <v>0</v>
      </c>
      <c r="B2656" t="s">
        <v>68</v>
      </c>
      <c r="C2656" t="s">
        <v>385</v>
      </c>
      <c r="D2656" t="s">
        <v>351</v>
      </c>
      <c r="E2656" t="s">
        <v>1833</v>
      </c>
      <c r="F2656" t="s">
        <v>2133</v>
      </c>
      <c r="G2656" t="s">
        <v>5159</v>
      </c>
      <c r="H2656" t="s">
        <v>5393</v>
      </c>
      <c r="I2656" t="s">
        <v>6043</v>
      </c>
      <c r="J2656">
        <v>11212</v>
      </c>
      <c r="K2656" t="s">
        <v>6074</v>
      </c>
      <c r="L2656" t="s">
        <v>6074</v>
      </c>
      <c r="M2656" t="s">
        <v>7152</v>
      </c>
      <c r="N2656" t="s">
        <v>7276</v>
      </c>
      <c r="O2656" t="s">
        <v>7306</v>
      </c>
      <c r="P2656" t="s">
        <v>7314</v>
      </c>
      <c r="Q2656" t="s">
        <v>7322</v>
      </c>
      <c r="R2656" t="s">
        <v>6076</v>
      </c>
      <c r="S2656" t="s">
        <v>7324</v>
      </c>
      <c r="U2656" t="s">
        <v>385</v>
      </c>
      <c r="V2656">
        <v>1001</v>
      </c>
      <c r="W2656" t="s">
        <v>7362</v>
      </c>
      <c r="X2656" t="s">
        <v>7305</v>
      </c>
      <c r="Y2656" t="s">
        <v>7386</v>
      </c>
      <c r="Z2656" t="s">
        <v>9413</v>
      </c>
      <c r="AB2656" t="s">
        <v>12082</v>
      </c>
      <c r="AC2656">
        <v>172</v>
      </c>
      <c r="AD2656" t="s">
        <v>12422</v>
      </c>
      <c r="AE2656" t="s">
        <v>6110</v>
      </c>
      <c r="AF2656">
        <v>20</v>
      </c>
      <c r="AG2656">
        <v>3</v>
      </c>
      <c r="AH2656">
        <v>1</v>
      </c>
      <c r="AI2656">
        <v>211.16</v>
      </c>
      <c r="AL2656" t="s">
        <v>12460</v>
      </c>
      <c r="AM2656">
        <v>53000</v>
      </c>
      <c r="AN2656" t="s">
        <v>12716</v>
      </c>
      <c r="AS2656">
        <v>2.7</v>
      </c>
      <c r="AT2656" t="s">
        <v>366</v>
      </c>
      <c r="AU2656" t="s">
        <v>180</v>
      </c>
    </row>
    <row r="2657" spans="1:47">
      <c r="A2657" s="1">
        <f>HYPERLINK("https://cms.ls-nyc.org/matter/dynamic-profile/view/1891925","19-1891925")</f>
        <v>0</v>
      </c>
      <c r="B2657" t="s">
        <v>72</v>
      </c>
      <c r="C2657" t="s">
        <v>329</v>
      </c>
      <c r="E2657" t="s">
        <v>1834</v>
      </c>
      <c r="F2657" t="s">
        <v>3370</v>
      </c>
      <c r="G2657" t="s">
        <v>3700</v>
      </c>
      <c r="H2657" t="s">
        <v>5911</v>
      </c>
      <c r="I2657" t="s">
        <v>6043</v>
      </c>
      <c r="J2657">
        <v>11233</v>
      </c>
      <c r="K2657" t="s">
        <v>6074</v>
      </c>
      <c r="L2657" t="s">
        <v>6076</v>
      </c>
      <c r="N2657" t="s">
        <v>7279</v>
      </c>
      <c r="O2657" t="s">
        <v>7311</v>
      </c>
      <c r="Q2657" t="s">
        <v>7322</v>
      </c>
      <c r="R2657" t="s">
        <v>6074</v>
      </c>
      <c r="S2657" t="s">
        <v>7324</v>
      </c>
      <c r="T2657" t="s">
        <v>7336</v>
      </c>
      <c r="U2657" t="s">
        <v>330</v>
      </c>
      <c r="V2657">
        <v>1047</v>
      </c>
      <c r="W2657" t="s">
        <v>7362</v>
      </c>
      <c r="X2657" t="s">
        <v>7305</v>
      </c>
      <c r="Z2657" t="s">
        <v>9414</v>
      </c>
      <c r="AC2657">
        <v>359</v>
      </c>
      <c r="AD2657" t="s">
        <v>12422</v>
      </c>
      <c r="AE2657" t="s">
        <v>6110</v>
      </c>
      <c r="AF2657">
        <v>8</v>
      </c>
      <c r="AG2657">
        <v>3</v>
      </c>
      <c r="AH2657">
        <v>3</v>
      </c>
      <c r="AI2657">
        <v>211.54</v>
      </c>
      <c r="AL2657" t="s">
        <v>12460</v>
      </c>
      <c r="AM2657">
        <v>73170</v>
      </c>
      <c r="AN2657" t="s">
        <v>12601</v>
      </c>
      <c r="AS2657">
        <v>0</v>
      </c>
      <c r="AU2657" t="s">
        <v>180</v>
      </c>
    </row>
    <row r="2658" spans="1:47">
      <c r="A2658" s="1">
        <f>HYPERLINK("https://cms.ls-nyc.org/matter/dynamic-profile/view/1891930","19-1891930")</f>
        <v>0</v>
      </c>
      <c r="B2658" t="s">
        <v>72</v>
      </c>
      <c r="C2658" t="s">
        <v>329</v>
      </c>
      <c r="E2658" t="s">
        <v>1834</v>
      </c>
      <c r="F2658" t="s">
        <v>3370</v>
      </c>
      <c r="G2658" t="s">
        <v>3700</v>
      </c>
      <c r="H2658" t="s">
        <v>5911</v>
      </c>
      <c r="I2658" t="s">
        <v>6043</v>
      </c>
      <c r="J2658">
        <v>11233</v>
      </c>
      <c r="K2658" t="s">
        <v>6074</v>
      </c>
      <c r="L2658" t="s">
        <v>6076</v>
      </c>
      <c r="N2658" t="s">
        <v>7275</v>
      </c>
      <c r="O2658" t="s">
        <v>7307</v>
      </c>
      <c r="Q2658" t="s">
        <v>7322</v>
      </c>
      <c r="R2658" t="s">
        <v>6074</v>
      </c>
      <c r="S2658" t="s">
        <v>7324</v>
      </c>
      <c r="T2658" t="s">
        <v>7336</v>
      </c>
      <c r="U2658" t="s">
        <v>287</v>
      </c>
      <c r="V2658">
        <v>1047</v>
      </c>
      <c r="W2658" t="s">
        <v>7362</v>
      </c>
      <c r="X2658" t="s">
        <v>7305</v>
      </c>
      <c r="Z2658" t="s">
        <v>9414</v>
      </c>
      <c r="AC2658">
        <v>359</v>
      </c>
      <c r="AD2658" t="s">
        <v>12422</v>
      </c>
      <c r="AE2658" t="s">
        <v>6110</v>
      </c>
      <c r="AF2658">
        <v>8</v>
      </c>
      <c r="AG2658">
        <v>3</v>
      </c>
      <c r="AH2658">
        <v>3</v>
      </c>
      <c r="AI2658">
        <v>211.54</v>
      </c>
      <c r="AL2658" t="s">
        <v>12460</v>
      </c>
      <c r="AM2658">
        <v>73170</v>
      </c>
      <c r="AN2658" t="s">
        <v>12717</v>
      </c>
      <c r="AS2658">
        <v>0</v>
      </c>
      <c r="AU2658" t="s">
        <v>180</v>
      </c>
    </row>
    <row r="2659" spans="1:47">
      <c r="A2659" s="1">
        <f>HYPERLINK("https://cms.ls-nyc.org/matter/dynamic-profile/view/1871698","18-1871698")</f>
        <v>0</v>
      </c>
      <c r="B2659" t="s">
        <v>59</v>
      </c>
      <c r="C2659" t="s">
        <v>440</v>
      </c>
      <c r="E2659" t="s">
        <v>1835</v>
      </c>
      <c r="F2659" t="s">
        <v>715</v>
      </c>
      <c r="G2659" t="s">
        <v>5160</v>
      </c>
      <c r="H2659" t="s">
        <v>5462</v>
      </c>
      <c r="I2659" t="s">
        <v>6040</v>
      </c>
      <c r="J2659">
        <v>11354</v>
      </c>
      <c r="K2659" t="s">
        <v>6074</v>
      </c>
      <c r="L2659" t="s">
        <v>6074</v>
      </c>
      <c r="M2659" t="s">
        <v>6101</v>
      </c>
      <c r="N2659" t="s">
        <v>7283</v>
      </c>
      <c r="O2659" t="s">
        <v>7309</v>
      </c>
      <c r="Q2659" t="s">
        <v>7322</v>
      </c>
      <c r="R2659" t="s">
        <v>6076</v>
      </c>
      <c r="S2659" t="s">
        <v>7324</v>
      </c>
      <c r="T2659" t="s">
        <v>7336</v>
      </c>
      <c r="U2659" t="s">
        <v>440</v>
      </c>
      <c r="V2659">
        <v>1590.83</v>
      </c>
      <c r="W2659" t="s">
        <v>7361</v>
      </c>
      <c r="X2659" t="s">
        <v>7371</v>
      </c>
      <c r="Z2659" t="s">
        <v>9415</v>
      </c>
      <c r="AA2659" t="s">
        <v>6110</v>
      </c>
      <c r="AB2659" t="s">
        <v>12083</v>
      </c>
      <c r="AC2659">
        <v>90</v>
      </c>
      <c r="AD2659" t="s">
        <v>12422</v>
      </c>
      <c r="AE2659" t="s">
        <v>6110</v>
      </c>
      <c r="AF2659">
        <v>8</v>
      </c>
      <c r="AG2659">
        <v>3</v>
      </c>
      <c r="AH2659">
        <v>0</v>
      </c>
      <c r="AI2659">
        <v>211.74</v>
      </c>
      <c r="AL2659" t="s">
        <v>12463</v>
      </c>
      <c r="AM2659">
        <v>44000</v>
      </c>
      <c r="AS2659">
        <v>1.8</v>
      </c>
      <c r="AT2659" t="s">
        <v>359</v>
      </c>
      <c r="AU2659" t="s">
        <v>145</v>
      </c>
    </row>
    <row r="2660" spans="1:47">
      <c r="A2660" s="1">
        <f>HYPERLINK("https://cms.ls-nyc.org/matter/dynamic-profile/view/1876570","18-1876570")</f>
        <v>0</v>
      </c>
      <c r="B2660" t="s">
        <v>90</v>
      </c>
      <c r="C2660" t="s">
        <v>243</v>
      </c>
      <c r="E2660" t="s">
        <v>966</v>
      </c>
      <c r="F2660" t="s">
        <v>3286</v>
      </c>
      <c r="G2660" t="s">
        <v>4507</v>
      </c>
      <c r="H2660" t="s">
        <v>5529</v>
      </c>
      <c r="I2660" t="s">
        <v>6043</v>
      </c>
      <c r="J2660">
        <v>11216</v>
      </c>
      <c r="K2660" t="s">
        <v>6074</v>
      </c>
      <c r="L2660" t="s">
        <v>6074</v>
      </c>
      <c r="N2660" t="s">
        <v>7282</v>
      </c>
      <c r="O2660" t="s">
        <v>7308</v>
      </c>
      <c r="Q2660" t="s">
        <v>7322</v>
      </c>
      <c r="R2660" t="s">
        <v>6074</v>
      </c>
      <c r="S2660" t="s">
        <v>7324</v>
      </c>
      <c r="U2660" t="s">
        <v>480</v>
      </c>
      <c r="V2660">
        <v>2300</v>
      </c>
      <c r="W2660" t="s">
        <v>7362</v>
      </c>
      <c r="X2660" t="s">
        <v>7375</v>
      </c>
      <c r="Z2660" t="s">
        <v>9416</v>
      </c>
      <c r="AB2660" t="s">
        <v>12084</v>
      </c>
      <c r="AC2660">
        <v>8</v>
      </c>
      <c r="AD2660" t="s">
        <v>12422</v>
      </c>
      <c r="AE2660" t="s">
        <v>6110</v>
      </c>
      <c r="AF2660">
        <v>2</v>
      </c>
      <c r="AG2660">
        <v>2</v>
      </c>
      <c r="AH2660">
        <v>0</v>
      </c>
      <c r="AI2660">
        <v>212.64</v>
      </c>
      <c r="AJ2660" t="s">
        <v>350</v>
      </c>
      <c r="AK2660" t="s">
        <v>12456</v>
      </c>
      <c r="AL2660" t="s">
        <v>12460</v>
      </c>
      <c r="AM2660">
        <v>35000</v>
      </c>
      <c r="AN2660" t="s">
        <v>12532</v>
      </c>
      <c r="AS2660">
        <v>0</v>
      </c>
      <c r="AU2660" t="s">
        <v>218</v>
      </c>
    </row>
    <row r="2661" spans="1:47">
      <c r="A2661" s="1">
        <f>HYPERLINK("https://cms.ls-nyc.org/matter/dynamic-profile/view/1876567","18-1876567")</f>
        <v>0</v>
      </c>
      <c r="B2661" t="s">
        <v>90</v>
      </c>
      <c r="C2661" t="s">
        <v>243</v>
      </c>
      <c r="E2661" t="s">
        <v>966</v>
      </c>
      <c r="F2661" t="s">
        <v>3286</v>
      </c>
      <c r="G2661" t="s">
        <v>4507</v>
      </c>
      <c r="H2661" t="s">
        <v>5529</v>
      </c>
      <c r="I2661" t="s">
        <v>6043</v>
      </c>
      <c r="J2661">
        <v>11216</v>
      </c>
      <c r="K2661" t="s">
        <v>6074</v>
      </c>
      <c r="L2661" t="s">
        <v>6074</v>
      </c>
      <c r="M2661" t="s">
        <v>6104</v>
      </c>
      <c r="O2661" t="s">
        <v>7307</v>
      </c>
      <c r="Q2661" t="s">
        <v>7322</v>
      </c>
      <c r="R2661" t="s">
        <v>6074</v>
      </c>
      <c r="S2661" t="s">
        <v>7324</v>
      </c>
      <c r="U2661" t="s">
        <v>480</v>
      </c>
      <c r="V2661">
        <v>2300</v>
      </c>
      <c r="W2661" t="s">
        <v>7362</v>
      </c>
      <c r="X2661" t="s">
        <v>7375</v>
      </c>
      <c r="Z2661" t="s">
        <v>9416</v>
      </c>
      <c r="AB2661" t="s">
        <v>12084</v>
      </c>
      <c r="AC2661">
        <v>8</v>
      </c>
      <c r="AD2661" t="s">
        <v>12422</v>
      </c>
      <c r="AE2661" t="s">
        <v>6110</v>
      </c>
      <c r="AF2661">
        <v>2</v>
      </c>
      <c r="AG2661">
        <v>2</v>
      </c>
      <c r="AH2661">
        <v>0</v>
      </c>
      <c r="AI2661">
        <v>212.64</v>
      </c>
      <c r="AJ2661" t="s">
        <v>350</v>
      </c>
      <c r="AK2661" t="s">
        <v>12456</v>
      </c>
      <c r="AL2661" t="s">
        <v>12460</v>
      </c>
      <c r="AM2661">
        <v>35000</v>
      </c>
      <c r="AN2661" t="s">
        <v>12532</v>
      </c>
      <c r="AS2661">
        <v>0</v>
      </c>
      <c r="AU2661" t="s">
        <v>218</v>
      </c>
    </row>
    <row r="2662" spans="1:47">
      <c r="A2662" s="1">
        <f>HYPERLINK("https://cms.ls-nyc.org/matter/dynamic-profile/view/1885992","18-1885992")</f>
        <v>0</v>
      </c>
      <c r="B2662" t="s">
        <v>102</v>
      </c>
      <c r="C2662" t="s">
        <v>413</v>
      </c>
      <c r="E2662" t="s">
        <v>1760</v>
      </c>
      <c r="F2662" t="s">
        <v>3371</v>
      </c>
      <c r="G2662" t="s">
        <v>3779</v>
      </c>
      <c r="H2662" t="s">
        <v>5912</v>
      </c>
      <c r="I2662" t="s">
        <v>6047</v>
      </c>
      <c r="J2662">
        <v>10460</v>
      </c>
      <c r="K2662" t="s">
        <v>6074</v>
      </c>
      <c r="L2662" t="s">
        <v>6074</v>
      </c>
      <c r="M2662" t="s">
        <v>6182</v>
      </c>
      <c r="N2662" t="s">
        <v>7273</v>
      </c>
      <c r="O2662" t="s">
        <v>7308</v>
      </c>
      <c r="Q2662" t="s">
        <v>7322</v>
      </c>
      <c r="R2662" t="s">
        <v>6074</v>
      </c>
      <c r="S2662" t="s">
        <v>7324</v>
      </c>
      <c r="U2662" t="s">
        <v>457</v>
      </c>
      <c r="V2662">
        <v>1960</v>
      </c>
      <c r="W2662" t="s">
        <v>7363</v>
      </c>
      <c r="X2662" t="s">
        <v>7376</v>
      </c>
      <c r="Z2662" t="s">
        <v>9417</v>
      </c>
      <c r="AB2662" t="s">
        <v>12085</v>
      </c>
      <c r="AC2662">
        <v>169</v>
      </c>
      <c r="AD2662" t="s">
        <v>12420</v>
      </c>
      <c r="AE2662" t="s">
        <v>12434</v>
      </c>
      <c r="AF2662">
        <v>11</v>
      </c>
      <c r="AG2662">
        <v>1</v>
      </c>
      <c r="AH2662">
        <v>1</v>
      </c>
      <c r="AI2662">
        <v>212.64</v>
      </c>
      <c r="AL2662" t="s">
        <v>12460</v>
      </c>
      <c r="AM2662">
        <v>35000</v>
      </c>
      <c r="AS2662">
        <v>0</v>
      </c>
      <c r="AU2662" t="s">
        <v>13113</v>
      </c>
    </row>
    <row r="2663" spans="1:47">
      <c r="A2663" s="1">
        <f>HYPERLINK("https://cms.ls-nyc.org/matter/dynamic-profile/view/1886012","18-1886012")</f>
        <v>0</v>
      </c>
      <c r="B2663" t="s">
        <v>102</v>
      </c>
      <c r="C2663" t="s">
        <v>320</v>
      </c>
      <c r="E2663" t="s">
        <v>1836</v>
      </c>
      <c r="F2663" t="s">
        <v>3372</v>
      </c>
      <c r="G2663" t="s">
        <v>3779</v>
      </c>
      <c r="H2663" t="s">
        <v>5913</v>
      </c>
      <c r="I2663" t="s">
        <v>6047</v>
      </c>
      <c r="J2663">
        <v>10460</v>
      </c>
      <c r="K2663" t="s">
        <v>6074</v>
      </c>
      <c r="L2663" t="s">
        <v>6074</v>
      </c>
      <c r="M2663" t="s">
        <v>6182</v>
      </c>
      <c r="N2663" t="s">
        <v>7273</v>
      </c>
      <c r="O2663" t="s">
        <v>7308</v>
      </c>
      <c r="Q2663" t="s">
        <v>7322</v>
      </c>
      <c r="R2663" t="s">
        <v>6074</v>
      </c>
      <c r="S2663" t="s">
        <v>7324</v>
      </c>
      <c r="U2663" t="s">
        <v>457</v>
      </c>
      <c r="V2663">
        <v>1169</v>
      </c>
      <c r="W2663" t="s">
        <v>7363</v>
      </c>
      <c r="X2663" t="s">
        <v>7376</v>
      </c>
      <c r="Z2663" t="s">
        <v>9418</v>
      </c>
      <c r="AC2663">
        <v>169</v>
      </c>
      <c r="AD2663" t="s">
        <v>12422</v>
      </c>
      <c r="AE2663" t="s">
        <v>12434</v>
      </c>
      <c r="AF2663">
        <v>0</v>
      </c>
      <c r="AG2663">
        <v>2</v>
      </c>
      <c r="AH2663">
        <v>0</v>
      </c>
      <c r="AI2663">
        <v>212.64</v>
      </c>
      <c r="AL2663" t="s">
        <v>12460</v>
      </c>
      <c r="AM2663">
        <v>35000</v>
      </c>
      <c r="AS2663">
        <v>0</v>
      </c>
      <c r="AU2663" t="s">
        <v>13113</v>
      </c>
    </row>
    <row r="2664" spans="1:47">
      <c r="A2664" s="1">
        <f>HYPERLINK("https://cms.ls-nyc.org/matter/dynamic-profile/view/1876352","18-1876352")</f>
        <v>0</v>
      </c>
      <c r="B2664" t="s">
        <v>96</v>
      </c>
      <c r="C2664" t="s">
        <v>253</v>
      </c>
      <c r="E2664" t="s">
        <v>1837</v>
      </c>
      <c r="F2664" t="s">
        <v>3373</v>
      </c>
      <c r="G2664" t="s">
        <v>4152</v>
      </c>
      <c r="H2664" t="s">
        <v>5491</v>
      </c>
      <c r="I2664" t="s">
        <v>6047</v>
      </c>
      <c r="J2664">
        <v>10456</v>
      </c>
      <c r="K2664" t="s">
        <v>6074</v>
      </c>
      <c r="L2664" t="s">
        <v>6074</v>
      </c>
      <c r="M2664" t="s">
        <v>6446</v>
      </c>
      <c r="N2664" t="s">
        <v>7279</v>
      </c>
      <c r="O2664" t="s">
        <v>7311</v>
      </c>
      <c r="Q2664" t="s">
        <v>7322</v>
      </c>
      <c r="R2664" t="s">
        <v>6074</v>
      </c>
      <c r="S2664" t="s">
        <v>7324</v>
      </c>
      <c r="U2664" t="s">
        <v>502</v>
      </c>
      <c r="V2664">
        <v>1245</v>
      </c>
      <c r="W2664" t="s">
        <v>7363</v>
      </c>
      <c r="X2664" t="s">
        <v>7376</v>
      </c>
      <c r="Z2664" t="s">
        <v>8997</v>
      </c>
      <c r="AB2664" t="s">
        <v>12086</v>
      </c>
      <c r="AC2664">
        <v>61</v>
      </c>
      <c r="AD2664" t="s">
        <v>12422</v>
      </c>
      <c r="AE2664" t="s">
        <v>12438</v>
      </c>
      <c r="AF2664">
        <v>21</v>
      </c>
      <c r="AG2664">
        <v>1</v>
      </c>
      <c r="AH2664">
        <v>1</v>
      </c>
      <c r="AI2664">
        <v>212.64</v>
      </c>
      <c r="AL2664" t="s">
        <v>12460</v>
      </c>
      <c r="AM2664">
        <v>35000</v>
      </c>
      <c r="AS2664">
        <v>0</v>
      </c>
      <c r="AU2664" t="s">
        <v>13095</v>
      </c>
    </row>
    <row r="2665" spans="1:47">
      <c r="A2665" s="1">
        <f>HYPERLINK("https://cms.ls-nyc.org/matter/dynamic-profile/view/1880627","18-1880627")</f>
        <v>0</v>
      </c>
      <c r="B2665" t="s">
        <v>96</v>
      </c>
      <c r="C2665" t="s">
        <v>360</v>
      </c>
      <c r="E2665" t="s">
        <v>1837</v>
      </c>
      <c r="F2665" t="s">
        <v>3373</v>
      </c>
      <c r="G2665" t="s">
        <v>4152</v>
      </c>
      <c r="H2665" t="s">
        <v>5491</v>
      </c>
      <c r="I2665" t="s">
        <v>6047</v>
      </c>
      <c r="J2665">
        <v>10456</v>
      </c>
      <c r="K2665" t="s">
        <v>6074</v>
      </c>
      <c r="L2665" t="s">
        <v>6074</v>
      </c>
      <c r="M2665" t="s">
        <v>6498</v>
      </c>
      <c r="N2665" t="s">
        <v>7279</v>
      </c>
      <c r="O2665" t="s">
        <v>7311</v>
      </c>
      <c r="Q2665" t="s">
        <v>7322</v>
      </c>
      <c r="R2665" t="s">
        <v>6074</v>
      </c>
      <c r="S2665" t="s">
        <v>7324</v>
      </c>
      <c r="U2665" t="s">
        <v>257</v>
      </c>
      <c r="V2665">
        <v>1245</v>
      </c>
      <c r="W2665" t="s">
        <v>7363</v>
      </c>
      <c r="X2665" t="s">
        <v>7376</v>
      </c>
      <c r="Z2665" t="s">
        <v>8997</v>
      </c>
      <c r="AB2665" t="s">
        <v>12086</v>
      </c>
      <c r="AC2665">
        <v>61</v>
      </c>
      <c r="AD2665" t="s">
        <v>12422</v>
      </c>
      <c r="AE2665" t="s">
        <v>12438</v>
      </c>
      <c r="AF2665">
        <v>21</v>
      </c>
      <c r="AG2665">
        <v>1</v>
      </c>
      <c r="AH2665">
        <v>1</v>
      </c>
      <c r="AI2665">
        <v>212.64</v>
      </c>
      <c r="AL2665" t="s">
        <v>12460</v>
      </c>
      <c r="AM2665">
        <v>35000</v>
      </c>
      <c r="AS2665">
        <v>0</v>
      </c>
      <c r="AU2665" t="s">
        <v>13092</v>
      </c>
    </row>
    <row r="2666" spans="1:47">
      <c r="A2666" s="1">
        <f>HYPERLINK("https://cms.ls-nyc.org/matter/dynamic-profile/view/1876858","18-1876858")</f>
        <v>0</v>
      </c>
      <c r="B2666" t="s">
        <v>120</v>
      </c>
      <c r="C2666" t="s">
        <v>290</v>
      </c>
      <c r="D2666" t="s">
        <v>468</v>
      </c>
      <c r="E2666" t="s">
        <v>1838</v>
      </c>
      <c r="F2666" t="s">
        <v>3239</v>
      </c>
      <c r="G2666" t="s">
        <v>4322</v>
      </c>
      <c r="H2666" t="s">
        <v>5914</v>
      </c>
      <c r="I2666" t="s">
        <v>6048</v>
      </c>
      <c r="J2666">
        <v>10301</v>
      </c>
      <c r="K2666" t="s">
        <v>6074</v>
      </c>
      <c r="L2666" t="s">
        <v>6074</v>
      </c>
      <c r="M2666" t="s">
        <v>7153</v>
      </c>
      <c r="N2666" t="s">
        <v>7276</v>
      </c>
      <c r="O2666" t="s">
        <v>7308</v>
      </c>
      <c r="P2666" t="s">
        <v>7316</v>
      </c>
      <c r="Q2666" t="s">
        <v>7322</v>
      </c>
      <c r="R2666" t="s">
        <v>6076</v>
      </c>
      <c r="S2666" t="s">
        <v>7324</v>
      </c>
      <c r="U2666" t="s">
        <v>290</v>
      </c>
      <c r="V2666">
        <v>1554</v>
      </c>
      <c r="W2666" t="s">
        <v>7364</v>
      </c>
      <c r="X2666" t="s">
        <v>7367</v>
      </c>
      <c r="Y2666" t="s">
        <v>7388</v>
      </c>
      <c r="AC2666">
        <v>227</v>
      </c>
      <c r="AD2666" t="s">
        <v>12422</v>
      </c>
      <c r="AE2666" t="s">
        <v>6110</v>
      </c>
      <c r="AF2666">
        <v>1</v>
      </c>
      <c r="AG2666">
        <v>1</v>
      </c>
      <c r="AH2666">
        <v>2</v>
      </c>
      <c r="AI2666">
        <v>212.7</v>
      </c>
      <c r="AJ2666" t="s">
        <v>492</v>
      </c>
      <c r="AK2666" t="s">
        <v>12456</v>
      </c>
      <c r="AM2666">
        <v>44200</v>
      </c>
      <c r="AO2666" t="s">
        <v>12855</v>
      </c>
      <c r="AQ2666" t="s">
        <v>12909</v>
      </c>
      <c r="AR2666" t="s">
        <v>13054</v>
      </c>
      <c r="AS2666">
        <v>6.7</v>
      </c>
      <c r="AT2666" t="s">
        <v>372</v>
      </c>
      <c r="AU2666" t="s">
        <v>210</v>
      </c>
    </row>
    <row r="2667" spans="1:47">
      <c r="A2667" s="1">
        <f>HYPERLINK("https://cms.ls-nyc.org/matter/dynamic-profile/view/1879017","18-1879017")</f>
        <v>0</v>
      </c>
      <c r="B2667" t="s">
        <v>132</v>
      </c>
      <c r="C2667" t="s">
        <v>407</v>
      </c>
      <c r="D2667" t="s">
        <v>413</v>
      </c>
      <c r="E2667" t="s">
        <v>937</v>
      </c>
      <c r="F2667" t="s">
        <v>3374</v>
      </c>
      <c r="G2667" t="s">
        <v>4852</v>
      </c>
      <c r="H2667" t="s">
        <v>5418</v>
      </c>
      <c r="I2667" t="s">
        <v>6049</v>
      </c>
      <c r="J2667">
        <v>10032</v>
      </c>
      <c r="K2667" t="s">
        <v>6074</v>
      </c>
      <c r="L2667" t="s">
        <v>6074</v>
      </c>
      <c r="N2667" t="s">
        <v>7276</v>
      </c>
      <c r="O2667" t="s">
        <v>7307</v>
      </c>
      <c r="P2667" t="s">
        <v>7315</v>
      </c>
      <c r="Q2667" t="s">
        <v>7322</v>
      </c>
      <c r="S2667" t="s">
        <v>7324</v>
      </c>
      <c r="U2667" t="s">
        <v>407</v>
      </c>
      <c r="V2667">
        <v>2850</v>
      </c>
      <c r="W2667" t="s">
        <v>7365</v>
      </c>
      <c r="Y2667" t="s">
        <v>7387</v>
      </c>
      <c r="Z2667" t="s">
        <v>9419</v>
      </c>
      <c r="AB2667" t="s">
        <v>12087</v>
      </c>
      <c r="AC2667">
        <v>0</v>
      </c>
      <c r="AF2667">
        <v>3</v>
      </c>
      <c r="AG2667">
        <v>2</v>
      </c>
      <c r="AH2667">
        <v>1</v>
      </c>
      <c r="AI2667">
        <v>212.7</v>
      </c>
      <c r="AL2667" t="s">
        <v>12460</v>
      </c>
      <c r="AM2667">
        <v>44200</v>
      </c>
      <c r="AS2667">
        <v>1.7</v>
      </c>
      <c r="AT2667" t="s">
        <v>258</v>
      </c>
      <c r="AU2667" t="s">
        <v>13108</v>
      </c>
    </row>
    <row r="2668" spans="1:47">
      <c r="A2668" s="1">
        <f>HYPERLINK("https://cms.ls-nyc.org/matter/dynamic-profile/view/1898376","19-1898376")</f>
        <v>0</v>
      </c>
      <c r="B2668" t="s">
        <v>72</v>
      </c>
      <c r="C2668" t="s">
        <v>257</v>
      </c>
      <c r="E2668" t="s">
        <v>878</v>
      </c>
      <c r="F2668" t="s">
        <v>3375</v>
      </c>
      <c r="G2668" t="s">
        <v>3700</v>
      </c>
      <c r="H2668" t="s">
        <v>5915</v>
      </c>
      <c r="I2668" t="s">
        <v>6043</v>
      </c>
      <c r="J2668">
        <v>11233</v>
      </c>
      <c r="K2668" t="s">
        <v>6074</v>
      </c>
      <c r="L2668" t="s">
        <v>6076</v>
      </c>
      <c r="N2668" t="s">
        <v>7279</v>
      </c>
      <c r="O2668" t="s">
        <v>7311</v>
      </c>
      <c r="Q2668" t="s">
        <v>7322</v>
      </c>
      <c r="R2668" t="s">
        <v>6074</v>
      </c>
      <c r="S2668" t="s">
        <v>7324</v>
      </c>
      <c r="T2668" t="s">
        <v>7336</v>
      </c>
      <c r="U2668" t="s">
        <v>330</v>
      </c>
      <c r="V2668">
        <v>1082.69</v>
      </c>
      <c r="W2668" t="s">
        <v>7362</v>
      </c>
      <c r="X2668" t="s">
        <v>7305</v>
      </c>
      <c r="Z2668" t="s">
        <v>9420</v>
      </c>
      <c r="AC2668">
        <v>359</v>
      </c>
      <c r="AD2668" t="s">
        <v>12422</v>
      </c>
      <c r="AF2668">
        <v>39</v>
      </c>
      <c r="AG2668">
        <v>2</v>
      </c>
      <c r="AH2668">
        <v>0</v>
      </c>
      <c r="AI2668">
        <v>212.89</v>
      </c>
      <c r="AL2668" t="s">
        <v>12460</v>
      </c>
      <c r="AM2668">
        <v>36000</v>
      </c>
      <c r="AN2668" t="s">
        <v>12488</v>
      </c>
      <c r="AS2668">
        <v>0</v>
      </c>
      <c r="AU2668" t="s">
        <v>180</v>
      </c>
    </row>
    <row r="2669" spans="1:47">
      <c r="A2669" s="1">
        <f>HYPERLINK("https://cms.ls-nyc.org/matter/dynamic-profile/view/1898379","19-1898379")</f>
        <v>0</v>
      </c>
      <c r="B2669" t="s">
        <v>72</v>
      </c>
      <c r="C2669" t="s">
        <v>257</v>
      </c>
      <c r="E2669" t="s">
        <v>878</v>
      </c>
      <c r="F2669" t="s">
        <v>3375</v>
      </c>
      <c r="G2669" t="s">
        <v>3700</v>
      </c>
      <c r="H2669" t="s">
        <v>5915</v>
      </c>
      <c r="I2669" t="s">
        <v>6043</v>
      </c>
      <c r="J2669">
        <v>11233</v>
      </c>
      <c r="K2669" t="s">
        <v>6074</v>
      </c>
      <c r="L2669" t="s">
        <v>6076</v>
      </c>
      <c r="N2669" t="s">
        <v>7275</v>
      </c>
      <c r="O2669" t="s">
        <v>7307</v>
      </c>
      <c r="Q2669" t="s">
        <v>7322</v>
      </c>
      <c r="R2669" t="s">
        <v>6074</v>
      </c>
      <c r="S2669" t="s">
        <v>7324</v>
      </c>
      <c r="T2669" t="s">
        <v>7336</v>
      </c>
      <c r="U2669" t="s">
        <v>287</v>
      </c>
      <c r="V2669">
        <v>1082.69</v>
      </c>
      <c r="W2669" t="s">
        <v>7362</v>
      </c>
      <c r="X2669" t="s">
        <v>7305</v>
      </c>
      <c r="Z2669" t="s">
        <v>9420</v>
      </c>
      <c r="AC2669">
        <v>359</v>
      </c>
      <c r="AD2669" t="s">
        <v>12422</v>
      </c>
      <c r="AF2669">
        <v>39</v>
      </c>
      <c r="AG2669">
        <v>2</v>
      </c>
      <c r="AH2669">
        <v>0</v>
      </c>
      <c r="AI2669">
        <v>212.89</v>
      </c>
      <c r="AL2669" t="s">
        <v>12460</v>
      </c>
      <c r="AM2669">
        <v>36000</v>
      </c>
      <c r="AN2669" t="s">
        <v>12718</v>
      </c>
      <c r="AS2669">
        <v>0</v>
      </c>
      <c r="AU2669" t="s">
        <v>180</v>
      </c>
    </row>
    <row r="2670" spans="1:47">
      <c r="A2670" s="1">
        <f>HYPERLINK("https://cms.ls-nyc.org/matter/dynamic-profile/view/1889010","19-1889010")</f>
        <v>0</v>
      </c>
      <c r="B2670" t="s">
        <v>70</v>
      </c>
      <c r="C2670" t="s">
        <v>379</v>
      </c>
      <c r="E2670" t="s">
        <v>1839</v>
      </c>
      <c r="F2670" t="s">
        <v>3376</v>
      </c>
      <c r="G2670" t="s">
        <v>3721</v>
      </c>
      <c r="H2670" t="s">
        <v>5447</v>
      </c>
      <c r="I2670" t="s">
        <v>6043</v>
      </c>
      <c r="J2670">
        <v>11226</v>
      </c>
      <c r="K2670" t="s">
        <v>6076</v>
      </c>
      <c r="L2670" t="s">
        <v>6074</v>
      </c>
      <c r="N2670" t="s">
        <v>7279</v>
      </c>
      <c r="O2670" t="s">
        <v>7311</v>
      </c>
      <c r="Q2670" t="s">
        <v>7322</v>
      </c>
      <c r="R2670" t="s">
        <v>6074</v>
      </c>
      <c r="S2670" t="s">
        <v>7324</v>
      </c>
      <c r="T2670" t="s">
        <v>7336</v>
      </c>
      <c r="U2670" t="s">
        <v>7355</v>
      </c>
      <c r="V2670">
        <v>1107</v>
      </c>
      <c r="W2670" t="s">
        <v>7362</v>
      </c>
      <c r="Z2670" t="s">
        <v>9421</v>
      </c>
      <c r="AC2670">
        <v>0</v>
      </c>
      <c r="AF2670">
        <v>13</v>
      </c>
      <c r="AG2670">
        <v>1</v>
      </c>
      <c r="AH2670">
        <v>1</v>
      </c>
      <c r="AI2670">
        <v>212.89</v>
      </c>
      <c r="AL2670" t="s">
        <v>12460</v>
      </c>
      <c r="AM2670">
        <v>36000</v>
      </c>
      <c r="AS2670">
        <v>0.1</v>
      </c>
      <c r="AT2670" t="s">
        <v>418</v>
      </c>
      <c r="AU2670" t="s">
        <v>88</v>
      </c>
    </row>
    <row r="2671" spans="1:47">
      <c r="A2671" s="1">
        <f>HYPERLINK("https://cms.ls-nyc.org/matter/dynamic-profile/view/1889256","19-1889256")</f>
        <v>0</v>
      </c>
      <c r="B2671" t="s">
        <v>75</v>
      </c>
      <c r="C2671" t="s">
        <v>259</v>
      </c>
      <c r="E2671" t="s">
        <v>1839</v>
      </c>
      <c r="F2671" t="s">
        <v>3376</v>
      </c>
      <c r="G2671" t="s">
        <v>3721</v>
      </c>
      <c r="H2671" t="s">
        <v>5447</v>
      </c>
      <c r="I2671" t="s">
        <v>6043</v>
      </c>
      <c r="J2671">
        <v>11226</v>
      </c>
      <c r="K2671" t="s">
        <v>6076</v>
      </c>
      <c r="L2671" t="s">
        <v>6074</v>
      </c>
      <c r="N2671" t="s">
        <v>7279</v>
      </c>
      <c r="O2671" t="s">
        <v>7309</v>
      </c>
      <c r="Q2671" t="s">
        <v>7322</v>
      </c>
      <c r="R2671" t="s">
        <v>6074</v>
      </c>
      <c r="S2671" t="s">
        <v>7324</v>
      </c>
      <c r="U2671" t="s">
        <v>267</v>
      </c>
      <c r="V2671">
        <v>1107</v>
      </c>
      <c r="W2671" t="s">
        <v>7362</v>
      </c>
      <c r="Z2671" t="s">
        <v>9421</v>
      </c>
      <c r="AC2671">
        <v>0</v>
      </c>
      <c r="AF2671">
        <v>13</v>
      </c>
      <c r="AG2671">
        <v>1</v>
      </c>
      <c r="AH2671">
        <v>1</v>
      </c>
      <c r="AI2671">
        <v>212.89</v>
      </c>
      <c r="AL2671" t="s">
        <v>12460</v>
      </c>
      <c r="AM2671">
        <v>36000</v>
      </c>
      <c r="AS2671">
        <v>0</v>
      </c>
      <c r="AU2671" t="s">
        <v>88</v>
      </c>
    </row>
    <row r="2672" spans="1:47">
      <c r="A2672" s="1">
        <f>HYPERLINK("https://cms.ls-nyc.org/matter/dynamic-profile/view/1892654","19-1892654")</f>
        <v>0</v>
      </c>
      <c r="B2672" t="s">
        <v>221</v>
      </c>
      <c r="C2672" t="s">
        <v>395</v>
      </c>
      <c r="E2672" t="s">
        <v>586</v>
      </c>
      <c r="F2672" t="s">
        <v>2713</v>
      </c>
      <c r="G2672" t="s">
        <v>5161</v>
      </c>
      <c r="H2672" t="s">
        <v>5411</v>
      </c>
      <c r="I2672" t="s">
        <v>6047</v>
      </c>
      <c r="J2672">
        <v>10468</v>
      </c>
      <c r="K2672" t="s">
        <v>6074</v>
      </c>
      <c r="L2672" t="s">
        <v>6074</v>
      </c>
      <c r="N2672" t="s">
        <v>7286</v>
      </c>
      <c r="O2672" t="s">
        <v>7307</v>
      </c>
      <c r="Q2672" t="s">
        <v>7322</v>
      </c>
      <c r="S2672" t="s">
        <v>7331</v>
      </c>
      <c r="U2672" t="s">
        <v>395</v>
      </c>
      <c r="V2672">
        <v>1500</v>
      </c>
      <c r="W2672" t="s">
        <v>7363</v>
      </c>
      <c r="X2672" t="s">
        <v>7366</v>
      </c>
      <c r="Z2672" t="s">
        <v>9422</v>
      </c>
      <c r="AB2672" t="s">
        <v>12088</v>
      </c>
      <c r="AC2672">
        <v>0</v>
      </c>
      <c r="AD2672" t="s">
        <v>12422</v>
      </c>
      <c r="AE2672" t="s">
        <v>12434</v>
      </c>
      <c r="AF2672">
        <v>9</v>
      </c>
      <c r="AG2672">
        <v>2</v>
      </c>
      <c r="AH2672">
        <v>0</v>
      </c>
      <c r="AI2672">
        <v>212.89</v>
      </c>
      <c r="AL2672" t="s">
        <v>12460</v>
      </c>
      <c r="AM2672">
        <v>36000</v>
      </c>
      <c r="AS2672">
        <v>1.5</v>
      </c>
      <c r="AT2672" t="s">
        <v>356</v>
      </c>
      <c r="AU2672" t="s">
        <v>13118</v>
      </c>
    </row>
    <row r="2673" spans="1:47">
      <c r="A2673" s="1">
        <f>HYPERLINK("https://cms.ls-nyc.org/matter/dynamic-profile/view/1887229","19-1887229")</f>
        <v>0</v>
      </c>
      <c r="B2673" t="s">
        <v>136</v>
      </c>
      <c r="C2673" t="s">
        <v>452</v>
      </c>
      <c r="D2673" t="s">
        <v>277</v>
      </c>
      <c r="E2673" t="s">
        <v>1840</v>
      </c>
      <c r="F2673" t="s">
        <v>3377</v>
      </c>
      <c r="G2673" t="s">
        <v>5162</v>
      </c>
      <c r="H2673">
        <v>6</v>
      </c>
      <c r="I2673" t="s">
        <v>6049</v>
      </c>
      <c r="J2673">
        <v>10009</v>
      </c>
      <c r="K2673" t="s">
        <v>6074</v>
      </c>
      <c r="L2673" t="s">
        <v>6074</v>
      </c>
      <c r="M2673" t="s">
        <v>7154</v>
      </c>
      <c r="N2673" t="s">
        <v>7276</v>
      </c>
      <c r="O2673" t="s">
        <v>7308</v>
      </c>
      <c r="P2673" t="s">
        <v>7320</v>
      </c>
      <c r="Q2673" t="s">
        <v>7323</v>
      </c>
      <c r="R2673" t="s">
        <v>6076</v>
      </c>
      <c r="S2673" t="s">
        <v>7324</v>
      </c>
      <c r="T2673" t="s">
        <v>7337</v>
      </c>
      <c r="U2673" t="s">
        <v>452</v>
      </c>
      <c r="V2673">
        <v>687</v>
      </c>
      <c r="W2673" t="s">
        <v>7365</v>
      </c>
      <c r="X2673" t="s">
        <v>7369</v>
      </c>
      <c r="Y2673" t="s">
        <v>7392</v>
      </c>
      <c r="Z2673" t="s">
        <v>9423</v>
      </c>
      <c r="AB2673" t="s">
        <v>12089</v>
      </c>
      <c r="AC2673">
        <v>16</v>
      </c>
      <c r="AD2673" t="s">
        <v>12424</v>
      </c>
      <c r="AE2673" t="s">
        <v>6110</v>
      </c>
      <c r="AF2673">
        <v>25</v>
      </c>
      <c r="AG2673">
        <v>5</v>
      </c>
      <c r="AH2673">
        <v>1</v>
      </c>
      <c r="AI2673">
        <v>213.4</v>
      </c>
      <c r="AJ2673" t="s">
        <v>12443</v>
      </c>
      <c r="AK2673" t="s">
        <v>12455</v>
      </c>
      <c r="AL2673" t="s">
        <v>12460</v>
      </c>
      <c r="AM2673">
        <v>72000</v>
      </c>
      <c r="AO2673" t="s">
        <v>12855</v>
      </c>
      <c r="AP2673" t="s">
        <v>12858</v>
      </c>
      <c r="AQ2673" t="s">
        <v>12909</v>
      </c>
      <c r="AR2673" t="s">
        <v>13055</v>
      </c>
      <c r="AS2673">
        <v>31.4</v>
      </c>
      <c r="AT2673" t="s">
        <v>292</v>
      </c>
      <c r="AU2673" t="s">
        <v>13107</v>
      </c>
    </row>
    <row r="2674" spans="1:47">
      <c r="A2674" s="1">
        <f>HYPERLINK("https://cms.ls-nyc.org/matter/dynamic-profile/view/1887242","19-1887242")</f>
        <v>0</v>
      </c>
      <c r="B2674" t="s">
        <v>136</v>
      </c>
      <c r="C2674" t="s">
        <v>452</v>
      </c>
      <c r="D2674" t="s">
        <v>277</v>
      </c>
      <c r="E2674" t="s">
        <v>1840</v>
      </c>
      <c r="F2674" t="s">
        <v>3377</v>
      </c>
      <c r="G2674" t="s">
        <v>5162</v>
      </c>
      <c r="H2674">
        <v>6</v>
      </c>
      <c r="I2674" t="s">
        <v>6049</v>
      </c>
      <c r="J2674">
        <v>10009</v>
      </c>
      <c r="K2674" t="s">
        <v>6074</v>
      </c>
      <c r="L2674" t="s">
        <v>6074</v>
      </c>
      <c r="N2674" t="s">
        <v>7290</v>
      </c>
      <c r="O2674" t="s">
        <v>7309</v>
      </c>
      <c r="P2674" t="s">
        <v>7321</v>
      </c>
      <c r="Q2674" t="s">
        <v>7322</v>
      </c>
      <c r="R2674" t="s">
        <v>6076</v>
      </c>
      <c r="S2674" t="s">
        <v>7333</v>
      </c>
      <c r="T2674" t="s">
        <v>7337</v>
      </c>
      <c r="U2674" t="s">
        <v>452</v>
      </c>
      <c r="V2674">
        <v>687</v>
      </c>
      <c r="W2674" t="s">
        <v>7365</v>
      </c>
      <c r="X2674" t="s">
        <v>7369</v>
      </c>
      <c r="Y2674" t="s">
        <v>7403</v>
      </c>
      <c r="Z2674" t="s">
        <v>9423</v>
      </c>
      <c r="AB2674" t="s">
        <v>12089</v>
      </c>
      <c r="AC2674">
        <v>25</v>
      </c>
      <c r="AD2674" t="s">
        <v>12424</v>
      </c>
      <c r="AE2674" t="s">
        <v>6110</v>
      </c>
      <c r="AF2674">
        <v>16</v>
      </c>
      <c r="AG2674">
        <v>5</v>
      </c>
      <c r="AH2674">
        <v>1</v>
      </c>
      <c r="AI2674">
        <v>213.4</v>
      </c>
      <c r="AJ2674" t="s">
        <v>12443</v>
      </c>
      <c r="AK2674" t="s">
        <v>12455</v>
      </c>
      <c r="AL2674" t="s">
        <v>12460</v>
      </c>
      <c r="AM2674">
        <v>72000</v>
      </c>
      <c r="AS2674">
        <v>0.1</v>
      </c>
      <c r="AT2674" t="s">
        <v>277</v>
      </c>
      <c r="AU2674" t="s">
        <v>13107</v>
      </c>
    </row>
    <row r="2675" spans="1:47">
      <c r="A2675" s="1">
        <f>HYPERLINK("https://cms.ls-nyc.org/matter/dynamic-profile/view/1868183","18-1868183")</f>
        <v>0</v>
      </c>
      <c r="B2675" t="s">
        <v>115</v>
      </c>
      <c r="C2675" t="s">
        <v>534</v>
      </c>
      <c r="E2675" t="s">
        <v>1841</v>
      </c>
      <c r="F2675" t="s">
        <v>2342</v>
      </c>
      <c r="G2675" t="s">
        <v>4132</v>
      </c>
      <c r="H2675" t="s">
        <v>5504</v>
      </c>
      <c r="I2675" t="s">
        <v>6047</v>
      </c>
      <c r="J2675">
        <v>10463</v>
      </c>
      <c r="K2675" t="s">
        <v>6074</v>
      </c>
      <c r="L2675" t="s">
        <v>6074</v>
      </c>
      <c r="M2675" t="s">
        <v>6566</v>
      </c>
      <c r="N2675" t="s">
        <v>7278</v>
      </c>
      <c r="O2675" t="s">
        <v>7308</v>
      </c>
      <c r="Q2675" t="s">
        <v>7322</v>
      </c>
      <c r="R2675" t="s">
        <v>6076</v>
      </c>
      <c r="S2675" t="s">
        <v>7324</v>
      </c>
      <c r="U2675" t="s">
        <v>467</v>
      </c>
      <c r="V2675">
        <v>948</v>
      </c>
      <c r="W2675" t="s">
        <v>7363</v>
      </c>
      <c r="X2675" t="s">
        <v>7376</v>
      </c>
      <c r="Z2675" t="s">
        <v>9424</v>
      </c>
      <c r="AB2675" t="s">
        <v>12090</v>
      </c>
      <c r="AC2675">
        <v>55</v>
      </c>
      <c r="AD2675" t="s">
        <v>12422</v>
      </c>
      <c r="AE2675" t="s">
        <v>6110</v>
      </c>
      <c r="AF2675">
        <v>10</v>
      </c>
      <c r="AG2675">
        <v>1</v>
      </c>
      <c r="AH2675">
        <v>0</v>
      </c>
      <c r="AI2675">
        <v>214.17</v>
      </c>
      <c r="AJ2675" t="s">
        <v>354</v>
      </c>
      <c r="AL2675" t="s">
        <v>12461</v>
      </c>
      <c r="AM2675">
        <v>26000</v>
      </c>
      <c r="AN2675" t="s">
        <v>12719</v>
      </c>
      <c r="AS2675">
        <v>109</v>
      </c>
      <c r="AT2675" t="s">
        <v>260</v>
      </c>
      <c r="AU2675" t="s">
        <v>13099</v>
      </c>
    </row>
    <row r="2676" spans="1:47">
      <c r="A2676" s="1">
        <f>HYPERLINK("https://cms.ls-nyc.org/matter/dynamic-profile/view/1875479","18-1875479")</f>
        <v>0</v>
      </c>
      <c r="B2676" t="s">
        <v>96</v>
      </c>
      <c r="C2676" t="s">
        <v>480</v>
      </c>
      <c r="E2676" t="s">
        <v>827</v>
      </c>
      <c r="F2676" t="s">
        <v>3378</v>
      </c>
      <c r="G2676" t="s">
        <v>3936</v>
      </c>
      <c r="H2676" t="s">
        <v>5357</v>
      </c>
      <c r="I2676" t="s">
        <v>6047</v>
      </c>
      <c r="J2676">
        <v>10452</v>
      </c>
      <c r="K2676" t="s">
        <v>6074</v>
      </c>
      <c r="L2676" t="s">
        <v>6074</v>
      </c>
      <c r="N2676" t="s">
        <v>7279</v>
      </c>
      <c r="O2676" t="s">
        <v>7311</v>
      </c>
      <c r="Q2676" t="s">
        <v>7322</v>
      </c>
      <c r="R2676" t="s">
        <v>6074</v>
      </c>
      <c r="S2676" t="s">
        <v>7324</v>
      </c>
      <c r="U2676" t="s">
        <v>472</v>
      </c>
      <c r="V2676">
        <v>1300</v>
      </c>
      <c r="W2676" t="s">
        <v>7363</v>
      </c>
      <c r="X2676" t="s">
        <v>7376</v>
      </c>
      <c r="Z2676" t="s">
        <v>9425</v>
      </c>
      <c r="AB2676" t="s">
        <v>12091</v>
      </c>
      <c r="AC2676">
        <v>53</v>
      </c>
      <c r="AD2676" t="s">
        <v>12422</v>
      </c>
      <c r="AE2676" t="s">
        <v>12434</v>
      </c>
      <c r="AF2676">
        <v>2</v>
      </c>
      <c r="AG2676">
        <v>1</v>
      </c>
      <c r="AH2676">
        <v>0</v>
      </c>
      <c r="AI2676">
        <v>214.17</v>
      </c>
      <c r="AL2676" t="s">
        <v>12460</v>
      </c>
      <c r="AM2676">
        <v>26000</v>
      </c>
      <c r="AN2676" t="s">
        <v>12720</v>
      </c>
      <c r="AS2676">
        <v>8.5</v>
      </c>
      <c r="AT2676" t="s">
        <v>294</v>
      </c>
      <c r="AU2676" t="s">
        <v>96</v>
      </c>
    </row>
    <row r="2677" spans="1:47">
      <c r="A2677" s="1">
        <f>HYPERLINK("https://cms.ls-nyc.org/matter/dynamic-profile/view/1875019","18-1875019")</f>
        <v>0</v>
      </c>
      <c r="B2677" t="s">
        <v>96</v>
      </c>
      <c r="C2677" t="s">
        <v>262</v>
      </c>
      <c r="D2677" t="s">
        <v>472</v>
      </c>
      <c r="E2677" t="s">
        <v>827</v>
      </c>
      <c r="F2677" t="s">
        <v>3378</v>
      </c>
      <c r="G2677" t="s">
        <v>3936</v>
      </c>
      <c r="I2677" t="s">
        <v>6047</v>
      </c>
      <c r="J2677">
        <v>10452</v>
      </c>
      <c r="K2677" t="s">
        <v>6074</v>
      </c>
      <c r="L2677" t="s">
        <v>6074</v>
      </c>
      <c r="N2677" t="s">
        <v>7273</v>
      </c>
      <c r="O2677" t="s">
        <v>7306</v>
      </c>
      <c r="P2677" t="s">
        <v>7314</v>
      </c>
      <c r="Q2677" t="s">
        <v>7322</v>
      </c>
      <c r="R2677" t="s">
        <v>6074</v>
      </c>
      <c r="S2677" t="s">
        <v>7324</v>
      </c>
      <c r="U2677" t="s">
        <v>292</v>
      </c>
      <c r="V2677">
        <v>1300</v>
      </c>
      <c r="W2677" t="s">
        <v>7363</v>
      </c>
      <c r="X2677" t="s">
        <v>7376</v>
      </c>
      <c r="Y2677" t="s">
        <v>7386</v>
      </c>
      <c r="Z2677" t="s">
        <v>9425</v>
      </c>
      <c r="AC2677">
        <v>53</v>
      </c>
      <c r="AD2677" t="s">
        <v>12422</v>
      </c>
      <c r="AE2677" t="s">
        <v>12434</v>
      </c>
      <c r="AF2677">
        <v>2</v>
      </c>
      <c r="AG2677">
        <v>1</v>
      </c>
      <c r="AH2677">
        <v>0</v>
      </c>
      <c r="AI2677">
        <v>214.17</v>
      </c>
      <c r="AL2677" t="s">
        <v>12460</v>
      </c>
      <c r="AM2677">
        <v>26000</v>
      </c>
      <c r="AS2677">
        <v>1.1</v>
      </c>
      <c r="AT2677" t="s">
        <v>310</v>
      </c>
      <c r="AU2677" t="s">
        <v>106</v>
      </c>
    </row>
    <row r="2678" spans="1:47">
      <c r="A2678" s="1">
        <f>HYPERLINK("https://cms.ls-nyc.org/matter/dynamic-profile/view/1877045","18-1877045")</f>
        <v>0</v>
      </c>
      <c r="B2678" t="s">
        <v>119</v>
      </c>
      <c r="C2678" t="s">
        <v>291</v>
      </c>
      <c r="E2678" t="s">
        <v>1390</v>
      </c>
      <c r="F2678" t="s">
        <v>3379</v>
      </c>
      <c r="G2678" t="s">
        <v>5163</v>
      </c>
      <c r="H2678" t="s">
        <v>5393</v>
      </c>
      <c r="I2678" t="s">
        <v>6048</v>
      </c>
      <c r="J2678">
        <v>10304</v>
      </c>
      <c r="K2678" t="s">
        <v>6074</v>
      </c>
      <c r="L2678" t="s">
        <v>6074</v>
      </c>
      <c r="M2678" t="s">
        <v>7155</v>
      </c>
      <c r="N2678" t="s">
        <v>7276</v>
      </c>
      <c r="O2678" t="s">
        <v>7308</v>
      </c>
      <c r="Q2678" t="s">
        <v>7322</v>
      </c>
      <c r="R2678" t="s">
        <v>6076</v>
      </c>
      <c r="S2678" t="s">
        <v>7324</v>
      </c>
      <c r="T2678" t="s">
        <v>7336</v>
      </c>
      <c r="U2678" t="s">
        <v>291</v>
      </c>
      <c r="V2678">
        <v>1100</v>
      </c>
      <c r="W2678" t="s">
        <v>7364</v>
      </c>
      <c r="X2678" t="s">
        <v>7367</v>
      </c>
      <c r="Z2678" t="s">
        <v>9426</v>
      </c>
      <c r="AA2678" t="s">
        <v>10283</v>
      </c>
      <c r="AB2678" t="s">
        <v>12092</v>
      </c>
      <c r="AC2678">
        <v>3</v>
      </c>
      <c r="AD2678" t="s">
        <v>12419</v>
      </c>
      <c r="AE2678" t="s">
        <v>6110</v>
      </c>
      <c r="AF2678">
        <v>20</v>
      </c>
      <c r="AG2678">
        <v>1</v>
      </c>
      <c r="AH2678">
        <v>0</v>
      </c>
      <c r="AI2678">
        <v>214.17</v>
      </c>
      <c r="AJ2678" t="s">
        <v>354</v>
      </c>
      <c r="AK2678" t="s">
        <v>12456</v>
      </c>
      <c r="AL2678" t="s">
        <v>12460</v>
      </c>
      <c r="AM2678">
        <v>26000</v>
      </c>
      <c r="AO2678" t="s">
        <v>12850</v>
      </c>
      <c r="AP2678" t="s">
        <v>12858</v>
      </c>
      <c r="AQ2678" t="s">
        <v>12909</v>
      </c>
      <c r="AR2678" t="s">
        <v>13010</v>
      </c>
      <c r="AS2678">
        <v>8.25</v>
      </c>
      <c r="AT2678" t="s">
        <v>434</v>
      </c>
      <c r="AU2678" t="s">
        <v>210</v>
      </c>
    </row>
    <row r="2679" spans="1:47">
      <c r="A2679" s="1">
        <f>HYPERLINK("https://cms.ls-nyc.org/matter/dynamic-profile/view/1872350","18-1872350")</f>
        <v>0</v>
      </c>
      <c r="B2679" t="s">
        <v>130</v>
      </c>
      <c r="C2679" t="s">
        <v>394</v>
      </c>
      <c r="D2679" t="s">
        <v>432</v>
      </c>
      <c r="E2679" t="s">
        <v>581</v>
      </c>
      <c r="F2679" t="s">
        <v>3380</v>
      </c>
      <c r="G2679" t="s">
        <v>4199</v>
      </c>
      <c r="H2679" t="s">
        <v>5373</v>
      </c>
      <c r="I2679" t="s">
        <v>6049</v>
      </c>
      <c r="J2679">
        <v>10034</v>
      </c>
      <c r="K2679" t="s">
        <v>6074</v>
      </c>
      <c r="L2679" t="s">
        <v>6074</v>
      </c>
      <c r="N2679" t="s">
        <v>7276</v>
      </c>
      <c r="O2679" t="s">
        <v>7306</v>
      </c>
      <c r="P2679" t="s">
        <v>7314</v>
      </c>
      <c r="Q2679" t="s">
        <v>7322</v>
      </c>
      <c r="R2679" t="s">
        <v>6076</v>
      </c>
      <c r="S2679" t="s">
        <v>7324</v>
      </c>
      <c r="U2679" t="s">
        <v>394</v>
      </c>
      <c r="V2679">
        <v>2193.96</v>
      </c>
      <c r="W2679" t="s">
        <v>7365</v>
      </c>
      <c r="X2679" t="s">
        <v>7367</v>
      </c>
      <c r="Y2679" t="s">
        <v>7386</v>
      </c>
      <c r="Z2679" t="s">
        <v>9427</v>
      </c>
      <c r="AB2679" t="s">
        <v>12093</v>
      </c>
      <c r="AC2679">
        <v>69</v>
      </c>
      <c r="AD2679" t="s">
        <v>12422</v>
      </c>
      <c r="AE2679" t="s">
        <v>6110</v>
      </c>
      <c r="AF2679">
        <v>30</v>
      </c>
      <c r="AG2679">
        <v>1</v>
      </c>
      <c r="AH2679">
        <v>0</v>
      </c>
      <c r="AI2679">
        <v>214.17</v>
      </c>
      <c r="AJ2679" t="s">
        <v>354</v>
      </c>
      <c r="AK2679" t="s">
        <v>12456</v>
      </c>
      <c r="AL2679" t="s">
        <v>12460</v>
      </c>
      <c r="AM2679">
        <v>26000</v>
      </c>
      <c r="AS2679">
        <v>1.4</v>
      </c>
      <c r="AT2679" t="s">
        <v>291</v>
      </c>
      <c r="AU2679" t="s">
        <v>13106</v>
      </c>
    </row>
    <row r="2680" spans="1:47">
      <c r="A2680" s="1">
        <f>HYPERLINK("https://cms.ls-nyc.org/matter/dynamic-profile/view/1881586","18-1881586")</f>
        <v>0</v>
      </c>
      <c r="B2680" t="s">
        <v>141</v>
      </c>
      <c r="C2680" t="s">
        <v>298</v>
      </c>
      <c r="E2680" t="s">
        <v>798</v>
      </c>
      <c r="F2680" t="s">
        <v>2279</v>
      </c>
      <c r="G2680" t="s">
        <v>5164</v>
      </c>
      <c r="H2680">
        <v>54</v>
      </c>
      <c r="I2680" t="s">
        <v>6049</v>
      </c>
      <c r="J2680">
        <v>10031</v>
      </c>
      <c r="K2680" t="s">
        <v>6074</v>
      </c>
      <c r="L2680" t="s">
        <v>6074</v>
      </c>
      <c r="M2680" t="s">
        <v>7156</v>
      </c>
      <c r="N2680" t="s">
        <v>7276</v>
      </c>
      <c r="O2680" t="s">
        <v>7306</v>
      </c>
      <c r="Q2680" t="s">
        <v>7322</v>
      </c>
      <c r="R2680" t="s">
        <v>6076</v>
      </c>
      <c r="S2680" t="s">
        <v>7324</v>
      </c>
      <c r="T2680" t="s">
        <v>7336</v>
      </c>
      <c r="U2680" t="s">
        <v>442</v>
      </c>
      <c r="V2680">
        <v>787.74</v>
      </c>
      <c r="W2680" t="s">
        <v>7365</v>
      </c>
      <c r="X2680" t="s">
        <v>7368</v>
      </c>
      <c r="Z2680" t="s">
        <v>9428</v>
      </c>
      <c r="AB2680" t="s">
        <v>12094</v>
      </c>
      <c r="AC2680">
        <v>0</v>
      </c>
      <c r="AD2680" t="s">
        <v>12422</v>
      </c>
      <c r="AE2680" t="s">
        <v>6110</v>
      </c>
      <c r="AF2680">
        <v>33</v>
      </c>
      <c r="AG2680">
        <v>1</v>
      </c>
      <c r="AH2680">
        <v>0</v>
      </c>
      <c r="AI2680">
        <v>214.17</v>
      </c>
      <c r="AL2680" t="s">
        <v>12461</v>
      </c>
      <c r="AM2680">
        <v>26000</v>
      </c>
      <c r="AS2680">
        <v>0.6</v>
      </c>
      <c r="AT2680" t="s">
        <v>283</v>
      </c>
      <c r="AU2680" t="s">
        <v>13111</v>
      </c>
    </row>
    <row r="2681" spans="1:47">
      <c r="A2681" s="1">
        <f>HYPERLINK("https://cms.ls-nyc.org/matter/dynamic-profile/view/1873521","18-1873521")</f>
        <v>0</v>
      </c>
      <c r="B2681" t="s">
        <v>127</v>
      </c>
      <c r="C2681" t="s">
        <v>447</v>
      </c>
      <c r="D2681" t="s">
        <v>248</v>
      </c>
      <c r="E2681" t="s">
        <v>1842</v>
      </c>
      <c r="F2681" t="s">
        <v>2265</v>
      </c>
      <c r="G2681" t="s">
        <v>5165</v>
      </c>
      <c r="H2681" t="s">
        <v>5861</v>
      </c>
      <c r="I2681" t="s">
        <v>6049</v>
      </c>
      <c r="J2681">
        <v>10030</v>
      </c>
      <c r="K2681" t="s">
        <v>6074</v>
      </c>
      <c r="L2681" t="s">
        <v>6074</v>
      </c>
      <c r="M2681" t="s">
        <v>7157</v>
      </c>
      <c r="N2681" t="s">
        <v>7276</v>
      </c>
      <c r="O2681" t="s">
        <v>7306</v>
      </c>
      <c r="P2681" t="s">
        <v>7314</v>
      </c>
      <c r="Q2681" t="s">
        <v>7322</v>
      </c>
      <c r="R2681" t="s">
        <v>6076</v>
      </c>
      <c r="S2681" t="s">
        <v>7324</v>
      </c>
      <c r="U2681" t="s">
        <v>447</v>
      </c>
      <c r="V2681">
        <v>939</v>
      </c>
      <c r="W2681" t="s">
        <v>7365</v>
      </c>
      <c r="X2681" t="s">
        <v>7367</v>
      </c>
      <c r="Y2681" t="s">
        <v>7386</v>
      </c>
      <c r="Z2681" t="s">
        <v>9429</v>
      </c>
      <c r="AB2681" t="s">
        <v>12095</v>
      </c>
      <c r="AC2681">
        <v>0</v>
      </c>
      <c r="AD2681" t="s">
        <v>6322</v>
      </c>
      <c r="AE2681" t="s">
        <v>6110</v>
      </c>
      <c r="AF2681">
        <v>2</v>
      </c>
      <c r="AG2681">
        <v>1</v>
      </c>
      <c r="AH2681">
        <v>0</v>
      </c>
      <c r="AI2681">
        <v>214.17</v>
      </c>
      <c r="AJ2681" t="s">
        <v>354</v>
      </c>
      <c r="AK2681" t="s">
        <v>12456</v>
      </c>
      <c r="AL2681" t="s">
        <v>12460</v>
      </c>
      <c r="AM2681">
        <v>26000</v>
      </c>
      <c r="AS2681">
        <v>0.1</v>
      </c>
      <c r="AT2681" t="s">
        <v>248</v>
      </c>
      <c r="AU2681" t="s">
        <v>13111</v>
      </c>
    </row>
    <row r="2682" spans="1:47">
      <c r="A2682" s="1">
        <f>HYPERLINK("https://cms.ls-nyc.org/matter/dynamic-profile/view/1867593","18-1867593")</f>
        <v>0</v>
      </c>
      <c r="B2682" t="s">
        <v>177</v>
      </c>
      <c r="C2682" t="s">
        <v>528</v>
      </c>
      <c r="D2682" t="s">
        <v>359</v>
      </c>
      <c r="E2682" t="s">
        <v>1578</v>
      </c>
      <c r="F2682" t="s">
        <v>2465</v>
      </c>
      <c r="G2682" t="s">
        <v>5166</v>
      </c>
      <c r="H2682" t="s">
        <v>5439</v>
      </c>
      <c r="I2682" t="s">
        <v>6043</v>
      </c>
      <c r="J2682">
        <v>11233</v>
      </c>
      <c r="K2682" t="s">
        <v>6074</v>
      </c>
      <c r="L2682" t="s">
        <v>6074</v>
      </c>
      <c r="M2682" t="s">
        <v>7158</v>
      </c>
      <c r="N2682" t="s">
        <v>7276</v>
      </c>
      <c r="O2682" t="s">
        <v>7308</v>
      </c>
      <c r="P2682" t="s">
        <v>7316</v>
      </c>
      <c r="Q2682" t="s">
        <v>7322</v>
      </c>
      <c r="R2682" t="s">
        <v>6076</v>
      </c>
      <c r="S2682" t="s">
        <v>7324</v>
      </c>
      <c r="U2682" t="s">
        <v>7344</v>
      </c>
      <c r="V2682">
        <v>608.63</v>
      </c>
      <c r="W2682" t="s">
        <v>7362</v>
      </c>
      <c r="X2682" t="s">
        <v>7372</v>
      </c>
      <c r="Y2682" t="s">
        <v>7388</v>
      </c>
      <c r="Z2682" t="s">
        <v>8934</v>
      </c>
      <c r="AB2682" t="s">
        <v>12096</v>
      </c>
      <c r="AC2682">
        <v>8</v>
      </c>
      <c r="AD2682" t="s">
        <v>12422</v>
      </c>
      <c r="AE2682" t="s">
        <v>6110</v>
      </c>
      <c r="AF2682">
        <v>4</v>
      </c>
      <c r="AG2682">
        <v>1</v>
      </c>
      <c r="AH2682">
        <v>1</v>
      </c>
      <c r="AI2682">
        <v>214.57</v>
      </c>
      <c r="AJ2682" t="s">
        <v>7349</v>
      </c>
      <c r="AK2682" t="s">
        <v>12456</v>
      </c>
      <c r="AL2682" t="s">
        <v>12460</v>
      </c>
      <c r="AM2682">
        <v>35318</v>
      </c>
      <c r="AO2682" t="s">
        <v>12846</v>
      </c>
      <c r="AP2682" t="s">
        <v>12879</v>
      </c>
      <c r="AQ2682" t="s">
        <v>12909</v>
      </c>
      <c r="AR2682" t="s">
        <v>12931</v>
      </c>
      <c r="AS2682">
        <v>1.5</v>
      </c>
      <c r="AT2682" t="s">
        <v>456</v>
      </c>
      <c r="AU2682" t="s">
        <v>91</v>
      </c>
    </row>
    <row r="2683" spans="1:47">
      <c r="A2683" s="1">
        <f>HYPERLINK("https://cms.ls-nyc.org/matter/dynamic-profile/view/1900402","19-1900402")</f>
        <v>0</v>
      </c>
      <c r="B2683" t="s">
        <v>70</v>
      </c>
      <c r="C2683" t="s">
        <v>241</v>
      </c>
      <c r="E2683" t="s">
        <v>1843</v>
      </c>
      <c r="F2683" t="s">
        <v>3381</v>
      </c>
      <c r="G2683" t="s">
        <v>5167</v>
      </c>
      <c r="H2683" t="s">
        <v>5916</v>
      </c>
      <c r="I2683" t="s">
        <v>6043</v>
      </c>
      <c r="J2683">
        <v>11225</v>
      </c>
      <c r="K2683" t="s">
        <v>6075</v>
      </c>
      <c r="L2683" t="s">
        <v>6075</v>
      </c>
      <c r="N2683" t="s">
        <v>7273</v>
      </c>
      <c r="O2683" t="s">
        <v>7308</v>
      </c>
      <c r="Q2683" t="s">
        <v>7322</v>
      </c>
      <c r="S2683" t="s">
        <v>7324</v>
      </c>
      <c r="T2683" t="s">
        <v>7336</v>
      </c>
      <c r="U2683" t="s">
        <v>382</v>
      </c>
      <c r="V2683">
        <v>0</v>
      </c>
      <c r="W2683" t="s">
        <v>7362</v>
      </c>
      <c r="Z2683" t="s">
        <v>9430</v>
      </c>
      <c r="AB2683" t="s">
        <v>12097</v>
      </c>
      <c r="AC2683">
        <v>21</v>
      </c>
      <c r="AF2683">
        <v>0</v>
      </c>
      <c r="AG2683">
        <v>2</v>
      </c>
      <c r="AH2683">
        <v>0</v>
      </c>
      <c r="AI2683">
        <v>214.67</v>
      </c>
      <c r="AL2683" t="s">
        <v>12460</v>
      </c>
      <c r="AM2683">
        <v>36300</v>
      </c>
      <c r="AS2683">
        <v>1.1</v>
      </c>
      <c r="AT2683" t="s">
        <v>382</v>
      </c>
      <c r="AU2683" t="s">
        <v>69</v>
      </c>
    </row>
    <row r="2684" spans="1:47">
      <c r="A2684" s="1">
        <f>HYPERLINK("https://cms.ls-nyc.org/matter/dynamic-profile/view/1891912","19-1891912")</f>
        <v>0</v>
      </c>
      <c r="B2684" t="s">
        <v>134</v>
      </c>
      <c r="C2684" t="s">
        <v>329</v>
      </c>
      <c r="D2684" t="s">
        <v>469</v>
      </c>
      <c r="E2684" t="s">
        <v>732</v>
      </c>
      <c r="F2684" t="s">
        <v>2173</v>
      </c>
      <c r="G2684" t="s">
        <v>5168</v>
      </c>
      <c r="H2684" t="s">
        <v>5739</v>
      </c>
      <c r="I2684" t="s">
        <v>6049</v>
      </c>
      <c r="J2684">
        <v>10035</v>
      </c>
      <c r="K2684" t="s">
        <v>6074</v>
      </c>
      <c r="L2684" t="s">
        <v>6074</v>
      </c>
      <c r="N2684" t="s">
        <v>6104</v>
      </c>
      <c r="O2684" t="s">
        <v>7306</v>
      </c>
      <c r="P2684" t="s">
        <v>7314</v>
      </c>
      <c r="Q2684" t="s">
        <v>7322</v>
      </c>
      <c r="R2684" t="s">
        <v>6076</v>
      </c>
      <c r="S2684" t="s">
        <v>7324</v>
      </c>
      <c r="T2684" t="s">
        <v>7336</v>
      </c>
      <c r="U2684" t="s">
        <v>332</v>
      </c>
      <c r="V2684">
        <v>1706</v>
      </c>
      <c r="W2684" t="s">
        <v>7365</v>
      </c>
      <c r="X2684" t="s">
        <v>7372</v>
      </c>
      <c r="Y2684" t="s">
        <v>7386</v>
      </c>
      <c r="Z2684" t="s">
        <v>9431</v>
      </c>
      <c r="AB2684" t="s">
        <v>12098</v>
      </c>
      <c r="AC2684">
        <v>160</v>
      </c>
      <c r="AD2684" t="s">
        <v>12422</v>
      </c>
      <c r="AE2684" t="s">
        <v>6110</v>
      </c>
      <c r="AF2684">
        <v>1</v>
      </c>
      <c r="AG2684">
        <v>1</v>
      </c>
      <c r="AH2684">
        <v>1</v>
      </c>
      <c r="AI2684">
        <v>214.72</v>
      </c>
      <c r="AL2684" t="s">
        <v>12460</v>
      </c>
      <c r="AM2684">
        <v>36309</v>
      </c>
      <c r="AS2684">
        <v>2.5</v>
      </c>
      <c r="AT2684" t="s">
        <v>332</v>
      </c>
      <c r="AU2684" t="s">
        <v>13091</v>
      </c>
    </row>
    <row r="2685" spans="1:47">
      <c r="A2685" s="1">
        <f>HYPERLINK("https://cms.ls-nyc.org/matter/dynamic-profile/view/1851783","17-1851783")</f>
        <v>0</v>
      </c>
      <c r="B2685" t="s">
        <v>120</v>
      </c>
      <c r="C2685" t="s">
        <v>535</v>
      </c>
      <c r="E2685" t="s">
        <v>1194</v>
      </c>
      <c r="F2685" t="s">
        <v>3367</v>
      </c>
      <c r="G2685" t="s">
        <v>5154</v>
      </c>
      <c r="H2685" t="s">
        <v>5909</v>
      </c>
      <c r="I2685" t="s">
        <v>6048</v>
      </c>
      <c r="J2685">
        <v>10304</v>
      </c>
      <c r="K2685" t="s">
        <v>6074</v>
      </c>
      <c r="L2685" t="s">
        <v>6074</v>
      </c>
      <c r="M2685" t="s">
        <v>6204</v>
      </c>
      <c r="N2685" t="s">
        <v>7292</v>
      </c>
      <c r="O2685" t="s">
        <v>7309</v>
      </c>
      <c r="Q2685" t="s">
        <v>7322</v>
      </c>
      <c r="R2685" t="s">
        <v>6076</v>
      </c>
      <c r="S2685" t="s">
        <v>7324</v>
      </c>
      <c r="T2685" t="s">
        <v>7336</v>
      </c>
      <c r="U2685" t="s">
        <v>364</v>
      </c>
      <c r="V2685">
        <v>678.91</v>
      </c>
      <c r="W2685" t="s">
        <v>7364</v>
      </c>
      <c r="X2685" t="s">
        <v>7368</v>
      </c>
      <c r="Z2685" t="s">
        <v>9407</v>
      </c>
      <c r="AB2685" t="s">
        <v>12077</v>
      </c>
      <c r="AC2685">
        <v>16</v>
      </c>
      <c r="AD2685" t="s">
        <v>12422</v>
      </c>
      <c r="AE2685" t="s">
        <v>6110</v>
      </c>
      <c r="AF2685">
        <v>18</v>
      </c>
      <c r="AG2685">
        <v>1</v>
      </c>
      <c r="AH2685">
        <v>0</v>
      </c>
      <c r="AI2685">
        <v>215.02</v>
      </c>
      <c r="AJ2685" t="s">
        <v>12447</v>
      </c>
      <c r="AK2685" t="s">
        <v>12456</v>
      </c>
      <c r="AL2685" t="s">
        <v>12460</v>
      </c>
      <c r="AM2685">
        <v>25932</v>
      </c>
      <c r="AS2685">
        <v>36.15</v>
      </c>
      <c r="AT2685" t="s">
        <v>278</v>
      </c>
      <c r="AU2685" t="s">
        <v>13141</v>
      </c>
    </row>
    <row r="2686" spans="1:47">
      <c r="A2686" s="1">
        <f>HYPERLINK("https://cms.ls-nyc.org/matter/dynamic-profile/view/1893448","19-1893448")</f>
        <v>0</v>
      </c>
      <c r="B2686" t="s">
        <v>171</v>
      </c>
      <c r="C2686" t="s">
        <v>313</v>
      </c>
      <c r="E2686" t="s">
        <v>1844</v>
      </c>
      <c r="F2686" t="s">
        <v>3382</v>
      </c>
      <c r="G2686" t="s">
        <v>4491</v>
      </c>
      <c r="I2686" t="s">
        <v>6043</v>
      </c>
      <c r="J2686">
        <v>11208</v>
      </c>
      <c r="K2686" t="s">
        <v>6074</v>
      </c>
      <c r="L2686" t="s">
        <v>6074</v>
      </c>
      <c r="N2686" t="s">
        <v>7275</v>
      </c>
      <c r="O2686" t="s">
        <v>7307</v>
      </c>
      <c r="Q2686" t="s">
        <v>7322</v>
      </c>
      <c r="R2686" t="s">
        <v>6074</v>
      </c>
      <c r="S2686" t="s">
        <v>7324</v>
      </c>
      <c r="T2686" t="s">
        <v>7336</v>
      </c>
      <c r="U2686" t="s">
        <v>416</v>
      </c>
      <c r="V2686">
        <v>0</v>
      </c>
      <c r="W2686" t="s">
        <v>7362</v>
      </c>
      <c r="Z2686" t="s">
        <v>9432</v>
      </c>
      <c r="AB2686" t="s">
        <v>12099</v>
      </c>
      <c r="AC2686">
        <v>9</v>
      </c>
      <c r="AF2686">
        <v>0</v>
      </c>
      <c r="AG2686">
        <v>2</v>
      </c>
      <c r="AH2686">
        <v>0</v>
      </c>
      <c r="AI2686">
        <v>215.26</v>
      </c>
      <c r="AJ2686" t="s">
        <v>427</v>
      </c>
      <c r="AK2686" t="s">
        <v>12456</v>
      </c>
      <c r="AL2686" t="s">
        <v>12460</v>
      </c>
      <c r="AM2686">
        <v>36400</v>
      </c>
      <c r="AN2686" t="s">
        <v>12721</v>
      </c>
      <c r="AS2686">
        <v>0</v>
      </c>
      <c r="AU2686" t="s">
        <v>218</v>
      </c>
    </row>
    <row r="2687" spans="1:47">
      <c r="A2687" s="1">
        <f>HYPERLINK("https://cms.ls-nyc.org/matter/dynamic-profile/view/1891226","19-1891226")</f>
        <v>0</v>
      </c>
      <c r="B2687" t="s">
        <v>131</v>
      </c>
      <c r="C2687" t="s">
        <v>371</v>
      </c>
      <c r="E2687" t="s">
        <v>1845</v>
      </c>
      <c r="F2687" t="s">
        <v>593</v>
      </c>
      <c r="G2687" t="s">
        <v>5169</v>
      </c>
      <c r="H2687" t="s">
        <v>5400</v>
      </c>
      <c r="I2687" t="s">
        <v>6049</v>
      </c>
      <c r="J2687">
        <v>10034</v>
      </c>
      <c r="K2687" t="s">
        <v>6074</v>
      </c>
      <c r="L2687" t="s">
        <v>6074</v>
      </c>
      <c r="O2687" t="s">
        <v>7306</v>
      </c>
      <c r="Q2687" t="s">
        <v>7322</v>
      </c>
      <c r="R2687" t="s">
        <v>6076</v>
      </c>
      <c r="S2687" t="s">
        <v>7324</v>
      </c>
      <c r="U2687" t="s">
        <v>371</v>
      </c>
      <c r="V2687">
        <v>2397</v>
      </c>
      <c r="W2687" t="s">
        <v>7365</v>
      </c>
      <c r="X2687" t="s">
        <v>7367</v>
      </c>
      <c r="Z2687" t="s">
        <v>9433</v>
      </c>
      <c r="AB2687" t="s">
        <v>12100</v>
      </c>
      <c r="AC2687">
        <v>0</v>
      </c>
      <c r="AD2687" t="s">
        <v>12422</v>
      </c>
      <c r="AE2687" t="s">
        <v>6110</v>
      </c>
      <c r="AF2687">
        <v>3</v>
      </c>
      <c r="AG2687">
        <v>3</v>
      </c>
      <c r="AH2687">
        <v>2</v>
      </c>
      <c r="AI2687">
        <v>215.45</v>
      </c>
      <c r="AL2687" t="s">
        <v>12460</v>
      </c>
      <c r="AM2687">
        <v>65000</v>
      </c>
      <c r="AS2687">
        <v>0.1</v>
      </c>
      <c r="AT2687" t="s">
        <v>318</v>
      </c>
      <c r="AU2687" t="s">
        <v>13106</v>
      </c>
    </row>
    <row r="2688" spans="1:47">
      <c r="A2688" s="1">
        <f>HYPERLINK("https://cms.ls-nyc.org/matter/dynamic-profile/view/1891500","19-1891500")</f>
        <v>0</v>
      </c>
      <c r="B2688" t="s">
        <v>72</v>
      </c>
      <c r="C2688" t="s">
        <v>278</v>
      </c>
      <c r="E2688" t="s">
        <v>1846</v>
      </c>
      <c r="F2688" t="s">
        <v>2635</v>
      </c>
      <c r="G2688" t="s">
        <v>3701</v>
      </c>
      <c r="H2688" t="s">
        <v>5893</v>
      </c>
      <c r="I2688" t="s">
        <v>6043</v>
      </c>
      <c r="J2688">
        <v>11233</v>
      </c>
      <c r="K2688" t="s">
        <v>6074</v>
      </c>
      <c r="L2688" t="s">
        <v>6076</v>
      </c>
      <c r="M2688" t="s">
        <v>6110</v>
      </c>
      <c r="N2688" t="s">
        <v>7279</v>
      </c>
      <c r="O2688" t="s">
        <v>7311</v>
      </c>
      <c r="Q2688" t="s">
        <v>7322</v>
      </c>
      <c r="R2688" t="s">
        <v>6074</v>
      </c>
      <c r="S2688" t="s">
        <v>7324</v>
      </c>
      <c r="T2688" t="s">
        <v>7336</v>
      </c>
      <c r="U2688" t="s">
        <v>330</v>
      </c>
      <c r="V2688">
        <v>997</v>
      </c>
      <c r="W2688" t="s">
        <v>7362</v>
      </c>
      <c r="Z2688" t="s">
        <v>9434</v>
      </c>
      <c r="AC2688">
        <v>359</v>
      </c>
      <c r="AD2688" t="s">
        <v>12422</v>
      </c>
      <c r="AF2688">
        <v>40</v>
      </c>
      <c r="AG2688">
        <v>2</v>
      </c>
      <c r="AH2688">
        <v>1</v>
      </c>
      <c r="AI2688">
        <v>215.66</v>
      </c>
      <c r="AJ2688" t="s">
        <v>459</v>
      </c>
      <c r="AK2688" t="s">
        <v>12456</v>
      </c>
      <c r="AL2688" t="s">
        <v>12460</v>
      </c>
      <c r="AM2688">
        <v>46000</v>
      </c>
      <c r="AN2688" t="s">
        <v>12486</v>
      </c>
      <c r="AS2688">
        <v>0</v>
      </c>
      <c r="AU2688" t="s">
        <v>218</v>
      </c>
    </row>
    <row r="2689" spans="1:48">
      <c r="A2689" s="1">
        <f>HYPERLINK("https://cms.ls-nyc.org/matter/dynamic-profile/view/1891502","19-1891502")</f>
        <v>0</v>
      </c>
      <c r="B2689" t="s">
        <v>72</v>
      </c>
      <c r="C2689" t="s">
        <v>278</v>
      </c>
      <c r="E2689" t="s">
        <v>1846</v>
      </c>
      <c r="F2689" t="s">
        <v>2635</v>
      </c>
      <c r="G2689" t="s">
        <v>3701</v>
      </c>
      <c r="H2689" t="s">
        <v>5893</v>
      </c>
      <c r="I2689" t="s">
        <v>6043</v>
      </c>
      <c r="J2689">
        <v>11233</v>
      </c>
      <c r="K2689" t="s">
        <v>6074</v>
      </c>
      <c r="L2689" t="s">
        <v>6076</v>
      </c>
      <c r="M2689" t="s">
        <v>6110</v>
      </c>
      <c r="N2689" t="s">
        <v>7275</v>
      </c>
      <c r="O2689" t="s">
        <v>7307</v>
      </c>
      <c r="Q2689" t="s">
        <v>7322</v>
      </c>
      <c r="R2689" t="s">
        <v>6074</v>
      </c>
      <c r="S2689" t="s">
        <v>7324</v>
      </c>
      <c r="T2689" t="s">
        <v>7336</v>
      </c>
      <c r="U2689" t="s">
        <v>287</v>
      </c>
      <c r="V2689">
        <v>997</v>
      </c>
      <c r="W2689" t="s">
        <v>7362</v>
      </c>
      <c r="Z2689" t="s">
        <v>9434</v>
      </c>
      <c r="AC2689">
        <v>359</v>
      </c>
      <c r="AD2689" t="s">
        <v>12422</v>
      </c>
      <c r="AF2689">
        <v>40</v>
      </c>
      <c r="AG2689">
        <v>2</v>
      </c>
      <c r="AH2689">
        <v>1</v>
      </c>
      <c r="AI2689">
        <v>215.66</v>
      </c>
      <c r="AJ2689" t="s">
        <v>459</v>
      </c>
      <c r="AK2689" t="s">
        <v>12456</v>
      </c>
      <c r="AL2689" t="s">
        <v>12460</v>
      </c>
      <c r="AM2689">
        <v>46000</v>
      </c>
      <c r="AN2689" t="s">
        <v>12722</v>
      </c>
      <c r="AS2689">
        <v>0</v>
      </c>
      <c r="AU2689" t="s">
        <v>218</v>
      </c>
    </row>
    <row r="2690" spans="1:48">
      <c r="A2690" s="1">
        <f>HYPERLINK("https://cms.ls-nyc.org/matter/dynamic-profile/view/1898022","19-1898022")</f>
        <v>0</v>
      </c>
      <c r="B2690" t="s">
        <v>72</v>
      </c>
      <c r="C2690" t="s">
        <v>418</v>
      </c>
      <c r="E2690" t="s">
        <v>1572</v>
      </c>
      <c r="F2690" t="s">
        <v>3383</v>
      </c>
      <c r="G2690" t="s">
        <v>4324</v>
      </c>
      <c r="H2690" t="s">
        <v>5394</v>
      </c>
      <c r="I2690" t="s">
        <v>6043</v>
      </c>
      <c r="J2690">
        <v>11233</v>
      </c>
      <c r="K2690" t="s">
        <v>6074</v>
      </c>
      <c r="L2690" t="s">
        <v>6076</v>
      </c>
      <c r="N2690" t="s">
        <v>7279</v>
      </c>
      <c r="O2690" t="s">
        <v>7311</v>
      </c>
      <c r="Q2690" t="s">
        <v>7322</v>
      </c>
      <c r="R2690" t="s">
        <v>6074</v>
      </c>
      <c r="S2690" t="s">
        <v>7324</v>
      </c>
      <c r="T2690" t="s">
        <v>7336</v>
      </c>
      <c r="U2690" t="s">
        <v>330</v>
      </c>
      <c r="V2690">
        <v>836.36</v>
      </c>
      <c r="W2690" t="s">
        <v>7362</v>
      </c>
      <c r="X2690" t="s">
        <v>7305</v>
      </c>
      <c r="Z2690" t="s">
        <v>9435</v>
      </c>
      <c r="AB2690" t="s">
        <v>12101</v>
      </c>
      <c r="AC2690">
        <v>359</v>
      </c>
      <c r="AD2690" t="s">
        <v>12422</v>
      </c>
      <c r="AF2690">
        <v>16</v>
      </c>
      <c r="AG2690">
        <v>1</v>
      </c>
      <c r="AH2690">
        <v>0</v>
      </c>
      <c r="AI2690">
        <v>216.17</v>
      </c>
      <c r="AL2690" t="s">
        <v>12460</v>
      </c>
      <c r="AM2690">
        <v>27000</v>
      </c>
      <c r="AN2690" t="s">
        <v>12723</v>
      </c>
      <c r="AS2690">
        <v>0</v>
      </c>
      <c r="AU2690" t="s">
        <v>180</v>
      </c>
    </row>
    <row r="2691" spans="1:48">
      <c r="A2691" s="1">
        <f>HYPERLINK("https://cms.ls-nyc.org/matter/dynamic-profile/view/1898027","19-1898027")</f>
        <v>0</v>
      </c>
      <c r="B2691" t="s">
        <v>72</v>
      </c>
      <c r="C2691" t="s">
        <v>418</v>
      </c>
      <c r="E2691" t="s">
        <v>1572</v>
      </c>
      <c r="F2691" t="s">
        <v>3383</v>
      </c>
      <c r="G2691" t="s">
        <v>4324</v>
      </c>
      <c r="H2691" t="s">
        <v>5394</v>
      </c>
      <c r="I2691" t="s">
        <v>6043</v>
      </c>
      <c r="J2691">
        <v>11233</v>
      </c>
      <c r="K2691" t="s">
        <v>6074</v>
      </c>
      <c r="L2691" t="s">
        <v>6076</v>
      </c>
      <c r="N2691" t="s">
        <v>7275</v>
      </c>
      <c r="O2691" t="s">
        <v>7307</v>
      </c>
      <c r="Q2691" t="s">
        <v>7322</v>
      </c>
      <c r="R2691" t="s">
        <v>6074</v>
      </c>
      <c r="S2691" t="s">
        <v>7324</v>
      </c>
      <c r="T2691" t="s">
        <v>7336</v>
      </c>
      <c r="U2691" t="s">
        <v>287</v>
      </c>
      <c r="V2691">
        <v>836.36</v>
      </c>
      <c r="W2691" t="s">
        <v>7362</v>
      </c>
      <c r="X2691" t="s">
        <v>7305</v>
      </c>
      <c r="Z2691" t="s">
        <v>9435</v>
      </c>
      <c r="AB2691" t="s">
        <v>12101</v>
      </c>
      <c r="AC2691">
        <v>359</v>
      </c>
      <c r="AD2691" t="s">
        <v>12422</v>
      </c>
      <c r="AF2691">
        <v>16</v>
      </c>
      <c r="AG2691">
        <v>1</v>
      </c>
      <c r="AH2691">
        <v>0</v>
      </c>
      <c r="AI2691">
        <v>216.17</v>
      </c>
      <c r="AL2691" t="s">
        <v>12460</v>
      </c>
      <c r="AM2691">
        <v>27000</v>
      </c>
      <c r="AN2691" t="s">
        <v>12724</v>
      </c>
      <c r="AS2691">
        <v>0</v>
      </c>
      <c r="AU2691" t="s">
        <v>180</v>
      </c>
    </row>
    <row r="2692" spans="1:48">
      <c r="A2692" s="1">
        <f>HYPERLINK("https://cms.ls-nyc.org/matter/dynamic-profile/view/1892656","19-1892656")</f>
        <v>0</v>
      </c>
      <c r="B2692" t="s">
        <v>133</v>
      </c>
      <c r="C2692" t="s">
        <v>395</v>
      </c>
      <c r="D2692" t="s">
        <v>268</v>
      </c>
      <c r="E2692" t="s">
        <v>1171</v>
      </c>
      <c r="F2692" t="s">
        <v>3384</v>
      </c>
      <c r="G2692" t="s">
        <v>5170</v>
      </c>
      <c r="H2692" t="s">
        <v>5903</v>
      </c>
      <c r="I2692" t="s">
        <v>6049</v>
      </c>
      <c r="J2692">
        <v>10033</v>
      </c>
      <c r="K2692" t="s">
        <v>6074</v>
      </c>
      <c r="L2692" t="s">
        <v>6074</v>
      </c>
      <c r="O2692" t="s">
        <v>7307</v>
      </c>
      <c r="P2692" t="s">
        <v>7315</v>
      </c>
      <c r="Q2692" t="s">
        <v>7322</v>
      </c>
      <c r="R2692" t="s">
        <v>6076</v>
      </c>
      <c r="S2692" t="s">
        <v>7324</v>
      </c>
      <c r="U2692" t="s">
        <v>395</v>
      </c>
      <c r="V2692">
        <v>1428</v>
      </c>
      <c r="W2692" t="s">
        <v>7365</v>
      </c>
      <c r="X2692" t="s">
        <v>7367</v>
      </c>
      <c r="Y2692" t="s">
        <v>7390</v>
      </c>
      <c r="Z2692" t="s">
        <v>9436</v>
      </c>
      <c r="AB2692" t="s">
        <v>12102</v>
      </c>
      <c r="AC2692">
        <v>54</v>
      </c>
      <c r="AD2692" t="s">
        <v>12422</v>
      </c>
      <c r="AE2692" t="s">
        <v>6110</v>
      </c>
      <c r="AF2692">
        <v>20</v>
      </c>
      <c r="AG2692">
        <v>1</v>
      </c>
      <c r="AH2692">
        <v>0</v>
      </c>
      <c r="AI2692">
        <v>216.17</v>
      </c>
      <c r="AL2692" t="s">
        <v>12460</v>
      </c>
      <c r="AM2692">
        <v>27000</v>
      </c>
      <c r="AS2692">
        <v>8.9</v>
      </c>
      <c r="AT2692" t="s">
        <v>397</v>
      </c>
      <c r="AU2692" t="s">
        <v>13106</v>
      </c>
    </row>
    <row r="2693" spans="1:48">
      <c r="A2693" s="1">
        <f>HYPERLINK("https://cms.ls-nyc.org/matter/dynamic-profile/view/1875736","18-1875736")</f>
        <v>0</v>
      </c>
      <c r="B2693" t="s">
        <v>145</v>
      </c>
      <c r="C2693" t="s">
        <v>353</v>
      </c>
      <c r="E2693" t="s">
        <v>676</v>
      </c>
      <c r="F2693" t="s">
        <v>3385</v>
      </c>
      <c r="G2693" t="s">
        <v>5171</v>
      </c>
      <c r="H2693" t="s">
        <v>5917</v>
      </c>
      <c r="I2693" t="s">
        <v>6025</v>
      </c>
      <c r="J2693">
        <v>11691</v>
      </c>
      <c r="K2693" t="s">
        <v>6074</v>
      </c>
      <c r="L2693" t="s">
        <v>6074</v>
      </c>
      <c r="M2693" t="s">
        <v>7159</v>
      </c>
      <c r="N2693" t="s">
        <v>7274</v>
      </c>
      <c r="O2693" t="s">
        <v>7306</v>
      </c>
      <c r="Q2693" t="s">
        <v>7322</v>
      </c>
      <c r="R2693" t="s">
        <v>6076</v>
      </c>
      <c r="S2693" t="s">
        <v>7324</v>
      </c>
      <c r="T2693" t="s">
        <v>7336</v>
      </c>
      <c r="U2693" t="s">
        <v>392</v>
      </c>
      <c r="V2693">
        <v>1500</v>
      </c>
      <c r="W2693" t="s">
        <v>7361</v>
      </c>
      <c r="X2693" t="s">
        <v>7366</v>
      </c>
      <c r="Z2693" t="s">
        <v>9437</v>
      </c>
      <c r="AA2693" t="s">
        <v>10284</v>
      </c>
      <c r="AB2693" t="s">
        <v>12103</v>
      </c>
      <c r="AC2693">
        <v>2</v>
      </c>
      <c r="AD2693" t="s">
        <v>12419</v>
      </c>
      <c r="AE2693" t="s">
        <v>6110</v>
      </c>
      <c r="AF2693">
        <v>3</v>
      </c>
      <c r="AG2693">
        <v>1</v>
      </c>
      <c r="AH2693">
        <v>2</v>
      </c>
      <c r="AI2693">
        <v>216.55</v>
      </c>
      <c r="AJ2693" t="s">
        <v>354</v>
      </c>
      <c r="AK2693" t="s">
        <v>12456</v>
      </c>
      <c r="AL2693" t="s">
        <v>12460</v>
      </c>
      <c r="AM2693">
        <v>45000</v>
      </c>
      <c r="AS2693">
        <v>1.15</v>
      </c>
      <c r="AT2693" t="s">
        <v>469</v>
      </c>
      <c r="AU2693" t="s">
        <v>51</v>
      </c>
    </row>
    <row r="2694" spans="1:48">
      <c r="A2694" s="1">
        <f>HYPERLINK("https://cms.ls-nyc.org/matter/dynamic-profile/view/1872414","18-1872414")</f>
        <v>0</v>
      </c>
      <c r="B2694" t="s">
        <v>110</v>
      </c>
      <c r="C2694" t="s">
        <v>394</v>
      </c>
      <c r="D2694" t="s">
        <v>241</v>
      </c>
      <c r="E2694" t="s">
        <v>1287</v>
      </c>
      <c r="F2694" t="s">
        <v>3386</v>
      </c>
      <c r="G2694" t="s">
        <v>5172</v>
      </c>
      <c r="H2694" t="s">
        <v>5918</v>
      </c>
      <c r="I2694" t="s">
        <v>6047</v>
      </c>
      <c r="J2694">
        <v>10453</v>
      </c>
      <c r="K2694" t="s">
        <v>6074</v>
      </c>
      <c r="L2694" t="s">
        <v>6074</v>
      </c>
      <c r="N2694" t="s">
        <v>7276</v>
      </c>
      <c r="O2694" t="s">
        <v>7308</v>
      </c>
      <c r="P2694" t="s">
        <v>7316</v>
      </c>
      <c r="Q2694" t="s">
        <v>7322</v>
      </c>
      <c r="R2694" t="s">
        <v>6076</v>
      </c>
      <c r="S2694" t="s">
        <v>7324</v>
      </c>
      <c r="U2694" t="s">
        <v>394</v>
      </c>
      <c r="V2694">
        <v>1359</v>
      </c>
      <c r="W2694" t="s">
        <v>7363</v>
      </c>
      <c r="X2694" t="s">
        <v>7378</v>
      </c>
      <c r="Y2694" t="s">
        <v>7388</v>
      </c>
      <c r="Z2694" t="s">
        <v>9438</v>
      </c>
      <c r="AB2694" t="s">
        <v>12104</v>
      </c>
      <c r="AC2694">
        <v>56</v>
      </c>
      <c r="AD2694" t="s">
        <v>12421</v>
      </c>
      <c r="AE2694" t="s">
        <v>12434</v>
      </c>
      <c r="AF2694">
        <v>14</v>
      </c>
      <c r="AG2694">
        <v>2</v>
      </c>
      <c r="AH2694">
        <v>0</v>
      </c>
      <c r="AI2694">
        <v>217.59</v>
      </c>
      <c r="AJ2694" t="s">
        <v>354</v>
      </c>
      <c r="AK2694" t="s">
        <v>12456</v>
      </c>
      <c r="AL2694" t="s">
        <v>12461</v>
      </c>
      <c r="AM2694">
        <v>35816</v>
      </c>
      <c r="AS2694">
        <v>15</v>
      </c>
      <c r="AT2694" t="s">
        <v>346</v>
      </c>
      <c r="AU2694" t="s">
        <v>13089</v>
      </c>
    </row>
    <row r="2695" spans="1:48">
      <c r="A2695" s="1">
        <f>HYPERLINK("https://cms.ls-nyc.org/matter/dynamic-profile/view/1871560","18-1871560")</f>
        <v>0</v>
      </c>
      <c r="B2695" t="s">
        <v>128</v>
      </c>
      <c r="C2695" t="s">
        <v>374</v>
      </c>
      <c r="E2695" t="s">
        <v>1290</v>
      </c>
      <c r="F2695" t="s">
        <v>3387</v>
      </c>
      <c r="G2695" t="s">
        <v>3838</v>
      </c>
      <c r="H2695" t="s">
        <v>5390</v>
      </c>
      <c r="I2695" t="s">
        <v>6049</v>
      </c>
      <c r="J2695">
        <v>10034</v>
      </c>
      <c r="K2695" t="s">
        <v>6074</v>
      </c>
      <c r="L2695" t="s">
        <v>6074</v>
      </c>
      <c r="N2695" t="s">
        <v>7273</v>
      </c>
      <c r="O2695" t="s">
        <v>7308</v>
      </c>
      <c r="Q2695" t="s">
        <v>7322</v>
      </c>
      <c r="R2695" t="s">
        <v>6074</v>
      </c>
      <c r="S2695" t="s">
        <v>7324</v>
      </c>
      <c r="U2695" t="s">
        <v>374</v>
      </c>
      <c r="V2695">
        <v>1926</v>
      </c>
      <c r="W2695" t="s">
        <v>7365</v>
      </c>
      <c r="X2695" t="s">
        <v>7367</v>
      </c>
      <c r="Z2695" t="s">
        <v>9439</v>
      </c>
      <c r="AB2695" t="s">
        <v>12105</v>
      </c>
      <c r="AC2695">
        <v>67</v>
      </c>
      <c r="AD2695" t="s">
        <v>12422</v>
      </c>
      <c r="AE2695" t="s">
        <v>6110</v>
      </c>
      <c r="AF2695">
        <v>10</v>
      </c>
      <c r="AG2695">
        <v>2</v>
      </c>
      <c r="AH2695">
        <v>0</v>
      </c>
      <c r="AI2695">
        <v>217.65</v>
      </c>
      <c r="AL2695" t="s">
        <v>12460</v>
      </c>
      <c r="AM2695">
        <v>35824.6</v>
      </c>
      <c r="AS2695">
        <v>0.4</v>
      </c>
      <c r="AT2695" t="s">
        <v>483</v>
      </c>
      <c r="AU2695" t="s">
        <v>13106</v>
      </c>
      <c r="AV2695" t="s">
        <v>13145</v>
      </c>
    </row>
    <row r="2696" spans="1:48">
      <c r="A2696" s="1">
        <f>HYPERLINK("https://cms.ls-nyc.org/matter/dynamic-profile/view/1895182","19-1895182")</f>
        <v>0</v>
      </c>
      <c r="B2696" t="s">
        <v>69</v>
      </c>
      <c r="C2696" t="s">
        <v>322</v>
      </c>
      <c r="D2696" t="s">
        <v>315</v>
      </c>
      <c r="E2696" t="s">
        <v>1847</v>
      </c>
      <c r="F2696" t="s">
        <v>3388</v>
      </c>
      <c r="G2696" t="s">
        <v>5173</v>
      </c>
      <c r="H2696" t="s">
        <v>5919</v>
      </c>
      <c r="I2696" t="s">
        <v>6043</v>
      </c>
      <c r="J2696">
        <v>11225</v>
      </c>
      <c r="K2696" t="s">
        <v>6075</v>
      </c>
      <c r="L2696" t="s">
        <v>6075</v>
      </c>
      <c r="O2696" t="s">
        <v>7306</v>
      </c>
      <c r="P2696" t="s">
        <v>7314</v>
      </c>
      <c r="Q2696" t="s">
        <v>7322</v>
      </c>
      <c r="S2696" t="s">
        <v>7324</v>
      </c>
      <c r="U2696" t="s">
        <v>322</v>
      </c>
      <c r="V2696">
        <v>0</v>
      </c>
      <c r="W2696" t="s">
        <v>7362</v>
      </c>
      <c r="Y2696" t="s">
        <v>7386</v>
      </c>
      <c r="Z2696" t="s">
        <v>9440</v>
      </c>
      <c r="AB2696" t="s">
        <v>12106</v>
      </c>
      <c r="AC2696">
        <v>0</v>
      </c>
      <c r="AF2696">
        <v>0</v>
      </c>
      <c r="AG2696">
        <v>2</v>
      </c>
      <c r="AH2696">
        <v>0</v>
      </c>
      <c r="AI2696">
        <v>218.81</v>
      </c>
      <c r="AL2696" t="s">
        <v>12460</v>
      </c>
      <c r="AM2696">
        <v>37000</v>
      </c>
      <c r="AS2696">
        <v>1.4</v>
      </c>
      <c r="AT2696" t="s">
        <v>315</v>
      </c>
      <c r="AU2696" t="s">
        <v>69</v>
      </c>
    </row>
    <row r="2697" spans="1:48">
      <c r="A2697" s="1">
        <f>HYPERLINK("https://cms.ls-nyc.org/matter/dynamic-profile/view/1879253","18-1879253")</f>
        <v>0</v>
      </c>
      <c r="B2697" t="s">
        <v>96</v>
      </c>
      <c r="C2697" t="s">
        <v>355</v>
      </c>
      <c r="E2697" t="s">
        <v>1848</v>
      </c>
      <c r="F2697" t="s">
        <v>3389</v>
      </c>
      <c r="G2697" t="s">
        <v>3772</v>
      </c>
      <c r="H2697" t="s">
        <v>5388</v>
      </c>
      <c r="I2697" t="s">
        <v>6047</v>
      </c>
      <c r="J2697">
        <v>10468</v>
      </c>
      <c r="K2697" t="s">
        <v>6074</v>
      </c>
      <c r="L2697" t="s">
        <v>6074</v>
      </c>
      <c r="N2697" t="s">
        <v>7279</v>
      </c>
      <c r="O2697" t="s">
        <v>7311</v>
      </c>
      <c r="Q2697" t="s">
        <v>7322</v>
      </c>
      <c r="R2697" t="s">
        <v>6074</v>
      </c>
      <c r="S2697" t="s">
        <v>7324</v>
      </c>
      <c r="U2697" t="s">
        <v>355</v>
      </c>
      <c r="V2697">
        <v>907.04</v>
      </c>
      <c r="W2697" t="s">
        <v>7363</v>
      </c>
      <c r="X2697" t="s">
        <v>7376</v>
      </c>
      <c r="Z2697" t="s">
        <v>9441</v>
      </c>
      <c r="AB2697" t="s">
        <v>12107</v>
      </c>
      <c r="AC2697">
        <v>58</v>
      </c>
      <c r="AD2697" t="s">
        <v>12425</v>
      </c>
      <c r="AE2697" t="s">
        <v>6110</v>
      </c>
      <c r="AF2697">
        <v>21</v>
      </c>
      <c r="AG2697">
        <v>2</v>
      </c>
      <c r="AH2697">
        <v>2</v>
      </c>
      <c r="AI2697">
        <v>219.12</v>
      </c>
      <c r="AL2697" t="s">
        <v>12460</v>
      </c>
      <c r="AM2697">
        <v>55000</v>
      </c>
      <c r="AN2697" t="s">
        <v>12725</v>
      </c>
      <c r="AS2697">
        <v>0</v>
      </c>
      <c r="AU2697" t="s">
        <v>13092</v>
      </c>
    </row>
    <row r="2698" spans="1:48">
      <c r="A2698" s="1">
        <f>HYPERLINK("https://cms.ls-nyc.org/matter/dynamic-profile/view/1875680","18-1875680")</f>
        <v>0</v>
      </c>
      <c r="B2698" t="s">
        <v>96</v>
      </c>
      <c r="C2698" t="s">
        <v>233</v>
      </c>
      <c r="E2698" t="s">
        <v>1848</v>
      </c>
      <c r="F2698" t="s">
        <v>3389</v>
      </c>
      <c r="G2698" t="s">
        <v>3772</v>
      </c>
      <c r="H2698" t="s">
        <v>5388</v>
      </c>
      <c r="I2698" t="s">
        <v>6047</v>
      </c>
      <c r="J2698">
        <v>10468</v>
      </c>
      <c r="K2698" t="s">
        <v>6074</v>
      </c>
      <c r="L2698" t="s">
        <v>6074</v>
      </c>
      <c r="M2698" t="s">
        <v>6178</v>
      </c>
      <c r="N2698" t="s">
        <v>7273</v>
      </c>
      <c r="O2698" t="s">
        <v>7308</v>
      </c>
      <c r="Q2698" t="s">
        <v>7322</v>
      </c>
      <c r="R2698" t="s">
        <v>6074</v>
      </c>
      <c r="S2698" t="s">
        <v>7324</v>
      </c>
      <c r="U2698" t="s">
        <v>472</v>
      </c>
      <c r="V2698">
        <v>907.04</v>
      </c>
      <c r="W2698" t="s">
        <v>7363</v>
      </c>
      <c r="X2698" t="s">
        <v>7376</v>
      </c>
      <c r="Z2698" t="s">
        <v>9441</v>
      </c>
      <c r="AB2698" t="s">
        <v>12107</v>
      </c>
      <c r="AC2698">
        <v>0</v>
      </c>
      <c r="AD2698" t="s">
        <v>12425</v>
      </c>
      <c r="AE2698" t="s">
        <v>6110</v>
      </c>
      <c r="AF2698">
        <v>21</v>
      </c>
      <c r="AG2698">
        <v>2</v>
      </c>
      <c r="AH2698">
        <v>2</v>
      </c>
      <c r="AI2698">
        <v>219.12</v>
      </c>
      <c r="AL2698" t="s">
        <v>12460</v>
      </c>
      <c r="AM2698">
        <v>55000</v>
      </c>
      <c r="AS2698">
        <v>0</v>
      </c>
      <c r="AU2698" t="s">
        <v>13092</v>
      </c>
    </row>
    <row r="2699" spans="1:48">
      <c r="A2699" s="1">
        <f>HYPERLINK("https://cms.ls-nyc.org/matter/dynamic-profile/view/1885387","18-1885387")</f>
        <v>0</v>
      </c>
      <c r="B2699" t="s">
        <v>115</v>
      </c>
      <c r="C2699" t="s">
        <v>250</v>
      </c>
      <c r="E2699" t="s">
        <v>1849</v>
      </c>
      <c r="F2699" t="s">
        <v>2270</v>
      </c>
      <c r="G2699" t="s">
        <v>4132</v>
      </c>
      <c r="H2699" t="s">
        <v>5476</v>
      </c>
      <c r="I2699" t="s">
        <v>6047</v>
      </c>
      <c r="J2699">
        <v>10463</v>
      </c>
      <c r="K2699" t="s">
        <v>6074</v>
      </c>
      <c r="L2699" t="s">
        <v>6074</v>
      </c>
      <c r="M2699" t="s">
        <v>6566</v>
      </c>
      <c r="N2699" t="s">
        <v>7273</v>
      </c>
      <c r="O2699" t="s">
        <v>7308</v>
      </c>
      <c r="Q2699" t="s">
        <v>7322</v>
      </c>
      <c r="R2699" t="s">
        <v>6074</v>
      </c>
      <c r="S2699" t="s">
        <v>7324</v>
      </c>
      <c r="U2699" t="s">
        <v>472</v>
      </c>
      <c r="V2699">
        <v>1000</v>
      </c>
      <c r="W2699" t="s">
        <v>7363</v>
      </c>
      <c r="X2699" t="s">
        <v>7376</v>
      </c>
      <c r="Z2699" t="s">
        <v>9442</v>
      </c>
      <c r="AB2699" t="s">
        <v>12108</v>
      </c>
      <c r="AC2699">
        <v>55</v>
      </c>
      <c r="AD2699" t="s">
        <v>12422</v>
      </c>
      <c r="AE2699" t="s">
        <v>6110</v>
      </c>
      <c r="AF2699">
        <v>9</v>
      </c>
      <c r="AG2699">
        <v>3</v>
      </c>
      <c r="AH2699">
        <v>1</v>
      </c>
      <c r="AI2699">
        <v>219.12</v>
      </c>
      <c r="AL2699" t="s">
        <v>12461</v>
      </c>
      <c r="AM2699">
        <v>55000</v>
      </c>
      <c r="AS2699">
        <v>0</v>
      </c>
      <c r="AU2699" t="s">
        <v>13099</v>
      </c>
    </row>
    <row r="2700" spans="1:48">
      <c r="A2700" s="1">
        <f>HYPERLINK("https://cms.ls-nyc.org/matter/dynamic-profile/view/1864002","18-1864002")</f>
        <v>0</v>
      </c>
      <c r="B2700" t="s">
        <v>80</v>
      </c>
      <c r="C2700" t="s">
        <v>536</v>
      </c>
      <c r="E2700" t="s">
        <v>1339</v>
      </c>
      <c r="F2700" t="s">
        <v>1209</v>
      </c>
      <c r="G2700" t="s">
        <v>4283</v>
      </c>
      <c r="H2700" t="s">
        <v>5507</v>
      </c>
      <c r="I2700" t="s">
        <v>6043</v>
      </c>
      <c r="J2700">
        <v>11206</v>
      </c>
      <c r="K2700" t="s">
        <v>6074</v>
      </c>
      <c r="L2700" t="s">
        <v>6074</v>
      </c>
      <c r="N2700" t="s">
        <v>7275</v>
      </c>
      <c r="O2700" t="s">
        <v>7311</v>
      </c>
      <c r="Q2700" t="s">
        <v>7322</v>
      </c>
      <c r="R2700" t="s">
        <v>6074</v>
      </c>
      <c r="S2700" t="s">
        <v>7324</v>
      </c>
      <c r="U2700" t="s">
        <v>319</v>
      </c>
      <c r="V2700">
        <v>850</v>
      </c>
      <c r="W2700" t="s">
        <v>7362</v>
      </c>
      <c r="X2700" t="s">
        <v>7375</v>
      </c>
      <c r="Z2700" t="s">
        <v>9443</v>
      </c>
      <c r="AB2700" t="s">
        <v>12109</v>
      </c>
      <c r="AC2700">
        <v>11</v>
      </c>
      <c r="AD2700" t="s">
        <v>12422</v>
      </c>
      <c r="AE2700" t="s">
        <v>12434</v>
      </c>
      <c r="AF2700">
        <v>25</v>
      </c>
      <c r="AG2700">
        <v>1</v>
      </c>
      <c r="AH2700">
        <v>0</v>
      </c>
      <c r="AI2700">
        <v>219.44</v>
      </c>
      <c r="AK2700" t="s">
        <v>12456</v>
      </c>
      <c r="AL2700" t="s">
        <v>12461</v>
      </c>
      <c r="AM2700">
        <v>26640</v>
      </c>
      <c r="AN2700" t="s">
        <v>12726</v>
      </c>
      <c r="AS2700">
        <v>0</v>
      </c>
      <c r="AU2700" t="s">
        <v>218</v>
      </c>
    </row>
    <row r="2701" spans="1:48">
      <c r="A2701" s="1">
        <f>HYPERLINK("https://cms.ls-nyc.org/matter/dynamic-profile/view/1892591","19-1892591")</f>
        <v>0</v>
      </c>
      <c r="B2701" t="s">
        <v>54</v>
      </c>
      <c r="C2701" t="s">
        <v>277</v>
      </c>
      <c r="D2701" t="s">
        <v>277</v>
      </c>
      <c r="E2701" t="s">
        <v>764</v>
      </c>
      <c r="F2701" t="s">
        <v>2083</v>
      </c>
      <c r="G2701" t="s">
        <v>3763</v>
      </c>
      <c r="H2701" t="s">
        <v>5920</v>
      </c>
      <c r="I2701" t="s">
        <v>6044</v>
      </c>
      <c r="J2701">
        <v>11103</v>
      </c>
      <c r="K2701" t="s">
        <v>6074</v>
      </c>
      <c r="L2701" t="s">
        <v>6074</v>
      </c>
      <c r="N2701" t="s">
        <v>6104</v>
      </c>
      <c r="O2701" t="s">
        <v>7306</v>
      </c>
      <c r="P2701" t="s">
        <v>7314</v>
      </c>
      <c r="Q2701" t="s">
        <v>7322</v>
      </c>
      <c r="R2701" t="s">
        <v>6076</v>
      </c>
      <c r="S2701" t="s">
        <v>7324</v>
      </c>
      <c r="U2701" t="s">
        <v>359</v>
      </c>
      <c r="V2701">
        <v>0</v>
      </c>
      <c r="W2701" t="s">
        <v>7361</v>
      </c>
      <c r="X2701" t="s">
        <v>7376</v>
      </c>
      <c r="Y2701" t="s">
        <v>7386</v>
      </c>
      <c r="Z2701" t="s">
        <v>9444</v>
      </c>
      <c r="AA2701" t="s">
        <v>9856</v>
      </c>
      <c r="AB2701" t="s">
        <v>9856</v>
      </c>
      <c r="AC2701">
        <v>0</v>
      </c>
      <c r="AD2701" t="s">
        <v>6322</v>
      </c>
      <c r="AE2701" t="s">
        <v>6110</v>
      </c>
      <c r="AF2701">
        <v>0</v>
      </c>
      <c r="AG2701">
        <v>2</v>
      </c>
      <c r="AH2701">
        <v>0</v>
      </c>
      <c r="AI2701">
        <v>219.99</v>
      </c>
      <c r="AL2701" t="s">
        <v>12460</v>
      </c>
      <c r="AM2701">
        <v>37200</v>
      </c>
      <c r="AS2701">
        <v>0.05</v>
      </c>
      <c r="AT2701" t="s">
        <v>277</v>
      </c>
      <c r="AU2701" t="s">
        <v>54</v>
      </c>
    </row>
    <row r="2702" spans="1:48">
      <c r="A2702" s="1">
        <f>HYPERLINK("https://cms.ls-nyc.org/matter/dynamic-profile/view/1880365","18-1880365")</f>
        <v>0</v>
      </c>
      <c r="B2702" t="s">
        <v>70</v>
      </c>
      <c r="C2702" t="s">
        <v>354</v>
      </c>
      <c r="E2702" t="s">
        <v>1850</v>
      </c>
      <c r="F2702" t="s">
        <v>3390</v>
      </c>
      <c r="G2702" t="s">
        <v>5174</v>
      </c>
      <c r="H2702" t="s">
        <v>5433</v>
      </c>
      <c r="I2702" t="s">
        <v>6043</v>
      </c>
      <c r="J2702">
        <v>11238</v>
      </c>
      <c r="K2702" t="s">
        <v>6074</v>
      </c>
      <c r="L2702" t="s">
        <v>6074</v>
      </c>
      <c r="M2702" t="s">
        <v>7160</v>
      </c>
      <c r="N2702" t="s">
        <v>7276</v>
      </c>
      <c r="O2702" t="s">
        <v>7308</v>
      </c>
      <c r="Q2702" t="s">
        <v>7322</v>
      </c>
      <c r="R2702" t="s">
        <v>6076</v>
      </c>
      <c r="S2702" t="s">
        <v>7324</v>
      </c>
      <c r="T2702" t="s">
        <v>7340</v>
      </c>
      <c r="U2702" t="s">
        <v>354</v>
      </c>
      <c r="V2702">
        <v>0</v>
      </c>
      <c r="W2702" t="s">
        <v>7362</v>
      </c>
      <c r="X2702" t="s">
        <v>7373</v>
      </c>
      <c r="Z2702" t="s">
        <v>9445</v>
      </c>
      <c r="AB2702" t="s">
        <v>12110</v>
      </c>
      <c r="AC2702">
        <v>20</v>
      </c>
      <c r="AD2702" t="s">
        <v>12422</v>
      </c>
      <c r="AF2702">
        <v>34</v>
      </c>
      <c r="AG2702">
        <v>3</v>
      </c>
      <c r="AH2702">
        <v>0</v>
      </c>
      <c r="AI2702">
        <v>220.09</v>
      </c>
      <c r="AL2702" t="s">
        <v>12460</v>
      </c>
      <c r="AM2702">
        <v>45735</v>
      </c>
      <c r="AP2702" t="s">
        <v>12863</v>
      </c>
      <c r="AQ2702" t="s">
        <v>12909</v>
      </c>
      <c r="AS2702">
        <v>19.7</v>
      </c>
      <c r="AT2702" t="s">
        <v>387</v>
      </c>
      <c r="AU2702" t="s">
        <v>69</v>
      </c>
    </row>
    <row r="2703" spans="1:48">
      <c r="A2703" s="1">
        <f>HYPERLINK("https://cms.ls-nyc.org/matter/dynamic-profile/view/1892183","19-1892183")</f>
        <v>0</v>
      </c>
      <c r="B2703" t="s">
        <v>86</v>
      </c>
      <c r="C2703" t="s">
        <v>405</v>
      </c>
      <c r="E2703" t="s">
        <v>907</v>
      </c>
      <c r="F2703" t="s">
        <v>3391</v>
      </c>
      <c r="G2703" t="s">
        <v>5175</v>
      </c>
      <c r="H2703">
        <v>414</v>
      </c>
      <c r="I2703" t="s">
        <v>6043</v>
      </c>
      <c r="J2703">
        <v>11207</v>
      </c>
      <c r="K2703" t="s">
        <v>6074</v>
      </c>
      <c r="L2703" t="s">
        <v>6074</v>
      </c>
      <c r="M2703" t="s">
        <v>7161</v>
      </c>
      <c r="N2703" t="s">
        <v>7276</v>
      </c>
      <c r="O2703" t="s">
        <v>7309</v>
      </c>
      <c r="Q2703" t="s">
        <v>7322</v>
      </c>
      <c r="R2703" t="s">
        <v>6076</v>
      </c>
      <c r="S2703" t="s">
        <v>7327</v>
      </c>
      <c r="U2703" t="s">
        <v>492</v>
      </c>
      <c r="V2703">
        <v>1275</v>
      </c>
      <c r="W2703" t="s">
        <v>7362</v>
      </c>
      <c r="Z2703" t="s">
        <v>9446</v>
      </c>
      <c r="AB2703" t="s">
        <v>12111</v>
      </c>
      <c r="AC2703">
        <v>0</v>
      </c>
      <c r="AD2703" t="s">
        <v>12422</v>
      </c>
      <c r="AF2703">
        <v>1</v>
      </c>
      <c r="AG2703">
        <v>3</v>
      </c>
      <c r="AH2703">
        <v>1</v>
      </c>
      <c r="AI2703">
        <v>220.77</v>
      </c>
      <c r="AL2703" t="s">
        <v>12466</v>
      </c>
      <c r="AM2703">
        <v>56848</v>
      </c>
      <c r="AS2703">
        <v>9</v>
      </c>
      <c r="AT2703" t="s">
        <v>362</v>
      </c>
      <c r="AU2703" t="s">
        <v>180</v>
      </c>
    </row>
    <row r="2704" spans="1:48">
      <c r="A2704" s="1">
        <f>HYPERLINK("https://cms.ls-nyc.org/matter/dynamic-profile/view/1896389","19-1896389")</f>
        <v>0</v>
      </c>
      <c r="B2704" t="s">
        <v>84</v>
      </c>
      <c r="C2704" t="s">
        <v>302</v>
      </c>
      <c r="E2704" t="s">
        <v>1421</v>
      </c>
      <c r="F2704" t="s">
        <v>3392</v>
      </c>
      <c r="G2704" t="s">
        <v>3722</v>
      </c>
      <c r="H2704">
        <v>12</v>
      </c>
      <c r="I2704" t="s">
        <v>6043</v>
      </c>
      <c r="J2704">
        <v>11226</v>
      </c>
      <c r="K2704" t="s">
        <v>6075</v>
      </c>
      <c r="L2704" t="s">
        <v>6076</v>
      </c>
      <c r="Q2704" t="s">
        <v>7322</v>
      </c>
      <c r="S2704" t="s">
        <v>7324</v>
      </c>
      <c r="U2704" t="s">
        <v>302</v>
      </c>
      <c r="V2704">
        <v>0</v>
      </c>
      <c r="W2704" t="s">
        <v>7362</v>
      </c>
      <c r="Z2704" t="s">
        <v>8655</v>
      </c>
      <c r="AC2704">
        <v>0</v>
      </c>
      <c r="AF2704">
        <v>0</v>
      </c>
      <c r="AG2704">
        <v>2</v>
      </c>
      <c r="AH2704">
        <v>0</v>
      </c>
      <c r="AI2704">
        <v>220.78</v>
      </c>
      <c r="AL2704" t="s">
        <v>12465</v>
      </c>
      <c r="AM2704">
        <v>37333.92</v>
      </c>
      <c r="AS2704">
        <v>0.5</v>
      </c>
      <c r="AT2704" t="s">
        <v>302</v>
      </c>
      <c r="AU2704" t="s">
        <v>69</v>
      </c>
    </row>
    <row r="2705" spans="1:48">
      <c r="A2705" s="1">
        <f>HYPERLINK("https://cms.ls-nyc.org/matter/dynamic-profile/view/1875098","18-1875098")</f>
        <v>0</v>
      </c>
      <c r="B2705" t="s">
        <v>171</v>
      </c>
      <c r="C2705" t="s">
        <v>233</v>
      </c>
      <c r="E2705" t="s">
        <v>1844</v>
      </c>
      <c r="F2705" t="s">
        <v>3382</v>
      </c>
      <c r="G2705" t="s">
        <v>4491</v>
      </c>
      <c r="I2705" t="s">
        <v>6043</v>
      </c>
      <c r="J2705">
        <v>11208</v>
      </c>
      <c r="K2705" t="s">
        <v>6074</v>
      </c>
      <c r="L2705" t="s">
        <v>6074</v>
      </c>
      <c r="N2705" t="s">
        <v>7274</v>
      </c>
      <c r="O2705" t="s">
        <v>7308</v>
      </c>
      <c r="Q2705" t="s">
        <v>7322</v>
      </c>
      <c r="R2705" t="s">
        <v>6074</v>
      </c>
      <c r="S2705" t="s">
        <v>7324</v>
      </c>
      <c r="U2705" t="s">
        <v>427</v>
      </c>
      <c r="V2705">
        <v>0</v>
      </c>
      <c r="W2705" t="s">
        <v>7362</v>
      </c>
      <c r="Z2705" t="s">
        <v>9432</v>
      </c>
      <c r="AB2705" t="s">
        <v>12099</v>
      </c>
      <c r="AC2705">
        <v>9</v>
      </c>
      <c r="AF2705">
        <v>0</v>
      </c>
      <c r="AG2705">
        <v>2</v>
      </c>
      <c r="AH2705">
        <v>0</v>
      </c>
      <c r="AI2705">
        <v>221.14</v>
      </c>
      <c r="AJ2705" t="s">
        <v>427</v>
      </c>
      <c r="AK2705" t="s">
        <v>12456</v>
      </c>
      <c r="AL2705" t="s">
        <v>12460</v>
      </c>
      <c r="AM2705">
        <v>36400</v>
      </c>
      <c r="AN2705" t="s">
        <v>12727</v>
      </c>
      <c r="AS2705">
        <v>5.3</v>
      </c>
      <c r="AT2705" t="s">
        <v>299</v>
      </c>
      <c r="AU2705" t="s">
        <v>171</v>
      </c>
    </row>
    <row r="2706" spans="1:48">
      <c r="A2706" s="1">
        <f>HYPERLINK("https://cms.ls-nyc.org/matter/dynamic-profile/view/1890561","19-1890561")</f>
        <v>0</v>
      </c>
      <c r="B2706" t="s">
        <v>72</v>
      </c>
      <c r="C2706" t="s">
        <v>448</v>
      </c>
      <c r="E2706" t="s">
        <v>1079</v>
      </c>
      <c r="F2706" t="s">
        <v>3393</v>
      </c>
      <c r="G2706" t="s">
        <v>3700</v>
      </c>
      <c r="H2706" t="s">
        <v>5921</v>
      </c>
      <c r="I2706" t="s">
        <v>6043</v>
      </c>
      <c r="J2706">
        <v>11233</v>
      </c>
      <c r="K2706" t="s">
        <v>6074</v>
      </c>
      <c r="L2706" t="s">
        <v>6076</v>
      </c>
      <c r="N2706" t="s">
        <v>7279</v>
      </c>
      <c r="O2706" t="s">
        <v>7311</v>
      </c>
      <c r="Q2706" t="s">
        <v>7322</v>
      </c>
      <c r="R2706" t="s">
        <v>6074</v>
      </c>
      <c r="S2706" t="s">
        <v>7324</v>
      </c>
      <c r="T2706" t="s">
        <v>7336</v>
      </c>
      <c r="U2706" t="s">
        <v>330</v>
      </c>
      <c r="V2706">
        <v>1031.53</v>
      </c>
      <c r="W2706" t="s">
        <v>7362</v>
      </c>
      <c r="X2706" t="s">
        <v>7305</v>
      </c>
      <c r="Z2706" t="s">
        <v>9447</v>
      </c>
      <c r="AC2706">
        <v>359</v>
      </c>
      <c r="AD2706" t="s">
        <v>12422</v>
      </c>
      <c r="AE2706" t="s">
        <v>6110</v>
      </c>
      <c r="AF2706">
        <v>21</v>
      </c>
      <c r="AG2706">
        <v>2</v>
      </c>
      <c r="AH2706">
        <v>3</v>
      </c>
      <c r="AI2706">
        <v>222.07</v>
      </c>
      <c r="AL2706" t="s">
        <v>12460</v>
      </c>
      <c r="AM2706">
        <v>67000</v>
      </c>
      <c r="AN2706" t="s">
        <v>12488</v>
      </c>
      <c r="AS2706">
        <v>0</v>
      </c>
      <c r="AU2706" t="s">
        <v>180</v>
      </c>
    </row>
    <row r="2707" spans="1:48">
      <c r="A2707" s="1">
        <f>HYPERLINK("https://cms.ls-nyc.org/matter/dynamic-profile/view/1891867","19-1891867")</f>
        <v>0</v>
      </c>
      <c r="B2707" t="s">
        <v>72</v>
      </c>
      <c r="C2707" t="s">
        <v>318</v>
      </c>
      <c r="E2707" t="s">
        <v>1079</v>
      </c>
      <c r="F2707" t="s">
        <v>3393</v>
      </c>
      <c r="G2707" t="s">
        <v>3700</v>
      </c>
      <c r="H2707" t="s">
        <v>5921</v>
      </c>
      <c r="I2707" t="s">
        <v>6043</v>
      </c>
      <c r="J2707">
        <v>11233</v>
      </c>
      <c r="K2707" t="s">
        <v>6074</v>
      </c>
      <c r="L2707" t="s">
        <v>6076</v>
      </c>
      <c r="N2707" t="s">
        <v>7275</v>
      </c>
      <c r="O2707" t="s">
        <v>7307</v>
      </c>
      <c r="Q2707" t="s">
        <v>7322</v>
      </c>
      <c r="R2707" t="s">
        <v>6074</v>
      </c>
      <c r="S2707" t="s">
        <v>7324</v>
      </c>
      <c r="T2707" t="s">
        <v>7336</v>
      </c>
      <c r="U2707" t="s">
        <v>287</v>
      </c>
      <c r="V2707">
        <v>1031.53</v>
      </c>
      <c r="W2707" t="s">
        <v>7362</v>
      </c>
      <c r="Z2707" t="s">
        <v>9447</v>
      </c>
      <c r="AC2707">
        <v>359</v>
      </c>
      <c r="AD2707" t="s">
        <v>12422</v>
      </c>
      <c r="AE2707" t="s">
        <v>6110</v>
      </c>
      <c r="AF2707">
        <v>21</v>
      </c>
      <c r="AG2707">
        <v>2</v>
      </c>
      <c r="AH2707">
        <v>3</v>
      </c>
      <c r="AI2707">
        <v>222.07</v>
      </c>
      <c r="AL2707" t="s">
        <v>12460</v>
      </c>
      <c r="AM2707">
        <v>67000</v>
      </c>
      <c r="AN2707" t="s">
        <v>12728</v>
      </c>
      <c r="AS2707">
        <v>0</v>
      </c>
      <c r="AU2707" t="s">
        <v>218</v>
      </c>
    </row>
    <row r="2708" spans="1:48">
      <c r="A2708" s="1">
        <f>HYPERLINK("https://cms.ls-nyc.org/matter/dynamic-profile/view/1880111","18-1880111")</f>
        <v>0</v>
      </c>
      <c r="B2708" t="s">
        <v>136</v>
      </c>
      <c r="C2708" t="s">
        <v>245</v>
      </c>
      <c r="D2708" t="s">
        <v>324</v>
      </c>
      <c r="E2708" t="s">
        <v>642</v>
      </c>
      <c r="F2708" t="s">
        <v>2675</v>
      </c>
      <c r="G2708" t="s">
        <v>5176</v>
      </c>
      <c r="H2708">
        <v>606</v>
      </c>
      <c r="I2708" t="s">
        <v>6049</v>
      </c>
      <c r="J2708">
        <v>10029</v>
      </c>
      <c r="K2708" t="s">
        <v>6074</v>
      </c>
      <c r="L2708" t="s">
        <v>6074</v>
      </c>
      <c r="M2708" t="s">
        <v>7162</v>
      </c>
      <c r="N2708" t="s">
        <v>7276</v>
      </c>
      <c r="O2708" t="s">
        <v>7308</v>
      </c>
      <c r="P2708" t="s">
        <v>7316</v>
      </c>
      <c r="Q2708" t="s">
        <v>7322</v>
      </c>
      <c r="R2708" t="s">
        <v>6076</v>
      </c>
      <c r="S2708" t="s">
        <v>7324</v>
      </c>
      <c r="T2708" t="s">
        <v>7340</v>
      </c>
      <c r="U2708" t="s">
        <v>373</v>
      </c>
      <c r="V2708">
        <v>0</v>
      </c>
      <c r="W2708" t="s">
        <v>7365</v>
      </c>
      <c r="X2708" t="s">
        <v>7370</v>
      </c>
      <c r="Y2708" t="s">
        <v>7388</v>
      </c>
      <c r="Z2708" t="s">
        <v>9448</v>
      </c>
      <c r="AB2708" t="s">
        <v>12112</v>
      </c>
      <c r="AC2708">
        <v>108</v>
      </c>
      <c r="AD2708" t="s">
        <v>12420</v>
      </c>
      <c r="AE2708" t="s">
        <v>12434</v>
      </c>
      <c r="AF2708">
        <v>23</v>
      </c>
      <c r="AG2708">
        <v>1</v>
      </c>
      <c r="AH2708">
        <v>0</v>
      </c>
      <c r="AI2708">
        <v>222.73</v>
      </c>
      <c r="AJ2708" t="s">
        <v>411</v>
      </c>
      <c r="AK2708" t="s">
        <v>12456</v>
      </c>
      <c r="AL2708" t="s">
        <v>12461</v>
      </c>
      <c r="AM2708">
        <v>27040</v>
      </c>
      <c r="AP2708" t="s">
        <v>12906</v>
      </c>
      <c r="AQ2708" t="s">
        <v>12909</v>
      </c>
      <c r="AR2708" t="s">
        <v>13055</v>
      </c>
      <c r="AS2708">
        <v>8.25</v>
      </c>
      <c r="AT2708" t="s">
        <v>277</v>
      </c>
      <c r="AU2708" t="s">
        <v>13107</v>
      </c>
      <c r="AV2708" t="s">
        <v>13145</v>
      </c>
    </row>
    <row r="2709" spans="1:48">
      <c r="A2709" s="1">
        <f>HYPERLINK("https://cms.ls-nyc.org/matter/dynamic-profile/view/1859333","18-1859333")</f>
        <v>0</v>
      </c>
      <c r="B2709" t="s">
        <v>82</v>
      </c>
      <c r="C2709" t="s">
        <v>481</v>
      </c>
      <c r="E2709" t="s">
        <v>1851</v>
      </c>
      <c r="F2709" t="s">
        <v>1432</v>
      </c>
      <c r="G2709" t="s">
        <v>3731</v>
      </c>
      <c r="H2709" t="s">
        <v>5922</v>
      </c>
      <c r="I2709" t="s">
        <v>6043</v>
      </c>
      <c r="J2709">
        <v>11225</v>
      </c>
      <c r="K2709" t="s">
        <v>6076</v>
      </c>
      <c r="L2709" t="s">
        <v>6075</v>
      </c>
      <c r="M2709" t="s">
        <v>7163</v>
      </c>
      <c r="N2709" t="s">
        <v>7273</v>
      </c>
      <c r="O2709" t="s">
        <v>7308</v>
      </c>
      <c r="Q2709" t="s">
        <v>7322</v>
      </c>
      <c r="R2709" t="s">
        <v>6074</v>
      </c>
      <c r="S2709" t="s">
        <v>7324</v>
      </c>
      <c r="U2709" t="s">
        <v>256</v>
      </c>
      <c r="V2709">
        <v>1044.76</v>
      </c>
      <c r="W2709" t="s">
        <v>7362</v>
      </c>
      <c r="X2709" t="s">
        <v>7376</v>
      </c>
      <c r="Z2709" t="s">
        <v>9449</v>
      </c>
      <c r="AC2709">
        <v>42</v>
      </c>
      <c r="AD2709" t="s">
        <v>12422</v>
      </c>
      <c r="AF2709">
        <v>19</v>
      </c>
      <c r="AG2709">
        <v>2</v>
      </c>
      <c r="AH2709">
        <v>0</v>
      </c>
      <c r="AI2709">
        <v>224.14</v>
      </c>
      <c r="AL2709" t="s">
        <v>12460</v>
      </c>
      <c r="AM2709">
        <v>36400</v>
      </c>
      <c r="AS2709">
        <v>10.75</v>
      </c>
      <c r="AT2709" t="s">
        <v>496</v>
      </c>
      <c r="AU2709" t="s">
        <v>13087</v>
      </c>
    </row>
    <row r="2710" spans="1:48">
      <c r="A2710" s="1">
        <f>HYPERLINK("https://cms.ls-nyc.org/matter/dynamic-profile/view/1885761","18-1885761")</f>
        <v>0</v>
      </c>
      <c r="B2710" t="s">
        <v>133</v>
      </c>
      <c r="C2710" t="s">
        <v>344</v>
      </c>
      <c r="D2710" t="s">
        <v>472</v>
      </c>
      <c r="E2710" t="s">
        <v>1852</v>
      </c>
      <c r="F2710" t="s">
        <v>3394</v>
      </c>
      <c r="G2710" t="s">
        <v>5177</v>
      </c>
      <c r="H2710" t="s">
        <v>5455</v>
      </c>
      <c r="I2710" t="s">
        <v>6049</v>
      </c>
      <c r="J2710">
        <v>10040</v>
      </c>
      <c r="K2710" t="s">
        <v>6074</v>
      </c>
      <c r="L2710" t="s">
        <v>6074</v>
      </c>
      <c r="O2710" t="s">
        <v>7306</v>
      </c>
      <c r="P2710" t="s">
        <v>7314</v>
      </c>
      <c r="Q2710" t="s">
        <v>7322</v>
      </c>
      <c r="R2710" t="s">
        <v>6076</v>
      </c>
      <c r="S2710" t="s">
        <v>7324</v>
      </c>
      <c r="U2710" t="s">
        <v>344</v>
      </c>
      <c r="V2710">
        <v>1200.06</v>
      </c>
      <c r="W2710" t="s">
        <v>7365</v>
      </c>
      <c r="X2710" t="s">
        <v>7367</v>
      </c>
      <c r="Y2710" t="s">
        <v>7386</v>
      </c>
      <c r="Z2710" t="s">
        <v>9450</v>
      </c>
      <c r="AC2710">
        <v>0</v>
      </c>
      <c r="AD2710" t="s">
        <v>12422</v>
      </c>
      <c r="AE2710" t="s">
        <v>6110</v>
      </c>
      <c r="AF2710">
        <v>20</v>
      </c>
      <c r="AG2710">
        <v>1</v>
      </c>
      <c r="AH2710">
        <v>1</v>
      </c>
      <c r="AI2710">
        <v>224.14</v>
      </c>
      <c r="AL2710" t="s">
        <v>12482</v>
      </c>
      <c r="AM2710">
        <v>36894</v>
      </c>
      <c r="AS2710">
        <v>1.5</v>
      </c>
      <c r="AT2710" t="s">
        <v>344</v>
      </c>
      <c r="AU2710" t="s">
        <v>13106</v>
      </c>
    </row>
    <row r="2711" spans="1:48">
      <c r="A2711" s="1">
        <f>HYPERLINK("https://cms.ls-nyc.org/matter/dynamic-profile/view/1891447","19-1891447")</f>
        <v>0</v>
      </c>
      <c r="B2711" t="s">
        <v>72</v>
      </c>
      <c r="C2711" t="s">
        <v>278</v>
      </c>
      <c r="E2711" t="s">
        <v>1853</v>
      </c>
      <c r="F2711" t="s">
        <v>3340</v>
      </c>
      <c r="G2711" t="s">
        <v>3701</v>
      </c>
      <c r="H2711" t="s">
        <v>5923</v>
      </c>
      <c r="I2711" t="s">
        <v>6043</v>
      </c>
      <c r="J2711">
        <v>11233</v>
      </c>
      <c r="K2711" t="s">
        <v>6074</v>
      </c>
      <c r="L2711" t="s">
        <v>6074</v>
      </c>
      <c r="N2711" t="s">
        <v>7275</v>
      </c>
      <c r="O2711" t="s">
        <v>7307</v>
      </c>
      <c r="Q2711" t="s">
        <v>7322</v>
      </c>
      <c r="R2711" t="s">
        <v>6074</v>
      </c>
      <c r="S2711" t="s">
        <v>7324</v>
      </c>
      <c r="T2711" t="s">
        <v>7336</v>
      </c>
      <c r="U2711" t="s">
        <v>287</v>
      </c>
      <c r="V2711">
        <v>1094</v>
      </c>
      <c r="W2711" t="s">
        <v>7362</v>
      </c>
      <c r="X2711" t="s">
        <v>7375</v>
      </c>
      <c r="Z2711" t="s">
        <v>7715</v>
      </c>
      <c r="AC2711">
        <v>764</v>
      </c>
      <c r="AD2711" t="s">
        <v>12422</v>
      </c>
      <c r="AE2711" t="s">
        <v>6110</v>
      </c>
      <c r="AF2711">
        <v>40</v>
      </c>
      <c r="AG2711">
        <v>1</v>
      </c>
      <c r="AH2711">
        <v>0</v>
      </c>
      <c r="AI2711">
        <v>224.18</v>
      </c>
      <c r="AJ2711" t="s">
        <v>459</v>
      </c>
      <c r="AK2711" t="s">
        <v>12456</v>
      </c>
      <c r="AL2711" t="s">
        <v>12460</v>
      </c>
      <c r="AM2711">
        <v>28000</v>
      </c>
      <c r="AN2711" t="s">
        <v>12729</v>
      </c>
      <c r="AS2711">
        <v>0</v>
      </c>
      <c r="AU2711" t="s">
        <v>180</v>
      </c>
    </row>
    <row r="2712" spans="1:48">
      <c r="A2712" s="1">
        <f>HYPERLINK("https://cms.ls-nyc.org/matter/dynamic-profile/view/1900793","19-1900793")</f>
        <v>0</v>
      </c>
      <c r="B2712" t="s">
        <v>89</v>
      </c>
      <c r="C2712" t="s">
        <v>423</v>
      </c>
      <c r="E2712" t="s">
        <v>1854</v>
      </c>
      <c r="F2712" t="s">
        <v>2528</v>
      </c>
      <c r="G2712" t="s">
        <v>5178</v>
      </c>
      <c r="H2712" t="s">
        <v>5355</v>
      </c>
      <c r="I2712" t="s">
        <v>6043</v>
      </c>
      <c r="J2712">
        <v>11213</v>
      </c>
      <c r="K2712" t="s">
        <v>6074</v>
      </c>
      <c r="L2712" t="s">
        <v>6075</v>
      </c>
      <c r="N2712" t="s">
        <v>6104</v>
      </c>
      <c r="O2712" t="s">
        <v>7309</v>
      </c>
      <c r="Q2712" t="s">
        <v>7322</v>
      </c>
      <c r="R2712" t="s">
        <v>6074</v>
      </c>
      <c r="S2712" t="s">
        <v>7324</v>
      </c>
      <c r="T2712" t="s">
        <v>7336</v>
      </c>
      <c r="U2712" t="s">
        <v>263</v>
      </c>
      <c r="V2712">
        <v>652.36</v>
      </c>
      <c r="W2712" t="s">
        <v>7362</v>
      </c>
      <c r="Z2712" t="s">
        <v>9451</v>
      </c>
      <c r="AB2712" t="s">
        <v>12113</v>
      </c>
      <c r="AC2712">
        <v>6</v>
      </c>
      <c r="AD2712" t="s">
        <v>12422</v>
      </c>
      <c r="AE2712" t="s">
        <v>6110</v>
      </c>
      <c r="AF2712">
        <v>45</v>
      </c>
      <c r="AG2712">
        <v>2</v>
      </c>
      <c r="AH2712">
        <v>0</v>
      </c>
      <c r="AI2712">
        <v>224.33</v>
      </c>
      <c r="AL2712" t="s">
        <v>12460</v>
      </c>
      <c r="AM2712">
        <v>37934.16</v>
      </c>
      <c r="AN2712" t="s">
        <v>12730</v>
      </c>
      <c r="AS2712">
        <v>0</v>
      </c>
      <c r="AU2712" t="s">
        <v>218</v>
      </c>
      <c r="AV2712" t="s">
        <v>13145</v>
      </c>
    </row>
    <row r="2713" spans="1:48">
      <c r="A2713" s="1">
        <f>HYPERLINK("https://cms.ls-nyc.org/matter/dynamic-profile/view/1875670","18-1875670")</f>
        <v>0</v>
      </c>
      <c r="B2713" t="s">
        <v>96</v>
      </c>
      <c r="C2713" t="s">
        <v>233</v>
      </c>
      <c r="E2713" t="s">
        <v>1855</v>
      </c>
      <c r="F2713" t="s">
        <v>2059</v>
      </c>
      <c r="G2713" t="s">
        <v>4267</v>
      </c>
      <c r="H2713" t="s">
        <v>5453</v>
      </c>
      <c r="I2713" t="s">
        <v>6047</v>
      </c>
      <c r="J2713">
        <v>10468</v>
      </c>
      <c r="K2713" t="s">
        <v>6074</v>
      </c>
      <c r="L2713" t="s">
        <v>6074</v>
      </c>
      <c r="N2713" t="s">
        <v>7279</v>
      </c>
      <c r="O2713" t="s">
        <v>7309</v>
      </c>
      <c r="Q2713" t="s">
        <v>7322</v>
      </c>
      <c r="R2713" t="s">
        <v>6074</v>
      </c>
      <c r="S2713" t="s">
        <v>7324</v>
      </c>
      <c r="U2713" t="s">
        <v>472</v>
      </c>
      <c r="V2713">
        <v>2213</v>
      </c>
      <c r="W2713" t="s">
        <v>7363</v>
      </c>
      <c r="X2713" t="s">
        <v>7376</v>
      </c>
      <c r="Z2713" t="s">
        <v>9452</v>
      </c>
      <c r="AC2713">
        <v>58</v>
      </c>
      <c r="AD2713" t="s">
        <v>12422</v>
      </c>
      <c r="AE2713" t="s">
        <v>6110</v>
      </c>
      <c r="AF2713">
        <v>1</v>
      </c>
      <c r="AG2713">
        <v>2</v>
      </c>
      <c r="AH2713">
        <v>1</v>
      </c>
      <c r="AI2713">
        <v>224.52</v>
      </c>
      <c r="AL2713" t="s">
        <v>12461</v>
      </c>
      <c r="AM2713">
        <v>46656</v>
      </c>
      <c r="AS2713">
        <v>0</v>
      </c>
      <c r="AU2713" t="s">
        <v>13092</v>
      </c>
    </row>
    <row r="2714" spans="1:48">
      <c r="A2714" s="1">
        <f>HYPERLINK("https://cms.ls-nyc.org/matter/dynamic-profile/view/1875665","18-1875665")</f>
        <v>0</v>
      </c>
      <c r="B2714" t="s">
        <v>97</v>
      </c>
      <c r="C2714" t="s">
        <v>233</v>
      </c>
      <c r="D2714" t="s">
        <v>472</v>
      </c>
      <c r="E2714" t="s">
        <v>1855</v>
      </c>
      <c r="F2714" t="s">
        <v>2059</v>
      </c>
      <c r="G2714" t="s">
        <v>4267</v>
      </c>
      <c r="H2714" t="s">
        <v>5453</v>
      </c>
      <c r="I2714" t="s">
        <v>6047</v>
      </c>
      <c r="J2714">
        <v>10468</v>
      </c>
      <c r="K2714" t="s">
        <v>6074</v>
      </c>
      <c r="L2714" t="s">
        <v>6074</v>
      </c>
      <c r="N2714" t="s">
        <v>7273</v>
      </c>
      <c r="O2714" t="s">
        <v>7306</v>
      </c>
      <c r="P2714" t="s">
        <v>7314</v>
      </c>
      <c r="Q2714" t="s">
        <v>7322</v>
      </c>
      <c r="R2714" t="s">
        <v>6074</v>
      </c>
      <c r="S2714" t="s">
        <v>7324</v>
      </c>
      <c r="U2714" t="s">
        <v>472</v>
      </c>
      <c r="V2714">
        <v>2213</v>
      </c>
      <c r="W2714" t="s">
        <v>7363</v>
      </c>
      <c r="X2714" t="s">
        <v>7376</v>
      </c>
      <c r="Y2714" t="s">
        <v>7386</v>
      </c>
      <c r="Z2714" t="s">
        <v>9452</v>
      </c>
      <c r="AC2714">
        <v>58</v>
      </c>
      <c r="AD2714" t="s">
        <v>12422</v>
      </c>
      <c r="AE2714" t="s">
        <v>6110</v>
      </c>
      <c r="AF2714">
        <v>1</v>
      </c>
      <c r="AG2714">
        <v>2</v>
      </c>
      <c r="AH2714">
        <v>1</v>
      </c>
      <c r="AI2714">
        <v>224.52</v>
      </c>
      <c r="AL2714" t="s">
        <v>12461</v>
      </c>
      <c r="AM2714">
        <v>46656</v>
      </c>
      <c r="AS2714">
        <v>0.2</v>
      </c>
      <c r="AT2714" t="s">
        <v>310</v>
      </c>
      <c r="AU2714" t="s">
        <v>13092</v>
      </c>
    </row>
    <row r="2715" spans="1:48">
      <c r="A2715" s="1">
        <f>HYPERLINK("https://cms.ls-nyc.org/matter/dynamic-profile/view/1898288","19-1898288")</f>
        <v>0</v>
      </c>
      <c r="B2715" t="s">
        <v>78</v>
      </c>
      <c r="C2715" t="s">
        <v>343</v>
      </c>
      <c r="D2715" t="s">
        <v>324</v>
      </c>
      <c r="E2715" t="s">
        <v>690</v>
      </c>
      <c r="F2715" t="s">
        <v>3296</v>
      </c>
      <c r="G2715" t="s">
        <v>3866</v>
      </c>
      <c r="I2715" t="s">
        <v>6043</v>
      </c>
      <c r="J2715">
        <v>11206</v>
      </c>
      <c r="K2715" t="s">
        <v>6074</v>
      </c>
      <c r="L2715" t="s">
        <v>6074</v>
      </c>
      <c r="M2715" t="s">
        <v>7164</v>
      </c>
      <c r="N2715" t="s">
        <v>7276</v>
      </c>
      <c r="O2715" t="s">
        <v>7308</v>
      </c>
      <c r="P2715" t="s">
        <v>7314</v>
      </c>
      <c r="Q2715" t="s">
        <v>7322</v>
      </c>
      <c r="R2715" t="s">
        <v>6076</v>
      </c>
      <c r="S2715" t="s">
        <v>7324</v>
      </c>
      <c r="T2715" t="s">
        <v>7336</v>
      </c>
      <c r="U2715" t="s">
        <v>343</v>
      </c>
      <c r="V2715">
        <v>580</v>
      </c>
      <c r="W2715" t="s">
        <v>7362</v>
      </c>
      <c r="X2715" t="s">
        <v>7368</v>
      </c>
      <c r="Y2715" t="s">
        <v>7388</v>
      </c>
      <c r="Z2715" t="s">
        <v>9273</v>
      </c>
      <c r="AB2715" t="s">
        <v>11951</v>
      </c>
      <c r="AC2715">
        <v>8</v>
      </c>
      <c r="AD2715" t="s">
        <v>12422</v>
      </c>
      <c r="AF2715">
        <v>6</v>
      </c>
      <c r="AG2715">
        <v>1</v>
      </c>
      <c r="AH2715">
        <v>1</v>
      </c>
      <c r="AI2715">
        <v>224.72</v>
      </c>
      <c r="AL2715" t="s">
        <v>12460</v>
      </c>
      <c r="AM2715">
        <v>38000</v>
      </c>
      <c r="AS2715">
        <v>2.7</v>
      </c>
      <c r="AT2715" t="s">
        <v>254</v>
      </c>
      <c r="AU2715" t="s">
        <v>78</v>
      </c>
    </row>
    <row r="2716" spans="1:48">
      <c r="A2716" s="1">
        <f>HYPERLINK("https://cms.ls-nyc.org/matter/dynamic-profile/view/1897635","19-1897635")</f>
        <v>0</v>
      </c>
      <c r="B2716" t="s">
        <v>126</v>
      </c>
      <c r="C2716" t="s">
        <v>424</v>
      </c>
      <c r="E2716" t="s">
        <v>1039</v>
      </c>
      <c r="F2716" t="s">
        <v>3395</v>
      </c>
      <c r="G2716" t="s">
        <v>4479</v>
      </c>
      <c r="H2716" t="s">
        <v>5461</v>
      </c>
      <c r="I2716" t="s">
        <v>6049</v>
      </c>
      <c r="J2716">
        <v>10035</v>
      </c>
      <c r="K2716" t="s">
        <v>6074</v>
      </c>
      <c r="L2716" t="s">
        <v>6074</v>
      </c>
      <c r="N2716" t="s">
        <v>6104</v>
      </c>
      <c r="O2716" t="s">
        <v>7307</v>
      </c>
      <c r="Q2716" t="s">
        <v>7322</v>
      </c>
      <c r="R2716" t="s">
        <v>6074</v>
      </c>
      <c r="S2716" t="s">
        <v>7324</v>
      </c>
      <c r="U2716" t="s">
        <v>279</v>
      </c>
      <c r="V2716">
        <v>900</v>
      </c>
      <c r="W2716" t="s">
        <v>7365</v>
      </c>
      <c r="X2716" t="s">
        <v>7375</v>
      </c>
      <c r="Z2716" t="s">
        <v>9453</v>
      </c>
      <c r="AC2716">
        <v>60</v>
      </c>
      <c r="AD2716" t="s">
        <v>12422</v>
      </c>
      <c r="AE2716" t="s">
        <v>6110</v>
      </c>
      <c r="AF2716">
        <v>15</v>
      </c>
      <c r="AG2716">
        <v>1</v>
      </c>
      <c r="AH2716">
        <v>1</v>
      </c>
      <c r="AI2716">
        <v>224.72</v>
      </c>
      <c r="AL2716" t="s">
        <v>12460</v>
      </c>
      <c r="AM2716">
        <v>38000</v>
      </c>
      <c r="AS2716">
        <v>0</v>
      </c>
      <c r="AU2716" t="s">
        <v>13107</v>
      </c>
    </row>
    <row r="2717" spans="1:48">
      <c r="A2717" s="1">
        <f>HYPERLINK("https://cms.ls-nyc.org/matter/dynamic-profile/view/1897707","19-1897707")</f>
        <v>0</v>
      </c>
      <c r="B2717" t="s">
        <v>125</v>
      </c>
      <c r="C2717" t="s">
        <v>263</v>
      </c>
      <c r="E2717" t="s">
        <v>1387</v>
      </c>
      <c r="F2717" t="s">
        <v>2322</v>
      </c>
      <c r="G2717" t="s">
        <v>5179</v>
      </c>
      <c r="H2717">
        <v>54</v>
      </c>
      <c r="I2717" t="s">
        <v>6049</v>
      </c>
      <c r="J2717">
        <v>10034</v>
      </c>
      <c r="K2717" t="s">
        <v>6074</v>
      </c>
      <c r="L2717" t="s">
        <v>6074</v>
      </c>
      <c r="N2717" t="s">
        <v>7278</v>
      </c>
      <c r="O2717" t="s">
        <v>7306</v>
      </c>
      <c r="Q2717" t="s">
        <v>7322</v>
      </c>
      <c r="R2717" t="s">
        <v>6076</v>
      </c>
      <c r="S2717" t="s">
        <v>7324</v>
      </c>
      <c r="U2717" t="s">
        <v>263</v>
      </c>
      <c r="V2717">
        <v>1785</v>
      </c>
      <c r="W2717" t="s">
        <v>7365</v>
      </c>
      <c r="X2717" t="s">
        <v>7367</v>
      </c>
      <c r="Z2717" t="s">
        <v>9454</v>
      </c>
      <c r="AB2717" t="s">
        <v>12114</v>
      </c>
      <c r="AC2717">
        <v>42</v>
      </c>
      <c r="AD2717" t="s">
        <v>12422</v>
      </c>
      <c r="AE2717" t="s">
        <v>7305</v>
      </c>
      <c r="AF2717">
        <v>3</v>
      </c>
      <c r="AG2717">
        <v>2</v>
      </c>
      <c r="AH2717">
        <v>0</v>
      </c>
      <c r="AI2717">
        <v>224.72</v>
      </c>
      <c r="AL2717" t="s">
        <v>12460</v>
      </c>
      <c r="AM2717">
        <v>38000</v>
      </c>
      <c r="AS2717">
        <v>1.6</v>
      </c>
      <c r="AT2717" t="s">
        <v>421</v>
      </c>
      <c r="AU2717" t="s">
        <v>13106</v>
      </c>
    </row>
    <row r="2718" spans="1:48">
      <c r="A2718" s="1">
        <f>HYPERLINK("https://cms.ls-nyc.org/matter/dynamic-profile/view/1898102","19-1898102")</f>
        <v>0</v>
      </c>
      <c r="B2718" t="s">
        <v>130</v>
      </c>
      <c r="C2718" t="s">
        <v>362</v>
      </c>
      <c r="E2718" t="s">
        <v>795</v>
      </c>
      <c r="F2718" t="s">
        <v>2522</v>
      </c>
      <c r="G2718" t="s">
        <v>5180</v>
      </c>
      <c r="H2718" t="s">
        <v>5400</v>
      </c>
      <c r="I2718" t="s">
        <v>6049</v>
      </c>
      <c r="J2718">
        <v>10033</v>
      </c>
      <c r="K2718" t="s">
        <v>6074</v>
      </c>
      <c r="L2718" t="s">
        <v>6074</v>
      </c>
      <c r="M2718" t="s">
        <v>7165</v>
      </c>
      <c r="N2718" t="s">
        <v>7274</v>
      </c>
      <c r="O2718" t="s">
        <v>7306</v>
      </c>
      <c r="Q2718" t="s">
        <v>7322</v>
      </c>
      <c r="R2718" t="s">
        <v>6076</v>
      </c>
      <c r="S2718" t="s">
        <v>7324</v>
      </c>
      <c r="U2718" t="s">
        <v>362</v>
      </c>
      <c r="V2718">
        <v>960</v>
      </c>
      <c r="W2718" t="s">
        <v>7365</v>
      </c>
      <c r="X2718" t="s">
        <v>7367</v>
      </c>
      <c r="Z2718" t="s">
        <v>9455</v>
      </c>
      <c r="AB2718" t="s">
        <v>12115</v>
      </c>
      <c r="AC2718">
        <v>20</v>
      </c>
      <c r="AD2718" t="s">
        <v>12422</v>
      </c>
      <c r="AE2718" t="s">
        <v>6110</v>
      </c>
      <c r="AF2718">
        <v>25</v>
      </c>
      <c r="AG2718">
        <v>2</v>
      </c>
      <c r="AH2718">
        <v>1</v>
      </c>
      <c r="AI2718">
        <v>225.04</v>
      </c>
      <c r="AL2718" t="s">
        <v>12460</v>
      </c>
      <c r="AM2718">
        <v>48000</v>
      </c>
      <c r="AS2718">
        <v>3.7</v>
      </c>
      <c r="AT2718" t="s">
        <v>316</v>
      </c>
      <c r="AU2718" t="s">
        <v>13106</v>
      </c>
      <c r="AV2718" t="s">
        <v>13145</v>
      </c>
    </row>
    <row r="2719" spans="1:48">
      <c r="A2719" s="1">
        <f>HYPERLINK("https://cms.ls-nyc.org/matter/dynamic-profile/view/1899149","19-1899149")</f>
        <v>0</v>
      </c>
      <c r="B2719" t="s">
        <v>109</v>
      </c>
      <c r="C2719" t="s">
        <v>254</v>
      </c>
      <c r="E2719" t="s">
        <v>642</v>
      </c>
      <c r="F2719" t="s">
        <v>1209</v>
      </c>
      <c r="G2719" t="s">
        <v>3927</v>
      </c>
      <c r="H2719" t="s">
        <v>5364</v>
      </c>
      <c r="I2719" t="s">
        <v>6047</v>
      </c>
      <c r="J2719">
        <v>10452</v>
      </c>
      <c r="K2719" t="s">
        <v>6074</v>
      </c>
      <c r="L2719" t="s">
        <v>6075</v>
      </c>
      <c r="N2719" t="s">
        <v>7279</v>
      </c>
      <c r="O2719" t="s">
        <v>7307</v>
      </c>
      <c r="Q2719" t="s">
        <v>7322</v>
      </c>
      <c r="R2719" t="s">
        <v>6074</v>
      </c>
      <c r="S2719" t="s">
        <v>7324</v>
      </c>
      <c r="U2719" t="s">
        <v>257</v>
      </c>
      <c r="V2719">
        <v>987</v>
      </c>
      <c r="W2719" t="s">
        <v>7363</v>
      </c>
      <c r="X2719" t="s">
        <v>7376</v>
      </c>
      <c r="Z2719" t="s">
        <v>9456</v>
      </c>
      <c r="AB2719" t="s">
        <v>12116</v>
      </c>
      <c r="AC2719">
        <v>41</v>
      </c>
      <c r="AD2719" t="s">
        <v>6322</v>
      </c>
      <c r="AE2719" t="s">
        <v>12441</v>
      </c>
      <c r="AF2719">
        <v>32</v>
      </c>
      <c r="AG2719">
        <v>1</v>
      </c>
      <c r="AH2719">
        <v>0</v>
      </c>
      <c r="AI2719">
        <v>225.49</v>
      </c>
      <c r="AL2719" t="s">
        <v>12460</v>
      </c>
      <c r="AM2719">
        <v>28164</v>
      </c>
      <c r="AS2719">
        <v>0</v>
      </c>
      <c r="AU2719" t="s">
        <v>13092</v>
      </c>
      <c r="AV2719" t="s">
        <v>13145</v>
      </c>
    </row>
    <row r="2720" spans="1:48">
      <c r="A2720" s="1">
        <f>HYPERLINK("https://cms.ls-nyc.org/matter/dynamic-profile/view/1895472","19-1895472")</f>
        <v>0</v>
      </c>
      <c r="B2720" t="s">
        <v>109</v>
      </c>
      <c r="C2720" t="s">
        <v>457</v>
      </c>
      <c r="E2720" t="s">
        <v>642</v>
      </c>
      <c r="F2720" t="s">
        <v>1209</v>
      </c>
      <c r="G2720" t="s">
        <v>3927</v>
      </c>
      <c r="H2720" t="s">
        <v>5364</v>
      </c>
      <c r="I2720" t="s">
        <v>6047</v>
      </c>
      <c r="J2720">
        <v>10452</v>
      </c>
      <c r="K2720" t="s">
        <v>6074</v>
      </c>
      <c r="L2720" t="s">
        <v>6074</v>
      </c>
      <c r="N2720" t="s">
        <v>7283</v>
      </c>
      <c r="O2720" t="s">
        <v>7309</v>
      </c>
      <c r="Q2720" t="s">
        <v>7322</v>
      </c>
      <c r="R2720" t="s">
        <v>6076</v>
      </c>
      <c r="S2720" t="s">
        <v>7326</v>
      </c>
      <c r="U2720" t="s">
        <v>257</v>
      </c>
      <c r="V2720">
        <v>987</v>
      </c>
      <c r="W2720" t="s">
        <v>7363</v>
      </c>
      <c r="X2720" t="s">
        <v>7375</v>
      </c>
      <c r="Z2720" t="s">
        <v>9456</v>
      </c>
      <c r="AB2720" t="s">
        <v>12116</v>
      </c>
      <c r="AC2720">
        <v>41</v>
      </c>
      <c r="AD2720" t="s">
        <v>12422</v>
      </c>
      <c r="AE2720" t="s">
        <v>12441</v>
      </c>
      <c r="AF2720">
        <v>32</v>
      </c>
      <c r="AG2720">
        <v>1</v>
      </c>
      <c r="AH2720">
        <v>0</v>
      </c>
      <c r="AI2720">
        <v>225.49</v>
      </c>
      <c r="AL2720" t="s">
        <v>12460</v>
      </c>
      <c r="AM2720">
        <v>28164</v>
      </c>
      <c r="AS2720">
        <v>4</v>
      </c>
      <c r="AT2720" t="s">
        <v>324</v>
      </c>
      <c r="AU2720" t="s">
        <v>13092</v>
      </c>
    </row>
    <row r="2721" spans="1:48">
      <c r="A2721" s="1">
        <f>HYPERLINK("https://cms.ls-nyc.org/matter/dynamic-profile/view/1890447","19-1890447")</f>
        <v>0</v>
      </c>
      <c r="B2721" t="s">
        <v>81</v>
      </c>
      <c r="C2721" t="s">
        <v>448</v>
      </c>
      <c r="E2721" t="s">
        <v>1856</v>
      </c>
      <c r="F2721" t="s">
        <v>2638</v>
      </c>
      <c r="G2721" t="s">
        <v>4534</v>
      </c>
      <c r="H2721" t="s">
        <v>5438</v>
      </c>
      <c r="I2721" t="s">
        <v>6043</v>
      </c>
      <c r="J2721">
        <v>11225</v>
      </c>
      <c r="K2721" t="s">
        <v>6074</v>
      </c>
      <c r="L2721" t="s">
        <v>6074</v>
      </c>
      <c r="N2721" t="s">
        <v>7282</v>
      </c>
      <c r="O2721" t="s">
        <v>7308</v>
      </c>
      <c r="Q2721" t="s">
        <v>7322</v>
      </c>
      <c r="S2721" t="s">
        <v>7324</v>
      </c>
      <c r="U2721" t="s">
        <v>286</v>
      </c>
      <c r="V2721">
        <v>838.9400000000001</v>
      </c>
      <c r="W2721" t="s">
        <v>7362</v>
      </c>
      <c r="Z2721" t="s">
        <v>7467</v>
      </c>
      <c r="AC2721">
        <v>0</v>
      </c>
      <c r="AF2721">
        <v>39</v>
      </c>
      <c r="AG2721">
        <v>2</v>
      </c>
      <c r="AH2721">
        <v>0</v>
      </c>
      <c r="AI2721">
        <v>225.59</v>
      </c>
      <c r="AL2721" t="s">
        <v>12460</v>
      </c>
      <c r="AM2721">
        <v>38148</v>
      </c>
      <c r="AS2721">
        <v>0</v>
      </c>
      <c r="AU2721" t="s">
        <v>88</v>
      </c>
    </row>
    <row r="2722" spans="1:48">
      <c r="A2722" s="1">
        <f>HYPERLINK("https://cms.ls-nyc.org/matter/dynamic-profile/view/1890592","19-1890592")</f>
        <v>0</v>
      </c>
      <c r="B2722" t="s">
        <v>81</v>
      </c>
      <c r="C2722" t="s">
        <v>448</v>
      </c>
      <c r="E2722" t="s">
        <v>1856</v>
      </c>
      <c r="F2722" t="s">
        <v>2638</v>
      </c>
      <c r="G2722" t="s">
        <v>4534</v>
      </c>
      <c r="H2722" t="s">
        <v>5438</v>
      </c>
      <c r="I2722" t="s">
        <v>6043</v>
      </c>
      <c r="J2722">
        <v>11225</v>
      </c>
      <c r="K2722" t="s">
        <v>6074</v>
      </c>
      <c r="L2722" t="s">
        <v>6074</v>
      </c>
      <c r="N2722" t="s">
        <v>7279</v>
      </c>
      <c r="O2722" t="s">
        <v>7311</v>
      </c>
      <c r="Q2722" t="s">
        <v>7322</v>
      </c>
      <c r="R2722" t="s">
        <v>6074</v>
      </c>
      <c r="S2722" t="s">
        <v>7324</v>
      </c>
      <c r="U2722" t="s">
        <v>286</v>
      </c>
      <c r="V2722">
        <v>838.9400000000001</v>
      </c>
      <c r="W2722" t="s">
        <v>7362</v>
      </c>
      <c r="Z2722" t="s">
        <v>9457</v>
      </c>
      <c r="AC2722">
        <v>0</v>
      </c>
      <c r="AF2722">
        <v>39</v>
      </c>
      <c r="AG2722">
        <v>2</v>
      </c>
      <c r="AH2722">
        <v>0</v>
      </c>
      <c r="AI2722">
        <v>225.59</v>
      </c>
      <c r="AL2722" t="s">
        <v>12460</v>
      </c>
      <c r="AM2722">
        <v>38148</v>
      </c>
      <c r="AS2722">
        <v>0</v>
      </c>
      <c r="AU2722" t="s">
        <v>88</v>
      </c>
    </row>
    <row r="2723" spans="1:48">
      <c r="A2723" s="1">
        <f>HYPERLINK("https://cms.ls-nyc.org/matter/dynamic-profile/view/1892876","19-1892876")</f>
        <v>0</v>
      </c>
      <c r="B2723" t="s">
        <v>81</v>
      </c>
      <c r="C2723" t="s">
        <v>356</v>
      </c>
      <c r="E2723" t="s">
        <v>1856</v>
      </c>
      <c r="F2723" t="s">
        <v>2638</v>
      </c>
      <c r="G2723" t="s">
        <v>4534</v>
      </c>
      <c r="H2723" t="s">
        <v>5438</v>
      </c>
      <c r="I2723" t="s">
        <v>6043</v>
      </c>
      <c r="J2723">
        <v>11225</v>
      </c>
      <c r="K2723" t="s">
        <v>6074</v>
      </c>
      <c r="L2723" t="s">
        <v>6074</v>
      </c>
      <c r="N2723" t="s">
        <v>7279</v>
      </c>
      <c r="O2723" t="s">
        <v>7311</v>
      </c>
      <c r="Q2723" t="s">
        <v>7322</v>
      </c>
      <c r="R2723" t="s">
        <v>6074</v>
      </c>
      <c r="S2723" t="s">
        <v>7324</v>
      </c>
      <c r="U2723" t="s">
        <v>477</v>
      </c>
      <c r="V2723">
        <v>1726.17</v>
      </c>
      <c r="W2723" t="s">
        <v>7362</v>
      </c>
      <c r="Z2723" t="s">
        <v>9457</v>
      </c>
      <c r="AC2723">
        <v>0</v>
      </c>
      <c r="AF2723">
        <v>14</v>
      </c>
      <c r="AG2723">
        <v>2</v>
      </c>
      <c r="AH2723">
        <v>0</v>
      </c>
      <c r="AI2723">
        <v>225.59</v>
      </c>
      <c r="AL2723" t="s">
        <v>12460</v>
      </c>
      <c r="AM2723">
        <v>38148</v>
      </c>
      <c r="AS2723">
        <v>0</v>
      </c>
      <c r="AU2723" t="s">
        <v>88</v>
      </c>
    </row>
    <row r="2724" spans="1:48">
      <c r="A2724" s="1">
        <f>HYPERLINK("https://cms.ls-nyc.org/matter/dynamic-profile/view/1891141","19-1891141")</f>
        <v>0</v>
      </c>
      <c r="B2724" t="s">
        <v>88</v>
      </c>
      <c r="C2724" t="s">
        <v>537</v>
      </c>
      <c r="E2724" t="s">
        <v>1857</v>
      </c>
      <c r="F2724" t="s">
        <v>3396</v>
      </c>
      <c r="G2724" t="s">
        <v>4434</v>
      </c>
      <c r="H2724" t="s">
        <v>5924</v>
      </c>
      <c r="I2724" t="s">
        <v>6043</v>
      </c>
      <c r="J2724">
        <v>11226</v>
      </c>
      <c r="K2724" t="s">
        <v>6074</v>
      </c>
      <c r="L2724" t="s">
        <v>6074</v>
      </c>
      <c r="O2724" t="s">
        <v>7307</v>
      </c>
      <c r="Q2724" t="s">
        <v>7322</v>
      </c>
      <c r="S2724" t="s">
        <v>7324</v>
      </c>
      <c r="U2724" t="s">
        <v>378</v>
      </c>
      <c r="V2724">
        <v>968</v>
      </c>
      <c r="W2724" t="s">
        <v>7362</v>
      </c>
      <c r="Z2724" t="s">
        <v>9458</v>
      </c>
      <c r="AB2724" t="s">
        <v>12117</v>
      </c>
      <c r="AC2724">
        <v>0</v>
      </c>
      <c r="AF2724">
        <v>31</v>
      </c>
      <c r="AG2724">
        <v>3</v>
      </c>
      <c r="AH2724">
        <v>0</v>
      </c>
      <c r="AI2724">
        <v>226.43</v>
      </c>
      <c r="AM2724">
        <v>48298</v>
      </c>
      <c r="AS2724">
        <v>0</v>
      </c>
      <c r="AU2724" t="s">
        <v>88</v>
      </c>
    </row>
    <row r="2725" spans="1:48">
      <c r="A2725" s="1">
        <f>HYPERLINK("https://cms.ls-nyc.org/matter/dynamic-profile/view/1898991","19-1898991")</f>
        <v>0</v>
      </c>
      <c r="B2725" t="s">
        <v>132</v>
      </c>
      <c r="C2725" t="s">
        <v>276</v>
      </c>
      <c r="E2725" t="s">
        <v>1165</v>
      </c>
      <c r="F2725" t="s">
        <v>3397</v>
      </c>
      <c r="G2725" t="s">
        <v>4589</v>
      </c>
      <c r="H2725" t="s">
        <v>5483</v>
      </c>
      <c r="I2725" t="s">
        <v>6049</v>
      </c>
      <c r="J2725">
        <v>10040</v>
      </c>
      <c r="K2725" t="s">
        <v>6074</v>
      </c>
      <c r="L2725" t="s">
        <v>6075</v>
      </c>
      <c r="N2725" t="s">
        <v>7276</v>
      </c>
      <c r="O2725" t="s">
        <v>7308</v>
      </c>
      <c r="Q2725" t="s">
        <v>7322</v>
      </c>
      <c r="R2725" t="s">
        <v>6074</v>
      </c>
      <c r="S2725" t="s">
        <v>7324</v>
      </c>
      <c r="U2725" t="s">
        <v>276</v>
      </c>
      <c r="V2725">
        <v>1231.45</v>
      </c>
      <c r="W2725" t="s">
        <v>7365</v>
      </c>
      <c r="X2725" t="s">
        <v>7368</v>
      </c>
      <c r="Z2725" t="s">
        <v>9459</v>
      </c>
      <c r="AB2725" t="s">
        <v>12118</v>
      </c>
      <c r="AC2725">
        <v>44</v>
      </c>
      <c r="AD2725" t="s">
        <v>12422</v>
      </c>
      <c r="AE2725" t="s">
        <v>6110</v>
      </c>
      <c r="AF2725">
        <v>13</v>
      </c>
      <c r="AG2725">
        <v>2</v>
      </c>
      <c r="AH2725">
        <v>0</v>
      </c>
      <c r="AI2725">
        <v>226.64</v>
      </c>
      <c r="AL2725" t="s">
        <v>12461</v>
      </c>
      <c r="AM2725">
        <v>38324</v>
      </c>
      <c r="AS2725">
        <v>3.25</v>
      </c>
      <c r="AT2725" t="s">
        <v>241</v>
      </c>
      <c r="AU2725" t="s">
        <v>13106</v>
      </c>
      <c r="AV2725" t="s">
        <v>13145</v>
      </c>
    </row>
    <row r="2726" spans="1:48">
      <c r="A2726" s="1">
        <f>HYPERLINK("https://cms.ls-nyc.org/matter/dynamic-profile/view/1881763","18-1881763")</f>
        <v>0</v>
      </c>
      <c r="B2726" t="s">
        <v>73</v>
      </c>
      <c r="C2726" t="s">
        <v>451</v>
      </c>
      <c r="D2726" t="s">
        <v>472</v>
      </c>
      <c r="E2726" t="s">
        <v>1772</v>
      </c>
      <c r="F2726" t="s">
        <v>3398</v>
      </c>
      <c r="G2726" t="s">
        <v>5181</v>
      </c>
      <c r="H2726" t="s">
        <v>5358</v>
      </c>
      <c r="I2726" t="s">
        <v>6043</v>
      </c>
      <c r="J2726">
        <v>11212</v>
      </c>
      <c r="K2726" t="s">
        <v>6074</v>
      </c>
      <c r="L2726" t="s">
        <v>6074</v>
      </c>
      <c r="M2726" t="s">
        <v>7166</v>
      </c>
      <c r="N2726" t="s">
        <v>7274</v>
      </c>
      <c r="O2726" t="s">
        <v>7306</v>
      </c>
      <c r="P2726" t="s">
        <v>7314</v>
      </c>
      <c r="Q2726" t="s">
        <v>7322</v>
      </c>
      <c r="R2726" t="s">
        <v>6076</v>
      </c>
      <c r="S2726" t="s">
        <v>7324</v>
      </c>
      <c r="T2726" t="s">
        <v>7336</v>
      </c>
      <c r="U2726" t="s">
        <v>472</v>
      </c>
      <c r="V2726">
        <v>1015</v>
      </c>
      <c r="W2726" t="s">
        <v>7362</v>
      </c>
      <c r="Y2726" t="s">
        <v>7386</v>
      </c>
      <c r="Z2726" t="s">
        <v>7753</v>
      </c>
      <c r="AA2726" t="s">
        <v>10285</v>
      </c>
      <c r="AB2726" t="s">
        <v>12119</v>
      </c>
      <c r="AC2726">
        <v>4</v>
      </c>
      <c r="AD2726" t="s">
        <v>12419</v>
      </c>
      <c r="AE2726" t="s">
        <v>12438</v>
      </c>
      <c r="AF2726">
        <v>3</v>
      </c>
      <c r="AG2726">
        <v>1</v>
      </c>
      <c r="AH2726">
        <v>3</v>
      </c>
      <c r="AI2726">
        <v>227.28</v>
      </c>
      <c r="AK2726" t="s">
        <v>12456</v>
      </c>
      <c r="AL2726" t="s">
        <v>12460</v>
      </c>
      <c r="AM2726">
        <v>57048</v>
      </c>
      <c r="AN2726" t="s">
        <v>12731</v>
      </c>
      <c r="AS2726">
        <v>2</v>
      </c>
      <c r="AT2726" t="s">
        <v>283</v>
      </c>
      <c r="AU2726" t="s">
        <v>13100</v>
      </c>
    </row>
    <row r="2727" spans="1:48">
      <c r="A2727" s="1">
        <f>HYPERLINK("https://cms.ls-nyc.org/matter/dynamic-profile/view/1876471","18-1876471")</f>
        <v>0</v>
      </c>
      <c r="B2727" t="s">
        <v>105</v>
      </c>
      <c r="C2727" t="s">
        <v>336</v>
      </c>
      <c r="D2727" t="s">
        <v>323</v>
      </c>
      <c r="E2727" t="s">
        <v>1858</v>
      </c>
      <c r="F2727" t="s">
        <v>3399</v>
      </c>
      <c r="G2727" t="s">
        <v>5182</v>
      </c>
      <c r="H2727" t="s">
        <v>5485</v>
      </c>
      <c r="I2727" t="s">
        <v>6047</v>
      </c>
      <c r="J2727">
        <v>10452</v>
      </c>
      <c r="K2727" t="s">
        <v>6074</v>
      </c>
      <c r="L2727" t="s">
        <v>6074</v>
      </c>
      <c r="N2727" t="s">
        <v>7287</v>
      </c>
      <c r="O2727" t="s">
        <v>7306</v>
      </c>
      <c r="P2727" t="s">
        <v>7314</v>
      </c>
      <c r="Q2727" t="s">
        <v>7322</v>
      </c>
      <c r="R2727" t="s">
        <v>6076</v>
      </c>
      <c r="S2727" t="s">
        <v>7324</v>
      </c>
      <c r="U2727" t="s">
        <v>373</v>
      </c>
      <c r="V2727">
        <v>1091.92</v>
      </c>
      <c r="W2727" t="s">
        <v>7363</v>
      </c>
      <c r="X2727" t="s">
        <v>7376</v>
      </c>
      <c r="Y2727" t="s">
        <v>7386</v>
      </c>
      <c r="Z2727" t="s">
        <v>9460</v>
      </c>
      <c r="AB2727" t="s">
        <v>12120</v>
      </c>
      <c r="AC2727">
        <v>40</v>
      </c>
      <c r="AD2727" t="s">
        <v>12422</v>
      </c>
      <c r="AF2727">
        <v>2</v>
      </c>
      <c r="AG2727">
        <v>2</v>
      </c>
      <c r="AH2727">
        <v>1</v>
      </c>
      <c r="AI2727">
        <v>227.97</v>
      </c>
      <c r="AL2727" t="s">
        <v>12460</v>
      </c>
      <c r="AM2727">
        <v>47372</v>
      </c>
      <c r="AS2727">
        <v>0.8</v>
      </c>
      <c r="AT2727" t="s">
        <v>336</v>
      </c>
      <c r="AU2727" t="s">
        <v>105</v>
      </c>
    </row>
    <row r="2728" spans="1:48">
      <c r="A2728" s="1">
        <f>HYPERLINK("https://cms.ls-nyc.org/matter/dynamic-profile/view/1896914","19-1896914")</f>
        <v>0</v>
      </c>
      <c r="B2728" t="s">
        <v>222</v>
      </c>
      <c r="C2728" t="s">
        <v>397</v>
      </c>
      <c r="E2728" t="s">
        <v>1798</v>
      </c>
      <c r="F2728" t="s">
        <v>699</v>
      </c>
      <c r="G2728" t="s">
        <v>5100</v>
      </c>
      <c r="H2728" t="s">
        <v>5417</v>
      </c>
      <c r="I2728" t="s">
        <v>6049</v>
      </c>
      <c r="J2728">
        <v>10029</v>
      </c>
      <c r="K2728" t="s">
        <v>6074</v>
      </c>
      <c r="L2728" t="s">
        <v>6074</v>
      </c>
      <c r="N2728" t="s">
        <v>7290</v>
      </c>
      <c r="O2728" t="s">
        <v>7309</v>
      </c>
      <c r="Q2728" t="s">
        <v>7322</v>
      </c>
      <c r="R2728" t="s">
        <v>6076</v>
      </c>
      <c r="S2728" t="s">
        <v>7333</v>
      </c>
      <c r="T2728" t="s">
        <v>7336</v>
      </c>
      <c r="U2728" t="s">
        <v>397</v>
      </c>
      <c r="V2728">
        <v>650</v>
      </c>
      <c r="W2728" t="s">
        <v>7365</v>
      </c>
      <c r="X2728" t="s">
        <v>7370</v>
      </c>
      <c r="Z2728" t="s">
        <v>9331</v>
      </c>
      <c r="AB2728" t="s">
        <v>12011</v>
      </c>
      <c r="AC2728">
        <v>0</v>
      </c>
      <c r="AD2728" t="s">
        <v>12431</v>
      </c>
      <c r="AE2728" t="s">
        <v>6110</v>
      </c>
      <c r="AF2728">
        <v>31</v>
      </c>
      <c r="AG2728">
        <v>1</v>
      </c>
      <c r="AH2728">
        <v>0</v>
      </c>
      <c r="AI2728">
        <v>228.15</v>
      </c>
      <c r="AL2728" t="s">
        <v>12460</v>
      </c>
      <c r="AM2728">
        <v>28496</v>
      </c>
      <c r="AS2728">
        <v>5.5</v>
      </c>
      <c r="AT2728" t="s">
        <v>505</v>
      </c>
      <c r="AU2728" t="s">
        <v>13107</v>
      </c>
    </row>
    <row r="2729" spans="1:48">
      <c r="A2729" s="1">
        <f>HYPERLINK("https://cms.ls-nyc.org/matter/dynamic-profile/view/1879248","18-1879248")</f>
        <v>0</v>
      </c>
      <c r="B2729" t="s">
        <v>89</v>
      </c>
      <c r="C2729" t="s">
        <v>355</v>
      </c>
      <c r="E2729" t="s">
        <v>1854</v>
      </c>
      <c r="F2729" t="s">
        <v>2528</v>
      </c>
      <c r="G2729" t="s">
        <v>5178</v>
      </c>
      <c r="H2729" t="s">
        <v>5355</v>
      </c>
      <c r="I2729" t="s">
        <v>6043</v>
      </c>
      <c r="J2729">
        <v>11213</v>
      </c>
      <c r="K2729" t="s">
        <v>6074</v>
      </c>
      <c r="L2729" t="s">
        <v>6074</v>
      </c>
      <c r="M2729" t="s">
        <v>6147</v>
      </c>
      <c r="N2729" t="s">
        <v>7273</v>
      </c>
      <c r="O2729" t="s">
        <v>7308</v>
      </c>
      <c r="Q2729" t="s">
        <v>7322</v>
      </c>
      <c r="R2729" t="s">
        <v>6074</v>
      </c>
      <c r="S2729" t="s">
        <v>7324</v>
      </c>
      <c r="U2729" t="s">
        <v>273</v>
      </c>
      <c r="V2729">
        <v>652.36</v>
      </c>
      <c r="W2729" t="s">
        <v>7362</v>
      </c>
      <c r="Z2729" t="s">
        <v>9451</v>
      </c>
      <c r="AB2729" t="s">
        <v>12113</v>
      </c>
      <c r="AC2729">
        <v>6</v>
      </c>
      <c r="AD2729" t="s">
        <v>12422</v>
      </c>
      <c r="AE2729" t="s">
        <v>6110</v>
      </c>
      <c r="AF2729">
        <v>45</v>
      </c>
      <c r="AG2729">
        <v>2</v>
      </c>
      <c r="AH2729">
        <v>0</v>
      </c>
      <c r="AI2729">
        <v>230.46</v>
      </c>
      <c r="AL2729" t="s">
        <v>12460</v>
      </c>
      <c r="AM2729">
        <v>37934.16</v>
      </c>
      <c r="AS2729">
        <v>0.1</v>
      </c>
      <c r="AT2729" t="s">
        <v>405</v>
      </c>
      <c r="AU2729" t="s">
        <v>218</v>
      </c>
    </row>
    <row r="2730" spans="1:48">
      <c r="A2730" s="1">
        <f>HYPERLINK("https://cms.ls-nyc.org/matter/dynamic-profile/view/1886113","18-1886113")</f>
        <v>0</v>
      </c>
      <c r="B2730" t="s">
        <v>72</v>
      </c>
      <c r="C2730" t="s">
        <v>326</v>
      </c>
      <c r="E2730" t="s">
        <v>1853</v>
      </c>
      <c r="F2730" t="s">
        <v>3340</v>
      </c>
      <c r="G2730" t="s">
        <v>3701</v>
      </c>
      <c r="H2730" t="s">
        <v>5923</v>
      </c>
      <c r="I2730" t="s">
        <v>6043</v>
      </c>
      <c r="J2730">
        <v>11233</v>
      </c>
      <c r="K2730" t="s">
        <v>6074</v>
      </c>
      <c r="L2730" t="s">
        <v>6074</v>
      </c>
      <c r="M2730" t="s">
        <v>6081</v>
      </c>
      <c r="N2730" t="s">
        <v>7279</v>
      </c>
      <c r="O2730" t="s">
        <v>7309</v>
      </c>
      <c r="Q2730" t="s">
        <v>7322</v>
      </c>
      <c r="R2730" t="s">
        <v>6074</v>
      </c>
      <c r="S2730" t="s">
        <v>7324</v>
      </c>
      <c r="T2730" t="s">
        <v>7336</v>
      </c>
      <c r="U2730" t="s">
        <v>462</v>
      </c>
      <c r="V2730">
        <v>1094</v>
      </c>
      <c r="W2730" t="s">
        <v>7362</v>
      </c>
      <c r="X2730" t="s">
        <v>7375</v>
      </c>
      <c r="Z2730" t="s">
        <v>7715</v>
      </c>
      <c r="AA2730" t="s">
        <v>6110</v>
      </c>
      <c r="AC2730">
        <v>764</v>
      </c>
      <c r="AD2730" t="s">
        <v>12422</v>
      </c>
      <c r="AE2730" t="s">
        <v>6110</v>
      </c>
      <c r="AF2730">
        <v>40</v>
      </c>
      <c r="AG2730">
        <v>1</v>
      </c>
      <c r="AH2730">
        <v>0</v>
      </c>
      <c r="AI2730">
        <v>230.64</v>
      </c>
      <c r="AJ2730" t="s">
        <v>459</v>
      </c>
      <c r="AK2730" t="s">
        <v>12456</v>
      </c>
      <c r="AL2730" t="s">
        <v>12460</v>
      </c>
      <c r="AM2730">
        <v>28000</v>
      </c>
      <c r="AS2730">
        <v>0</v>
      </c>
      <c r="AU2730" t="s">
        <v>218</v>
      </c>
    </row>
    <row r="2731" spans="1:48">
      <c r="A2731" s="1">
        <f>HYPERLINK("https://cms.ls-nyc.org/matter/dynamic-profile/view/1879151","18-1879151")</f>
        <v>0</v>
      </c>
      <c r="B2731" t="s">
        <v>96</v>
      </c>
      <c r="C2731" t="s">
        <v>355</v>
      </c>
      <c r="D2731" t="s">
        <v>326</v>
      </c>
      <c r="E2731" t="s">
        <v>637</v>
      </c>
      <c r="F2731" t="s">
        <v>3055</v>
      </c>
      <c r="G2731" t="s">
        <v>5183</v>
      </c>
      <c r="H2731" t="s">
        <v>5364</v>
      </c>
      <c r="I2731" t="s">
        <v>6047</v>
      </c>
      <c r="J2731">
        <v>10453</v>
      </c>
      <c r="K2731" t="s">
        <v>6074</v>
      </c>
      <c r="L2731" t="s">
        <v>6074</v>
      </c>
      <c r="N2731" t="s">
        <v>7278</v>
      </c>
      <c r="O2731" t="s">
        <v>7306</v>
      </c>
      <c r="P2731" t="s">
        <v>7314</v>
      </c>
      <c r="Q2731" t="s">
        <v>7322</v>
      </c>
      <c r="R2731" t="s">
        <v>6076</v>
      </c>
      <c r="S2731" t="s">
        <v>7324</v>
      </c>
      <c r="U2731" t="s">
        <v>355</v>
      </c>
      <c r="V2731">
        <v>1100</v>
      </c>
      <c r="W2731" t="s">
        <v>7363</v>
      </c>
      <c r="Y2731" t="s">
        <v>7386</v>
      </c>
      <c r="Z2731" t="s">
        <v>9461</v>
      </c>
      <c r="AB2731" t="s">
        <v>12121</v>
      </c>
      <c r="AC2731">
        <v>0</v>
      </c>
      <c r="AE2731" t="s">
        <v>12434</v>
      </c>
      <c r="AF2731">
        <v>3</v>
      </c>
      <c r="AG2731">
        <v>3</v>
      </c>
      <c r="AH2731">
        <v>0</v>
      </c>
      <c r="AI2731">
        <v>230.64</v>
      </c>
      <c r="AL2731" t="s">
        <v>12461</v>
      </c>
      <c r="AM2731">
        <v>47928</v>
      </c>
      <c r="AS2731">
        <v>0.1</v>
      </c>
      <c r="AT2731" t="s">
        <v>326</v>
      </c>
      <c r="AU2731" t="s">
        <v>13092</v>
      </c>
    </row>
    <row r="2732" spans="1:48">
      <c r="A2732" s="1">
        <f>HYPERLINK("https://cms.ls-nyc.org/matter/dynamic-profile/view/1885352","18-1885352")</f>
        <v>0</v>
      </c>
      <c r="B2732" t="s">
        <v>161</v>
      </c>
      <c r="C2732" t="s">
        <v>250</v>
      </c>
      <c r="D2732" t="s">
        <v>429</v>
      </c>
      <c r="E2732" t="s">
        <v>891</v>
      </c>
      <c r="F2732" t="s">
        <v>3400</v>
      </c>
      <c r="G2732" t="s">
        <v>5184</v>
      </c>
      <c r="H2732" t="s">
        <v>5522</v>
      </c>
      <c r="I2732" t="s">
        <v>6049</v>
      </c>
      <c r="J2732">
        <v>10002</v>
      </c>
      <c r="K2732" t="s">
        <v>6074</v>
      </c>
      <c r="L2732" t="s">
        <v>6074</v>
      </c>
      <c r="N2732" t="s">
        <v>6104</v>
      </c>
      <c r="O2732" t="s">
        <v>7306</v>
      </c>
      <c r="P2732" t="s">
        <v>7314</v>
      </c>
      <c r="Q2732" t="s">
        <v>7322</v>
      </c>
      <c r="R2732" t="s">
        <v>6076</v>
      </c>
      <c r="S2732" t="s">
        <v>7324</v>
      </c>
      <c r="T2732" t="s">
        <v>7336</v>
      </c>
      <c r="U2732" t="s">
        <v>242</v>
      </c>
      <c r="V2732">
        <v>680</v>
      </c>
      <c r="W2732" t="s">
        <v>7365</v>
      </c>
      <c r="X2732" t="s">
        <v>7375</v>
      </c>
      <c r="Y2732" t="s">
        <v>7386</v>
      </c>
      <c r="Z2732" t="s">
        <v>9462</v>
      </c>
      <c r="AB2732" t="s">
        <v>12122</v>
      </c>
      <c r="AC2732">
        <v>124</v>
      </c>
      <c r="AD2732" t="s">
        <v>12423</v>
      </c>
      <c r="AE2732" t="s">
        <v>6110</v>
      </c>
      <c r="AF2732">
        <v>1</v>
      </c>
      <c r="AG2732">
        <v>1</v>
      </c>
      <c r="AH2732">
        <v>0</v>
      </c>
      <c r="AI2732">
        <v>230.64</v>
      </c>
      <c r="AL2732" t="s">
        <v>12460</v>
      </c>
      <c r="AM2732">
        <v>28000</v>
      </c>
      <c r="AS2732">
        <v>1</v>
      </c>
      <c r="AT2732" t="s">
        <v>250</v>
      </c>
      <c r="AU2732" t="s">
        <v>13107</v>
      </c>
    </row>
    <row r="2733" spans="1:48">
      <c r="A2733" s="1">
        <f>HYPERLINK("https://cms.ls-nyc.org/matter/dynamic-profile/view/1893680","19-1893680")</f>
        <v>0</v>
      </c>
      <c r="B2733" t="s">
        <v>119</v>
      </c>
      <c r="C2733" t="s">
        <v>367</v>
      </c>
      <c r="E2733" t="s">
        <v>1859</v>
      </c>
      <c r="F2733" t="s">
        <v>3401</v>
      </c>
      <c r="G2733" t="s">
        <v>5185</v>
      </c>
      <c r="I2733" t="s">
        <v>6048</v>
      </c>
      <c r="J2733">
        <v>10301</v>
      </c>
      <c r="K2733" t="s">
        <v>6074</v>
      </c>
      <c r="L2733" t="s">
        <v>6074</v>
      </c>
      <c r="M2733" t="s">
        <v>7167</v>
      </c>
      <c r="N2733" t="s">
        <v>7276</v>
      </c>
      <c r="O2733" t="s">
        <v>7308</v>
      </c>
      <c r="Q2733" t="s">
        <v>7322</v>
      </c>
      <c r="S2733" t="s">
        <v>7324</v>
      </c>
      <c r="T2733" t="s">
        <v>7336</v>
      </c>
      <c r="U2733" t="s">
        <v>436</v>
      </c>
      <c r="V2733">
        <v>818</v>
      </c>
      <c r="W2733" t="s">
        <v>7364</v>
      </c>
      <c r="X2733" t="s">
        <v>7367</v>
      </c>
      <c r="Z2733" t="s">
        <v>8163</v>
      </c>
      <c r="AB2733" t="s">
        <v>12123</v>
      </c>
      <c r="AC2733">
        <v>2</v>
      </c>
      <c r="AD2733" t="s">
        <v>12420</v>
      </c>
      <c r="AE2733" t="s">
        <v>12434</v>
      </c>
      <c r="AF2733">
        <v>1</v>
      </c>
      <c r="AG2733">
        <v>1</v>
      </c>
      <c r="AH2733">
        <v>2</v>
      </c>
      <c r="AI2733">
        <v>230.9</v>
      </c>
      <c r="AL2733" t="s">
        <v>12460</v>
      </c>
      <c r="AM2733">
        <v>49252</v>
      </c>
      <c r="AO2733" t="s">
        <v>12846</v>
      </c>
      <c r="AP2733" t="s">
        <v>12858</v>
      </c>
      <c r="AQ2733" t="s">
        <v>12909</v>
      </c>
      <c r="AR2733" t="s">
        <v>12923</v>
      </c>
      <c r="AS2733">
        <v>3.7</v>
      </c>
      <c r="AT2733" t="s">
        <v>363</v>
      </c>
      <c r="AU2733" t="s">
        <v>13101</v>
      </c>
      <c r="AV2733" t="s">
        <v>13145</v>
      </c>
    </row>
    <row r="2734" spans="1:48">
      <c r="A2734" s="1">
        <f>HYPERLINK("https://cms.ls-nyc.org/matter/dynamic-profile/view/1874893","18-1874893")</f>
        <v>0</v>
      </c>
      <c r="B2734" t="s">
        <v>48</v>
      </c>
      <c r="C2734" t="s">
        <v>274</v>
      </c>
      <c r="D2734" t="s">
        <v>344</v>
      </c>
      <c r="E2734" t="s">
        <v>1860</v>
      </c>
      <c r="F2734" t="s">
        <v>3402</v>
      </c>
      <c r="G2734" t="s">
        <v>5186</v>
      </c>
      <c r="H2734" t="s">
        <v>5925</v>
      </c>
      <c r="I2734" t="s">
        <v>6036</v>
      </c>
      <c r="J2734">
        <v>11374</v>
      </c>
      <c r="K2734" t="s">
        <v>6074</v>
      </c>
      <c r="L2734" t="s">
        <v>6074</v>
      </c>
      <c r="M2734" t="s">
        <v>7168</v>
      </c>
      <c r="N2734" t="s">
        <v>7274</v>
      </c>
      <c r="O2734" t="s">
        <v>7306</v>
      </c>
      <c r="P2734" t="s">
        <v>7314</v>
      </c>
      <c r="Q2734" t="s">
        <v>7323</v>
      </c>
      <c r="R2734" t="s">
        <v>6076</v>
      </c>
      <c r="S2734" t="s">
        <v>7324</v>
      </c>
      <c r="T2734" t="s">
        <v>7336</v>
      </c>
      <c r="U2734" t="s">
        <v>262</v>
      </c>
      <c r="V2734">
        <v>1800</v>
      </c>
      <c r="W2734" t="s">
        <v>7361</v>
      </c>
      <c r="X2734" t="s">
        <v>7369</v>
      </c>
      <c r="Y2734" t="s">
        <v>7386</v>
      </c>
      <c r="Z2734" t="s">
        <v>9463</v>
      </c>
      <c r="AA2734" t="s">
        <v>6110</v>
      </c>
      <c r="AB2734" t="s">
        <v>12124</v>
      </c>
      <c r="AC2734">
        <v>15</v>
      </c>
      <c r="AD2734" t="s">
        <v>12419</v>
      </c>
      <c r="AE2734" t="s">
        <v>6110</v>
      </c>
      <c r="AF2734">
        <v>6</v>
      </c>
      <c r="AG2734">
        <v>1</v>
      </c>
      <c r="AH2734">
        <v>2</v>
      </c>
      <c r="AI2734">
        <v>230.99</v>
      </c>
      <c r="AJ2734" t="s">
        <v>12443</v>
      </c>
      <c r="AK2734" t="s">
        <v>12455</v>
      </c>
      <c r="AL2734" t="s">
        <v>12482</v>
      </c>
      <c r="AM2734">
        <v>48000</v>
      </c>
      <c r="AS2734">
        <v>1</v>
      </c>
      <c r="AT2734" t="s">
        <v>274</v>
      </c>
      <c r="AU2734" t="s">
        <v>48</v>
      </c>
    </row>
    <row r="2735" spans="1:48">
      <c r="A2735" s="1">
        <f>HYPERLINK("https://cms.ls-nyc.org/matter/dynamic-profile/view/1881779","18-1881779")</f>
        <v>0</v>
      </c>
      <c r="B2735" t="s">
        <v>70</v>
      </c>
      <c r="C2735" t="s">
        <v>451</v>
      </c>
      <c r="D2735" t="s">
        <v>421</v>
      </c>
      <c r="E2735" t="s">
        <v>1779</v>
      </c>
      <c r="F2735" t="s">
        <v>3403</v>
      </c>
      <c r="G2735" t="s">
        <v>5187</v>
      </c>
      <c r="H2735" t="s">
        <v>5926</v>
      </c>
      <c r="I2735" t="s">
        <v>6043</v>
      </c>
      <c r="J2735">
        <v>11213</v>
      </c>
      <c r="K2735" t="s">
        <v>6074</v>
      </c>
      <c r="L2735" t="s">
        <v>6074</v>
      </c>
      <c r="N2735" t="s">
        <v>6104</v>
      </c>
      <c r="O2735" t="s">
        <v>7309</v>
      </c>
      <c r="P2735" t="s">
        <v>7319</v>
      </c>
      <c r="Q2735" t="s">
        <v>7322</v>
      </c>
      <c r="R2735" t="s">
        <v>6076</v>
      </c>
      <c r="S2735" t="s">
        <v>7326</v>
      </c>
      <c r="U2735" t="s">
        <v>442</v>
      </c>
      <c r="V2735">
        <v>1700</v>
      </c>
      <c r="W2735" t="s">
        <v>7362</v>
      </c>
      <c r="X2735" t="s">
        <v>7368</v>
      </c>
      <c r="Y2735" t="s">
        <v>7400</v>
      </c>
      <c r="Z2735" t="s">
        <v>9464</v>
      </c>
      <c r="AB2735" t="s">
        <v>12125</v>
      </c>
      <c r="AC2735">
        <v>54</v>
      </c>
      <c r="AD2735" t="s">
        <v>12420</v>
      </c>
      <c r="AE2735" t="s">
        <v>12434</v>
      </c>
      <c r="AF2735">
        <v>5</v>
      </c>
      <c r="AG2735">
        <v>1</v>
      </c>
      <c r="AH2735">
        <v>0</v>
      </c>
      <c r="AI2735">
        <v>231.76</v>
      </c>
      <c r="AL2735" t="s">
        <v>12460</v>
      </c>
      <c r="AM2735">
        <v>28136</v>
      </c>
      <c r="AP2735" t="s">
        <v>12907</v>
      </c>
      <c r="AQ2735" t="s">
        <v>12909</v>
      </c>
      <c r="AR2735" t="s">
        <v>12981</v>
      </c>
      <c r="AS2735">
        <v>1.25</v>
      </c>
      <c r="AT2735" t="s">
        <v>421</v>
      </c>
      <c r="AU2735" t="s">
        <v>13085</v>
      </c>
    </row>
    <row r="2736" spans="1:48">
      <c r="A2736" s="1">
        <f>HYPERLINK("https://cms.ls-nyc.org/matter/dynamic-profile/view/1883435","18-1883435")</f>
        <v>0</v>
      </c>
      <c r="B2736" t="s">
        <v>109</v>
      </c>
      <c r="C2736" t="s">
        <v>411</v>
      </c>
      <c r="E2736" t="s">
        <v>642</v>
      </c>
      <c r="F2736" t="s">
        <v>1209</v>
      </c>
      <c r="G2736" t="s">
        <v>3927</v>
      </c>
      <c r="H2736" t="s">
        <v>5364</v>
      </c>
      <c r="I2736" t="s">
        <v>6047</v>
      </c>
      <c r="J2736">
        <v>10452</v>
      </c>
      <c r="K2736" t="s">
        <v>6074</v>
      </c>
      <c r="L2736" t="s">
        <v>6074</v>
      </c>
      <c r="M2736" t="s">
        <v>6658</v>
      </c>
      <c r="N2736" t="s">
        <v>7273</v>
      </c>
      <c r="O2736" t="s">
        <v>7308</v>
      </c>
      <c r="Q2736" t="s">
        <v>7322</v>
      </c>
      <c r="R2736" t="s">
        <v>6074</v>
      </c>
      <c r="S2736" t="s">
        <v>7324</v>
      </c>
      <c r="U2736" t="s">
        <v>472</v>
      </c>
      <c r="V2736">
        <v>987</v>
      </c>
      <c r="W2736" t="s">
        <v>7363</v>
      </c>
      <c r="X2736" t="s">
        <v>7375</v>
      </c>
      <c r="Z2736" t="s">
        <v>9456</v>
      </c>
      <c r="AB2736" t="s">
        <v>12116</v>
      </c>
      <c r="AC2736">
        <v>41</v>
      </c>
      <c r="AD2736" t="s">
        <v>6322</v>
      </c>
      <c r="AE2736" t="s">
        <v>12441</v>
      </c>
      <c r="AF2736">
        <v>32</v>
      </c>
      <c r="AG2736">
        <v>1</v>
      </c>
      <c r="AH2736">
        <v>0</v>
      </c>
      <c r="AI2736">
        <v>231.99</v>
      </c>
      <c r="AL2736" t="s">
        <v>12460</v>
      </c>
      <c r="AM2736">
        <v>28164</v>
      </c>
      <c r="AS2736">
        <v>0</v>
      </c>
      <c r="AU2736" t="s">
        <v>13092</v>
      </c>
    </row>
    <row r="2737" spans="1:48">
      <c r="A2737" s="1">
        <f>HYPERLINK("https://cms.ls-nyc.org/matter/dynamic-profile/view/1892720","19-1892720")</f>
        <v>0</v>
      </c>
      <c r="B2737" t="s">
        <v>134</v>
      </c>
      <c r="C2737" t="s">
        <v>395</v>
      </c>
      <c r="E2737" t="s">
        <v>1199</v>
      </c>
      <c r="F2737" t="s">
        <v>2390</v>
      </c>
      <c r="G2737" t="s">
        <v>4410</v>
      </c>
      <c r="H2737" t="s">
        <v>5439</v>
      </c>
      <c r="I2737" t="s">
        <v>6049</v>
      </c>
      <c r="J2737">
        <v>10029</v>
      </c>
      <c r="K2737" t="s">
        <v>6074</v>
      </c>
      <c r="L2737" t="s">
        <v>6074</v>
      </c>
      <c r="M2737" t="s">
        <v>7169</v>
      </c>
      <c r="N2737" t="s">
        <v>7288</v>
      </c>
      <c r="O2737" t="s">
        <v>7307</v>
      </c>
      <c r="Q2737" t="s">
        <v>7322</v>
      </c>
      <c r="R2737" t="s">
        <v>6076</v>
      </c>
      <c r="S2737" t="s">
        <v>7331</v>
      </c>
      <c r="T2737" t="s">
        <v>7336</v>
      </c>
      <c r="U2737" t="s">
        <v>392</v>
      </c>
      <c r="V2737">
        <v>676</v>
      </c>
      <c r="W2737" t="s">
        <v>7365</v>
      </c>
      <c r="X2737" t="s">
        <v>7371</v>
      </c>
      <c r="Z2737" t="s">
        <v>9465</v>
      </c>
      <c r="AB2737" t="s">
        <v>12126</v>
      </c>
      <c r="AC2737">
        <v>40</v>
      </c>
      <c r="AD2737" t="s">
        <v>12420</v>
      </c>
      <c r="AE2737" t="s">
        <v>12434</v>
      </c>
      <c r="AF2737">
        <v>5</v>
      </c>
      <c r="AG2737">
        <v>1</v>
      </c>
      <c r="AH2737">
        <v>0</v>
      </c>
      <c r="AI2737">
        <v>232.19</v>
      </c>
      <c r="AL2737" t="s">
        <v>12460</v>
      </c>
      <c r="AM2737">
        <v>29000</v>
      </c>
      <c r="AS2737">
        <v>23.75</v>
      </c>
      <c r="AT2737" t="s">
        <v>302</v>
      </c>
      <c r="AU2737" t="s">
        <v>134</v>
      </c>
      <c r="AV2737" t="s">
        <v>13145</v>
      </c>
    </row>
    <row r="2738" spans="1:48">
      <c r="A2738" s="1">
        <f>HYPERLINK("https://cms.ls-nyc.org/matter/dynamic-profile/view/1894498","19-1894498")</f>
        <v>0</v>
      </c>
      <c r="B2738" t="s">
        <v>96</v>
      </c>
      <c r="C2738" t="s">
        <v>338</v>
      </c>
      <c r="E2738" t="s">
        <v>1861</v>
      </c>
      <c r="F2738" t="s">
        <v>1312</v>
      </c>
      <c r="G2738" t="s">
        <v>3792</v>
      </c>
      <c r="H2738" t="s">
        <v>5927</v>
      </c>
      <c r="I2738" t="s">
        <v>6047</v>
      </c>
      <c r="J2738">
        <v>10453</v>
      </c>
      <c r="K2738" t="s">
        <v>6074</v>
      </c>
      <c r="L2738" t="s">
        <v>6074</v>
      </c>
      <c r="N2738" t="s">
        <v>7279</v>
      </c>
      <c r="O2738" t="s">
        <v>7311</v>
      </c>
      <c r="Q2738" t="s">
        <v>7322</v>
      </c>
      <c r="R2738" t="s">
        <v>6074</v>
      </c>
      <c r="S2738" t="s">
        <v>7324</v>
      </c>
      <c r="U2738" t="s">
        <v>457</v>
      </c>
      <c r="V2738">
        <v>938.89</v>
      </c>
      <c r="W2738" t="s">
        <v>7363</v>
      </c>
      <c r="X2738" t="s">
        <v>7375</v>
      </c>
      <c r="Z2738" t="s">
        <v>9466</v>
      </c>
      <c r="AC2738">
        <v>170</v>
      </c>
      <c r="AD2738" t="s">
        <v>12422</v>
      </c>
      <c r="AE2738" t="s">
        <v>6110</v>
      </c>
      <c r="AF2738">
        <v>41</v>
      </c>
      <c r="AG2738">
        <v>4</v>
      </c>
      <c r="AH2738">
        <v>0</v>
      </c>
      <c r="AI2738">
        <v>232.23</v>
      </c>
      <c r="AL2738" t="s">
        <v>12461</v>
      </c>
      <c r="AM2738">
        <v>59800</v>
      </c>
      <c r="AS2738">
        <v>0</v>
      </c>
      <c r="AU2738" t="s">
        <v>13093</v>
      </c>
    </row>
    <row r="2739" spans="1:48">
      <c r="A2739" s="1">
        <f>HYPERLINK("https://cms.ls-nyc.org/matter/dynamic-profile/view/1894488","19-1894488")</f>
        <v>0</v>
      </c>
      <c r="B2739" t="s">
        <v>96</v>
      </c>
      <c r="C2739" t="s">
        <v>338</v>
      </c>
      <c r="E2739" t="s">
        <v>1861</v>
      </c>
      <c r="F2739" t="s">
        <v>1312</v>
      </c>
      <c r="G2739" t="s">
        <v>3792</v>
      </c>
      <c r="H2739" t="s">
        <v>5927</v>
      </c>
      <c r="I2739" t="s">
        <v>6047</v>
      </c>
      <c r="J2739">
        <v>10453</v>
      </c>
      <c r="K2739" t="s">
        <v>6074</v>
      </c>
      <c r="L2739" t="s">
        <v>6074</v>
      </c>
      <c r="M2739" t="s">
        <v>6259</v>
      </c>
      <c r="N2739" t="s">
        <v>7273</v>
      </c>
      <c r="O2739" t="s">
        <v>7308</v>
      </c>
      <c r="Q2739" t="s">
        <v>7322</v>
      </c>
      <c r="R2739" t="s">
        <v>6074</v>
      </c>
      <c r="S2739" t="s">
        <v>7324</v>
      </c>
      <c r="U2739" t="s">
        <v>457</v>
      </c>
      <c r="V2739">
        <v>938.89</v>
      </c>
      <c r="W2739" t="s">
        <v>7363</v>
      </c>
      <c r="X2739" t="s">
        <v>7375</v>
      </c>
      <c r="Z2739" t="s">
        <v>9466</v>
      </c>
      <c r="AC2739">
        <v>170</v>
      </c>
      <c r="AD2739" t="s">
        <v>12422</v>
      </c>
      <c r="AE2739" t="s">
        <v>6110</v>
      </c>
      <c r="AF2739">
        <v>41</v>
      </c>
      <c r="AG2739">
        <v>4</v>
      </c>
      <c r="AH2739">
        <v>0</v>
      </c>
      <c r="AI2739">
        <v>232.23</v>
      </c>
      <c r="AL2739" t="s">
        <v>12461</v>
      </c>
      <c r="AM2739">
        <v>59800</v>
      </c>
      <c r="AS2739">
        <v>0</v>
      </c>
      <c r="AU2739" t="s">
        <v>13093</v>
      </c>
    </row>
    <row r="2740" spans="1:48">
      <c r="A2740" s="1">
        <f>HYPERLINK("https://cms.ls-nyc.org/matter/dynamic-profile/view/1900478","19-1900478")</f>
        <v>0</v>
      </c>
      <c r="B2740" t="s">
        <v>128</v>
      </c>
      <c r="C2740" t="s">
        <v>241</v>
      </c>
      <c r="E2740" t="s">
        <v>1071</v>
      </c>
      <c r="F2740" t="s">
        <v>2721</v>
      </c>
      <c r="G2740" t="s">
        <v>5188</v>
      </c>
      <c r="H2740" t="s">
        <v>5470</v>
      </c>
      <c r="I2740" t="s">
        <v>6049</v>
      </c>
      <c r="J2740">
        <v>10040</v>
      </c>
      <c r="K2740" t="s">
        <v>6074</v>
      </c>
      <c r="L2740" t="s">
        <v>6075</v>
      </c>
      <c r="O2740" t="s">
        <v>7306</v>
      </c>
      <c r="Q2740" t="s">
        <v>7322</v>
      </c>
      <c r="R2740" t="s">
        <v>6076</v>
      </c>
      <c r="S2740" t="s">
        <v>7324</v>
      </c>
      <c r="U2740" t="s">
        <v>241</v>
      </c>
      <c r="V2740">
        <v>1491.4</v>
      </c>
      <c r="W2740" t="s">
        <v>7365</v>
      </c>
      <c r="Z2740" t="s">
        <v>9467</v>
      </c>
      <c r="AB2740" t="s">
        <v>12127</v>
      </c>
      <c r="AC2740">
        <v>80</v>
      </c>
      <c r="AD2740" t="s">
        <v>12422</v>
      </c>
      <c r="AE2740" t="s">
        <v>6110</v>
      </c>
      <c r="AF2740">
        <v>24</v>
      </c>
      <c r="AG2740">
        <v>3</v>
      </c>
      <c r="AH2740">
        <v>1</v>
      </c>
      <c r="AI2740">
        <v>232.25</v>
      </c>
      <c r="AL2740" t="s">
        <v>12461</v>
      </c>
      <c r="AM2740">
        <v>59804</v>
      </c>
      <c r="AS2740">
        <v>1.3</v>
      </c>
      <c r="AT2740" t="s">
        <v>501</v>
      </c>
      <c r="AU2740" t="s">
        <v>13106</v>
      </c>
      <c r="AV2740" t="s">
        <v>13145</v>
      </c>
    </row>
    <row r="2741" spans="1:48">
      <c r="A2741" s="1">
        <f>HYPERLINK("https://cms.ls-nyc.org/matter/dynamic-profile/view/1877335","18-1877335")</f>
        <v>0</v>
      </c>
      <c r="B2741" t="s">
        <v>128</v>
      </c>
      <c r="C2741" t="s">
        <v>409</v>
      </c>
      <c r="D2741" t="s">
        <v>344</v>
      </c>
      <c r="E2741" t="s">
        <v>1862</v>
      </c>
      <c r="F2741" t="s">
        <v>1514</v>
      </c>
      <c r="G2741" t="s">
        <v>5189</v>
      </c>
      <c r="H2741" t="s">
        <v>5928</v>
      </c>
      <c r="I2741" t="s">
        <v>6049</v>
      </c>
      <c r="J2741">
        <v>10034</v>
      </c>
      <c r="K2741" t="s">
        <v>6074</v>
      </c>
      <c r="L2741" t="s">
        <v>6074</v>
      </c>
      <c r="N2741" t="s">
        <v>7278</v>
      </c>
      <c r="O2741" t="s">
        <v>7307</v>
      </c>
      <c r="P2741" t="s">
        <v>7315</v>
      </c>
      <c r="Q2741" t="s">
        <v>7322</v>
      </c>
      <c r="R2741" t="s">
        <v>6076</v>
      </c>
      <c r="S2741" t="s">
        <v>7324</v>
      </c>
      <c r="U2741" t="s">
        <v>409</v>
      </c>
      <c r="V2741">
        <v>1332.21</v>
      </c>
      <c r="W2741" t="s">
        <v>7365</v>
      </c>
      <c r="X2741" t="s">
        <v>7367</v>
      </c>
      <c r="Y2741" t="s">
        <v>7387</v>
      </c>
      <c r="Z2741" t="s">
        <v>9468</v>
      </c>
      <c r="AC2741">
        <v>68</v>
      </c>
      <c r="AD2741" t="s">
        <v>12422</v>
      </c>
      <c r="AE2741" t="s">
        <v>6110</v>
      </c>
      <c r="AF2741">
        <v>0</v>
      </c>
      <c r="AG2741">
        <v>1</v>
      </c>
      <c r="AH2741">
        <v>0</v>
      </c>
      <c r="AI2741">
        <v>232.88</v>
      </c>
      <c r="AJ2741" t="s">
        <v>354</v>
      </c>
      <c r="AK2741" t="s">
        <v>12456</v>
      </c>
      <c r="AL2741" t="s">
        <v>12461</v>
      </c>
      <c r="AM2741">
        <v>28272</v>
      </c>
      <c r="AS2741">
        <v>1.7</v>
      </c>
      <c r="AT2741" t="s">
        <v>409</v>
      </c>
      <c r="AU2741" t="s">
        <v>13106</v>
      </c>
    </row>
    <row r="2742" spans="1:48">
      <c r="A2742" s="1">
        <f>HYPERLINK("https://cms.ls-nyc.org/matter/dynamic-profile/view/1883805","18-1883805")</f>
        <v>0</v>
      </c>
      <c r="B2742" t="s">
        <v>86</v>
      </c>
      <c r="C2742" t="s">
        <v>305</v>
      </c>
      <c r="D2742" t="s">
        <v>459</v>
      </c>
      <c r="E2742" t="s">
        <v>755</v>
      </c>
      <c r="F2742" t="s">
        <v>2265</v>
      </c>
      <c r="G2742" t="s">
        <v>5190</v>
      </c>
      <c r="H2742" t="s">
        <v>5511</v>
      </c>
      <c r="I2742" t="s">
        <v>6043</v>
      </c>
      <c r="J2742">
        <v>11212</v>
      </c>
      <c r="K2742" t="s">
        <v>6074</v>
      </c>
      <c r="L2742" t="s">
        <v>6074</v>
      </c>
      <c r="M2742" t="s">
        <v>7170</v>
      </c>
      <c r="N2742" t="s">
        <v>7276</v>
      </c>
      <c r="O2742" t="s">
        <v>7309</v>
      </c>
      <c r="P2742" t="s">
        <v>7321</v>
      </c>
      <c r="Q2742" t="s">
        <v>7322</v>
      </c>
      <c r="R2742" t="s">
        <v>6076</v>
      </c>
      <c r="S2742" t="s">
        <v>7327</v>
      </c>
      <c r="T2742" t="s">
        <v>7338</v>
      </c>
      <c r="U2742" t="s">
        <v>404</v>
      </c>
      <c r="V2742">
        <v>0</v>
      </c>
      <c r="W2742" t="s">
        <v>7362</v>
      </c>
      <c r="X2742" t="s">
        <v>7370</v>
      </c>
      <c r="Y2742" t="s">
        <v>7397</v>
      </c>
      <c r="Z2742" t="s">
        <v>9469</v>
      </c>
      <c r="AA2742" t="s">
        <v>6110</v>
      </c>
      <c r="AB2742" t="s">
        <v>12128</v>
      </c>
      <c r="AC2742">
        <v>72</v>
      </c>
      <c r="AD2742" t="s">
        <v>12422</v>
      </c>
      <c r="AE2742" t="s">
        <v>7305</v>
      </c>
      <c r="AF2742">
        <v>3</v>
      </c>
      <c r="AG2742">
        <v>1</v>
      </c>
      <c r="AH2742">
        <v>1</v>
      </c>
      <c r="AI2742">
        <v>233.07</v>
      </c>
      <c r="AL2742" t="s">
        <v>12460</v>
      </c>
      <c r="AM2742">
        <v>38364</v>
      </c>
      <c r="AN2742" t="s">
        <v>12732</v>
      </c>
      <c r="AS2742">
        <v>10.25</v>
      </c>
      <c r="AT2742" t="s">
        <v>459</v>
      </c>
      <c r="AU2742" t="s">
        <v>218</v>
      </c>
    </row>
    <row r="2743" spans="1:48">
      <c r="A2743" s="1">
        <f>HYPERLINK("https://cms.ls-nyc.org/matter/dynamic-profile/view/1873600","18-1873600")</f>
        <v>0</v>
      </c>
      <c r="B2743" t="s">
        <v>140</v>
      </c>
      <c r="C2743" t="s">
        <v>467</v>
      </c>
      <c r="E2743" t="s">
        <v>1753</v>
      </c>
      <c r="F2743" t="s">
        <v>3404</v>
      </c>
      <c r="G2743" t="s">
        <v>4495</v>
      </c>
      <c r="H2743">
        <v>402</v>
      </c>
      <c r="I2743" t="s">
        <v>6049</v>
      </c>
      <c r="J2743">
        <v>10029</v>
      </c>
      <c r="K2743" t="s">
        <v>6074</v>
      </c>
      <c r="L2743" t="s">
        <v>6074</v>
      </c>
      <c r="M2743" t="s">
        <v>7171</v>
      </c>
      <c r="N2743" t="s">
        <v>7276</v>
      </c>
      <c r="O2743" t="s">
        <v>7308</v>
      </c>
      <c r="Q2743" t="s">
        <v>7322</v>
      </c>
      <c r="R2743" t="s">
        <v>6076</v>
      </c>
      <c r="S2743" t="s">
        <v>7324</v>
      </c>
      <c r="U2743" t="s">
        <v>467</v>
      </c>
      <c r="V2743">
        <v>0</v>
      </c>
      <c r="W2743" t="s">
        <v>7365</v>
      </c>
      <c r="X2743" t="s">
        <v>7375</v>
      </c>
      <c r="Z2743" t="s">
        <v>9470</v>
      </c>
      <c r="AC2743">
        <v>108</v>
      </c>
      <c r="AD2743" t="s">
        <v>12420</v>
      </c>
      <c r="AE2743" t="s">
        <v>12434</v>
      </c>
      <c r="AF2743">
        <v>4</v>
      </c>
      <c r="AG2743">
        <v>1</v>
      </c>
      <c r="AH2743">
        <v>1</v>
      </c>
      <c r="AI2743">
        <v>233.29</v>
      </c>
      <c r="AJ2743" t="s">
        <v>354</v>
      </c>
      <c r="AK2743" t="s">
        <v>12456</v>
      </c>
      <c r="AL2743" t="s">
        <v>12460</v>
      </c>
      <c r="AM2743">
        <v>38400</v>
      </c>
      <c r="AS2743">
        <v>5.55</v>
      </c>
      <c r="AT2743" t="s">
        <v>265</v>
      </c>
      <c r="AU2743" t="s">
        <v>13107</v>
      </c>
    </row>
    <row r="2744" spans="1:48">
      <c r="A2744" s="1">
        <f>HYPERLINK("https://cms.ls-nyc.org/matter/dynamic-profile/view/1875383","18-1875383")</f>
        <v>0</v>
      </c>
      <c r="B2744" t="s">
        <v>171</v>
      </c>
      <c r="C2744" t="s">
        <v>406</v>
      </c>
      <c r="E2744" t="s">
        <v>1863</v>
      </c>
      <c r="F2744" t="s">
        <v>3262</v>
      </c>
      <c r="G2744" t="s">
        <v>4498</v>
      </c>
      <c r="H2744" t="s">
        <v>5359</v>
      </c>
      <c r="I2744" t="s">
        <v>6043</v>
      </c>
      <c r="J2744">
        <v>11233</v>
      </c>
      <c r="K2744" t="s">
        <v>6074</v>
      </c>
      <c r="L2744" t="s">
        <v>6074</v>
      </c>
      <c r="M2744" t="s">
        <v>7172</v>
      </c>
      <c r="N2744" t="s">
        <v>7274</v>
      </c>
      <c r="O2744" t="s">
        <v>7308</v>
      </c>
      <c r="Q2744" t="s">
        <v>7322</v>
      </c>
      <c r="R2744" t="s">
        <v>6074</v>
      </c>
      <c r="S2744" t="s">
        <v>7324</v>
      </c>
      <c r="T2744" t="s">
        <v>7336</v>
      </c>
      <c r="U2744" t="s">
        <v>252</v>
      </c>
      <c r="V2744">
        <v>1328</v>
      </c>
      <c r="W2744" t="s">
        <v>7362</v>
      </c>
      <c r="X2744" t="s">
        <v>7373</v>
      </c>
      <c r="Y2744" t="s">
        <v>7388</v>
      </c>
      <c r="Z2744" t="s">
        <v>9471</v>
      </c>
      <c r="AB2744" t="s">
        <v>12129</v>
      </c>
      <c r="AC2744">
        <v>6</v>
      </c>
      <c r="AD2744" t="s">
        <v>12422</v>
      </c>
      <c r="AE2744" t="s">
        <v>6110</v>
      </c>
      <c r="AF2744">
        <v>5</v>
      </c>
      <c r="AG2744">
        <v>1</v>
      </c>
      <c r="AH2744">
        <v>0</v>
      </c>
      <c r="AI2744">
        <v>234.3</v>
      </c>
      <c r="AL2744" t="s">
        <v>12460</v>
      </c>
      <c r="AM2744">
        <v>28444</v>
      </c>
      <c r="AS2744">
        <v>7.3</v>
      </c>
      <c r="AT2744" t="s">
        <v>346</v>
      </c>
      <c r="AU2744" t="s">
        <v>218</v>
      </c>
    </row>
    <row r="2745" spans="1:48">
      <c r="A2745" s="1">
        <f>HYPERLINK("https://cms.ls-nyc.org/matter/dynamic-profile/view/1900658","19-1900658")</f>
        <v>0</v>
      </c>
      <c r="B2745" t="s">
        <v>148</v>
      </c>
      <c r="C2745" t="s">
        <v>260</v>
      </c>
      <c r="E2745" t="s">
        <v>1816</v>
      </c>
      <c r="F2745" t="s">
        <v>3405</v>
      </c>
      <c r="G2745" t="s">
        <v>3871</v>
      </c>
      <c r="H2745" t="s">
        <v>5465</v>
      </c>
      <c r="I2745" t="s">
        <v>6043</v>
      </c>
      <c r="J2745">
        <v>11213</v>
      </c>
      <c r="K2745" t="s">
        <v>6074</v>
      </c>
      <c r="L2745" t="s">
        <v>6075</v>
      </c>
      <c r="M2745" t="s">
        <v>6462</v>
      </c>
      <c r="N2745" t="s">
        <v>7276</v>
      </c>
      <c r="O2745" t="s">
        <v>7308</v>
      </c>
      <c r="Q2745" t="s">
        <v>7322</v>
      </c>
      <c r="S2745" t="s">
        <v>7324</v>
      </c>
      <c r="T2745" t="s">
        <v>7336</v>
      </c>
      <c r="U2745" t="s">
        <v>505</v>
      </c>
      <c r="V2745">
        <v>693</v>
      </c>
      <c r="W2745" t="s">
        <v>7362</v>
      </c>
      <c r="X2745" t="s">
        <v>7381</v>
      </c>
      <c r="Z2745" t="s">
        <v>9472</v>
      </c>
      <c r="AB2745" t="s">
        <v>12130</v>
      </c>
      <c r="AC2745">
        <v>19</v>
      </c>
      <c r="AD2745" t="s">
        <v>12422</v>
      </c>
      <c r="AE2745" t="s">
        <v>6110</v>
      </c>
      <c r="AF2745">
        <v>20</v>
      </c>
      <c r="AG2745">
        <v>2</v>
      </c>
      <c r="AH2745">
        <v>1</v>
      </c>
      <c r="AI2745">
        <v>234.41</v>
      </c>
      <c r="AL2745" t="s">
        <v>12460</v>
      </c>
      <c r="AM2745">
        <v>50000</v>
      </c>
      <c r="AN2745" t="s">
        <v>12733</v>
      </c>
      <c r="AS2745">
        <v>2.3</v>
      </c>
      <c r="AT2745" t="s">
        <v>460</v>
      </c>
      <c r="AU2745" t="s">
        <v>218</v>
      </c>
      <c r="AV2745" t="s">
        <v>13145</v>
      </c>
    </row>
    <row r="2746" spans="1:48">
      <c r="A2746" s="1">
        <f>HYPERLINK("https://cms.ls-nyc.org/matter/dynamic-profile/view/1895319","19-1895319")</f>
        <v>0</v>
      </c>
      <c r="B2746" t="s">
        <v>148</v>
      </c>
      <c r="C2746" t="s">
        <v>247</v>
      </c>
      <c r="E2746" t="s">
        <v>1816</v>
      </c>
      <c r="F2746" t="s">
        <v>3405</v>
      </c>
      <c r="G2746" t="s">
        <v>3871</v>
      </c>
      <c r="H2746" t="s">
        <v>5465</v>
      </c>
      <c r="I2746" t="s">
        <v>6043</v>
      </c>
      <c r="J2746">
        <v>11213</v>
      </c>
      <c r="K2746" t="s">
        <v>6074</v>
      </c>
      <c r="L2746" t="s">
        <v>6074</v>
      </c>
      <c r="N2746" t="s">
        <v>7287</v>
      </c>
      <c r="O2746" t="s">
        <v>7312</v>
      </c>
      <c r="Q2746" t="s">
        <v>7322</v>
      </c>
      <c r="R2746" t="s">
        <v>6074</v>
      </c>
      <c r="S2746" t="s">
        <v>7329</v>
      </c>
      <c r="U2746" t="s">
        <v>247</v>
      </c>
      <c r="V2746">
        <v>693</v>
      </c>
      <c r="W2746" t="s">
        <v>7362</v>
      </c>
      <c r="X2746" t="s">
        <v>7381</v>
      </c>
      <c r="Z2746" t="s">
        <v>9472</v>
      </c>
      <c r="AB2746" t="s">
        <v>12130</v>
      </c>
      <c r="AC2746">
        <v>19</v>
      </c>
      <c r="AD2746" t="s">
        <v>12422</v>
      </c>
      <c r="AE2746" t="s">
        <v>6110</v>
      </c>
      <c r="AF2746">
        <v>20</v>
      </c>
      <c r="AG2746">
        <v>2</v>
      </c>
      <c r="AH2746">
        <v>1</v>
      </c>
      <c r="AI2746">
        <v>234.41</v>
      </c>
      <c r="AL2746" t="s">
        <v>12460</v>
      </c>
      <c r="AM2746">
        <v>50000</v>
      </c>
      <c r="AS2746">
        <v>1.8</v>
      </c>
      <c r="AT2746" t="s">
        <v>501</v>
      </c>
      <c r="AU2746" t="s">
        <v>180</v>
      </c>
    </row>
    <row r="2747" spans="1:48">
      <c r="A2747" s="1">
        <f>HYPERLINK("https://cms.ls-nyc.org/matter/dynamic-profile/view/1898207","19-1898207")</f>
        <v>0</v>
      </c>
      <c r="B2747" t="s">
        <v>223</v>
      </c>
      <c r="C2747" t="s">
        <v>343</v>
      </c>
      <c r="E2747" t="s">
        <v>1864</v>
      </c>
      <c r="F2747" t="s">
        <v>3406</v>
      </c>
      <c r="G2747" t="s">
        <v>5191</v>
      </c>
      <c r="H2747" t="s">
        <v>5418</v>
      </c>
      <c r="I2747" t="s">
        <v>6043</v>
      </c>
      <c r="J2747">
        <v>11207</v>
      </c>
      <c r="K2747" t="s">
        <v>6074</v>
      </c>
      <c r="L2747" t="s">
        <v>6075</v>
      </c>
      <c r="N2747" t="s">
        <v>6104</v>
      </c>
      <c r="O2747" t="s">
        <v>7306</v>
      </c>
      <c r="Q2747" t="s">
        <v>7322</v>
      </c>
      <c r="S2747" t="s">
        <v>7334</v>
      </c>
      <c r="U2747" t="s">
        <v>260</v>
      </c>
      <c r="V2747">
        <v>1475</v>
      </c>
      <c r="W2747" t="s">
        <v>7362</v>
      </c>
      <c r="Z2747" t="s">
        <v>9473</v>
      </c>
      <c r="AC2747">
        <v>0</v>
      </c>
      <c r="AD2747" t="s">
        <v>12422</v>
      </c>
      <c r="AF2747">
        <v>0</v>
      </c>
      <c r="AG2747">
        <v>1</v>
      </c>
      <c r="AH2747">
        <v>2</v>
      </c>
      <c r="AI2747">
        <v>234.41</v>
      </c>
      <c r="AL2747" t="s">
        <v>12460</v>
      </c>
      <c r="AM2747">
        <v>50000</v>
      </c>
      <c r="AS2747">
        <v>1.5</v>
      </c>
      <c r="AT2747" t="s">
        <v>260</v>
      </c>
      <c r="AU2747" t="s">
        <v>13091</v>
      </c>
      <c r="AV2747" t="s">
        <v>13145</v>
      </c>
    </row>
    <row r="2748" spans="1:48">
      <c r="A2748" s="1">
        <f>HYPERLINK("https://cms.ls-nyc.org/matter/dynamic-profile/view/1893833","19-1893833")</f>
        <v>0</v>
      </c>
      <c r="B2748" t="s">
        <v>105</v>
      </c>
      <c r="C2748" t="s">
        <v>275</v>
      </c>
      <c r="D2748" t="s">
        <v>247</v>
      </c>
      <c r="E2748" t="s">
        <v>1865</v>
      </c>
      <c r="F2748" t="s">
        <v>3407</v>
      </c>
      <c r="G2748" t="s">
        <v>4571</v>
      </c>
      <c r="H2748">
        <v>19</v>
      </c>
      <c r="I2748" t="s">
        <v>6047</v>
      </c>
      <c r="J2748">
        <v>10454</v>
      </c>
      <c r="K2748" t="s">
        <v>6074</v>
      </c>
      <c r="L2748" t="s">
        <v>6074</v>
      </c>
      <c r="O2748" t="s">
        <v>7306</v>
      </c>
      <c r="P2748" t="s">
        <v>7314</v>
      </c>
      <c r="Q2748" t="s">
        <v>7322</v>
      </c>
      <c r="R2748" t="s">
        <v>6076</v>
      </c>
      <c r="S2748" t="s">
        <v>7324</v>
      </c>
      <c r="U2748" t="s">
        <v>275</v>
      </c>
      <c r="V2748">
        <v>1700</v>
      </c>
      <c r="W2748" t="s">
        <v>7363</v>
      </c>
      <c r="X2748" t="s">
        <v>7376</v>
      </c>
      <c r="Y2748" t="s">
        <v>7386</v>
      </c>
      <c r="Z2748" t="s">
        <v>9474</v>
      </c>
      <c r="AB2748" t="s">
        <v>12131</v>
      </c>
      <c r="AC2748">
        <v>0</v>
      </c>
      <c r="AD2748" t="s">
        <v>12422</v>
      </c>
      <c r="AE2748" t="s">
        <v>6110</v>
      </c>
      <c r="AF2748">
        <v>1</v>
      </c>
      <c r="AG2748">
        <v>3</v>
      </c>
      <c r="AH2748">
        <v>0</v>
      </c>
      <c r="AI2748">
        <v>234.41</v>
      </c>
      <c r="AL2748" t="s">
        <v>12461</v>
      </c>
      <c r="AM2748">
        <v>50000</v>
      </c>
      <c r="AS2748">
        <v>0.5</v>
      </c>
      <c r="AT2748" t="s">
        <v>275</v>
      </c>
      <c r="AU2748" t="s">
        <v>105</v>
      </c>
    </row>
    <row r="2749" spans="1:48">
      <c r="A2749" s="1">
        <f>HYPERLINK("https://cms.ls-nyc.org/matter/dynamic-profile/view/1877223","18-1877223")</f>
        <v>0</v>
      </c>
      <c r="B2749" t="s">
        <v>153</v>
      </c>
      <c r="C2749" t="s">
        <v>273</v>
      </c>
      <c r="D2749" t="s">
        <v>239</v>
      </c>
      <c r="E2749" t="s">
        <v>667</v>
      </c>
      <c r="F2749" t="s">
        <v>3252</v>
      </c>
      <c r="G2749" t="s">
        <v>5192</v>
      </c>
      <c r="H2749" t="s">
        <v>5395</v>
      </c>
      <c r="I2749" t="s">
        <v>6043</v>
      </c>
      <c r="J2749">
        <v>11212</v>
      </c>
      <c r="K2749" t="s">
        <v>6074</v>
      </c>
      <c r="L2749" t="s">
        <v>6074</v>
      </c>
      <c r="M2749" t="s">
        <v>7173</v>
      </c>
      <c r="N2749" t="s">
        <v>7274</v>
      </c>
      <c r="O2749" t="s">
        <v>7307</v>
      </c>
      <c r="P2749" t="s">
        <v>7315</v>
      </c>
      <c r="Q2749" t="s">
        <v>7322</v>
      </c>
      <c r="R2749" t="s">
        <v>6076</v>
      </c>
      <c r="S2749" t="s">
        <v>7324</v>
      </c>
      <c r="T2749" t="s">
        <v>7336</v>
      </c>
      <c r="U2749" t="s">
        <v>273</v>
      </c>
      <c r="V2749">
        <v>840</v>
      </c>
      <c r="W2749" t="s">
        <v>7362</v>
      </c>
      <c r="X2749" t="s">
        <v>7367</v>
      </c>
      <c r="Y2749" t="s">
        <v>7386</v>
      </c>
      <c r="Z2749" t="s">
        <v>9475</v>
      </c>
      <c r="AB2749" t="s">
        <v>12132</v>
      </c>
      <c r="AC2749">
        <v>71</v>
      </c>
      <c r="AD2749" t="s">
        <v>12422</v>
      </c>
      <c r="AE2749" t="s">
        <v>6110</v>
      </c>
      <c r="AF2749">
        <v>3</v>
      </c>
      <c r="AG2749">
        <v>1</v>
      </c>
      <c r="AH2749">
        <v>0</v>
      </c>
      <c r="AI2749">
        <v>235.58</v>
      </c>
      <c r="AJ2749" t="s">
        <v>411</v>
      </c>
      <c r="AK2749" t="s">
        <v>12456</v>
      </c>
      <c r="AL2749" t="s">
        <v>12460</v>
      </c>
      <c r="AM2749">
        <v>28600</v>
      </c>
      <c r="AS2749">
        <v>1.8</v>
      </c>
      <c r="AT2749" t="s">
        <v>239</v>
      </c>
      <c r="AU2749" t="s">
        <v>218</v>
      </c>
    </row>
    <row r="2750" spans="1:48">
      <c r="A2750" s="1">
        <f>HYPERLINK("https://cms.ls-nyc.org/matter/dynamic-profile/view/1885272","18-1885272")</f>
        <v>0</v>
      </c>
      <c r="B2750" t="s">
        <v>126</v>
      </c>
      <c r="C2750" t="s">
        <v>341</v>
      </c>
      <c r="E2750" t="s">
        <v>1866</v>
      </c>
      <c r="F2750" t="s">
        <v>3404</v>
      </c>
      <c r="G2750" t="s">
        <v>4323</v>
      </c>
      <c r="H2750">
        <v>62</v>
      </c>
      <c r="I2750" t="s">
        <v>6049</v>
      </c>
      <c r="J2750">
        <v>10039</v>
      </c>
      <c r="K2750" t="s">
        <v>6074</v>
      </c>
      <c r="L2750" t="s">
        <v>6074</v>
      </c>
      <c r="M2750" t="s">
        <v>6569</v>
      </c>
      <c r="N2750" t="s">
        <v>7273</v>
      </c>
      <c r="O2750" t="s">
        <v>7308</v>
      </c>
      <c r="Q2750" t="s">
        <v>7322</v>
      </c>
      <c r="R2750" t="s">
        <v>6074</v>
      </c>
      <c r="S2750" t="s">
        <v>7324</v>
      </c>
      <c r="T2750" t="s">
        <v>7336</v>
      </c>
      <c r="U2750" t="s">
        <v>341</v>
      </c>
      <c r="V2750">
        <v>235</v>
      </c>
      <c r="W2750" t="s">
        <v>7365</v>
      </c>
      <c r="X2750" t="s">
        <v>7375</v>
      </c>
      <c r="Z2750" t="s">
        <v>9476</v>
      </c>
      <c r="AB2750" t="s">
        <v>12133</v>
      </c>
      <c r="AC2750">
        <v>24</v>
      </c>
      <c r="AD2750" t="s">
        <v>12425</v>
      </c>
      <c r="AE2750" t="s">
        <v>6110</v>
      </c>
      <c r="AF2750">
        <v>49</v>
      </c>
      <c r="AG2750">
        <v>1</v>
      </c>
      <c r="AH2750">
        <v>0</v>
      </c>
      <c r="AI2750">
        <v>235.58</v>
      </c>
      <c r="AL2750" t="s">
        <v>12460</v>
      </c>
      <c r="AM2750">
        <v>28600</v>
      </c>
      <c r="AS2750">
        <v>0</v>
      </c>
      <c r="AU2750" t="s">
        <v>13107</v>
      </c>
    </row>
    <row r="2751" spans="1:48">
      <c r="A2751" s="1">
        <f>HYPERLINK("https://cms.ls-nyc.org/matter/dynamic-profile/view/1873364","18-1873364")</f>
        <v>0</v>
      </c>
      <c r="B2751" t="s">
        <v>77</v>
      </c>
      <c r="C2751" t="s">
        <v>232</v>
      </c>
      <c r="E2751" t="s">
        <v>1867</v>
      </c>
      <c r="F2751" t="s">
        <v>2099</v>
      </c>
      <c r="G2751" t="s">
        <v>5193</v>
      </c>
      <c r="H2751" t="s">
        <v>5929</v>
      </c>
      <c r="I2751" t="s">
        <v>6043</v>
      </c>
      <c r="J2751">
        <v>11208</v>
      </c>
      <c r="K2751" t="s">
        <v>6074</v>
      </c>
      <c r="L2751" t="s">
        <v>6074</v>
      </c>
      <c r="M2751" t="s">
        <v>7174</v>
      </c>
      <c r="N2751" t="s">
        <v>7276</v>
      </c>
      <c r="O2751" t="s">
        <v>7308</v>
      </c>
      <c r="Q2751" t="s">
        <v>7322</v>
      </c>
      <c r="R2751" t="s">
        <v>6076</v>
      </c>
      <c r="S2751" t="s">
        <v>7324</v>
      </c>
      <c r="U2751" t="s">
        <v>232</v>
      </c>
      <c r="V2751">
        <v>1600</v>
      </c>
      <c r="W2751" t="s">
        <v>7362</v>
      </c>
      <c r="X2751" t="s">
        <v>7305</v>
      </c>
      <c r="Z2751" t="s">
        <v>9477</v>
      </c>
      <c r="AB2751" t="s">
        <v>12134</v>
      </c>
      <c r="AC2751">
        <v>7</v>
      </c>
      <c r="AD2751" t="s">
        <v>12422</v>
      </c>
      <c r="AE2751" t="s">
        <v>12434</v>
      </c>
      <c r="AF2751">
        <v>15</v>
      </c>
      <c r="AG2751">
        <v>2</v>
      </c>
      <c r="AH2751">
        <v>1</v>
      </c>
      <c r="AI2751">
        <v>235.8</v>
      </c>
      <c r="AJ2751" t="s">
        <v>329</v>
      </c>
      <c r="AK2751" t="s">
        <v>12456</v>
      </c>
      <c r="AL2751" t="s">
        <v>12460</v>
      </c>
      <c r="AM2751">
        <v>49000</v>
      </c>
      <c r="AS2751">
        <v>51.15</v>
      </c>
      <c r="AT2751" t="s">
        <v>496</v>
      </c>
      <c r="AU2751" t="s">
        <v>13090</v>
      </c>
    </row>
    <row r="2752" spans="1:48">
      <c r="A2752" s="1">
        <f>HYPERLINK("https://cms.ls-nyc.org/matter/dynamic-profile/view/1887628","19-1887628")</f>
        <v>0</v>
      </c>
      <c r="B2752" t="s">
        <v>78</v>
      </c>
      <c r="C2752" t="s">
        <v>492</v>
      </c>
      <c r="D2752" t="s">
        <v>492</v>
      </c>
      <c r="E2752" t="s">
        <v>1868</v>
      </c>
      <c r="F2752" t="s">
        <v>3408</v>
      </c>
      <c r="G2752" t="s">
        <v>5194</v>
      </c>
      <c r="I2752" t="s">
        <v>6043</v>
      </c>
      <c r="J2752">
        <v>11225</v>
      </c>
      <c r="K2752" t="s">
        <v>6074</v>
      </c>
      <c r="L2752" t="s">
        <v>6074</v>
      </c>
      <c r="N2752" t="s">
        <v>7274</v>
      </c>
      <c r="O2752" t="s">
        <v>7307</v>
      </c>
      <c r="P2752" t="s">
        <v>7315</v>
      </c>
      <c r="Q2752" t="s">
        <v>7322</v>
      </c>
      <c r="R2752" t="s">
        <v>6076</v>
      </c>
      <c r="S2752" t="s">
        <v>7324</v>
      </c>
      <c r="T2752" t="s">
        <v>7336</v>
      </c>
      <c r="U2752" t="s">
        <v>492</v>
      </c>
      <c r="V2752">
        <v>800</v>
      </c>
      <c r="W2752" t="s">
        <v>7362</v>
      </c>
      <c r="X2752" t="s">
        <v>7376</v>
      </c>
      <c r="Y2752" t="s">
        <v>7395</v>
      </c>
      <c r="Z2752" t="s">
        <v>8244</v>
      </c>
      <c r="AB2752" t="s">
        <v>12135</v>
      </c>
      <c r="AC2752">
        <v>2</v>
      </c>
      <c r="AD2752" t="s">
        <v>12419</v>
      </c>
      <c r="AF2752">
        <v>30</v>
      </c>
      <c r="AG2752">
        <v>4</v>
      </c>
      <c r="AH2752">
        <v>0</v>
      </c>
      <c r="AI2752">
        <v>235.86</v>
      </c>
      <c r="AL2752" t="s">
        <v>12460</v>
      </c>
      <c r="AM2752">
        <v>59200</v>
      </c>
      <c r="AS2752">
        <v>0.2</v>
      </c>
      <c r="AT2752" t="s">
        <v>492</v>
      </c>
      <c r="AU2752" t="s">
        <v>78</v>
      </c>
    </row>
    <row r="2753" spans="1:48">
      <c r="A2753" s="1">
        <f>HYPERLINK("https://cms.ls-nyc.org/matter/dynamic-profile/view/1876998","18-1876998")</f>
        <v>0</v>
      </c>
      <c r="B2753" t="s">
        <v>81</v>
      </c>
      <c r="C2753" t="s">
        <v>290</v>
      </c>
      <c r="E2753" t="s">
        <v>1869</v>
      </c>
      <c r="F2753" t="s">
        <v>2134</v>
      </c>
      <c r="G2753" t="s">
        <v>5195</v>
      </c>
      <c r="H2753" t="s">
        <v>5625</v>
      </c>
      <c r="I2753" t="s">
        <v>6043</v>
      </c>
      <c r="J2753">
        <v>11226</v>
      </c>
      <c r="K2753" t="s">
        <v>6074</v>
      </c>
      <c r="L2753" t="s">
        <v>6074</v>
      </c>
      <c r="M2753" t="s">
        <v>7175</v>
      </c>
      <c r="N2753" t="s">
        <v>7276</v>
      </c>
      <c r="O2753" t="s">
        <v>7308</v>
      </c>
      <c r="Q2753" t="s">
        <v>7322</v>
      </c>
      <c r="S2753" t="s">
        <v>7324</v>
      </c>
      <c r="U2753" t="s">
        <v>442</v>
      </c>
      <c r="V2753">
        <v>0</v>
      </c>
      <c r="W2753" t="s">
        <v>7362</v>
      </c>
      <c r="Z2753" t="s">
        <v>9478</v>
      </c>
      <c r="AB2753" t="s">
        <v>12136</v>
      </c>
      <c r="AC2753">
        <v>61</v>
      </c>
      <c r="AF2753">
        <v>0</v>
      </c>
      <c r="AG2753">
        <v>1</v>
      </c>
      <c r="AH2753">
        <v>0</v>
      </c>
      <c r="AI2753">
        <v>235.95</v>
      </c>
      <c r="AJ2753" t="s">
        <v>492</v>
      </c>
      <c r="AK2753" t="s">
        <v>12456</v>
      </c>
      <c r="AL2753" t="s">
        <v>12460</v>
      </c>
      <c r="AM2753">
        <v>28644</v>
      </c>
      <c r="AS2753">
        <v>64.75</v>
      </c>
      <c r="AT2753" t="s">
        <v>456</v>
      </c>
      <c r="AU2753" t="s">
        <v>69</v>
      </c>
    </row>
    <row r="2754" spans="1:48">
      <c r="A2754" s="1">
        <f>HYPERLINK("https://cms.ls-nyc.org/matter/dynamic-profile/view/1897522","19-1897522")</f>
        <v>0</v>
      </c>
      <c r="B2754" t="s">
        <v>72</v>
      </c>
      <c r="C2754" t="s">
        <v>280</v>
      </c>
      <c r="E2754" t="s">
        <v>916</v>
      </c>
      <c r="F2754" t="s">
        <v>720</v>
      </c>
      <c r="G2754" t="s">
        <v>3701</v>
      </c>
      <c r="H2754" t="s">
        <v>5930</v>
      </c>
      <c r="I2754" t="s">
        <v>6043</v>
      </c>
      <c r="J2754">
        <v>11233</v>
      </c>
      <c r="K2754" t="s">
        <v>6074</v>
      </c>
      <c r="L2754" t="s">
        <v>6076</v>
      </c>
      <c r="N2754" t="s">
        <v>7279</v>
      </c>
      <c r="O2754" t="s">
        <v>7311</v>
      </c>
      <c r="Q2754" t="s">
        <v>7322</v>
      </c>
      <c r="R2754" t="s">
        <v>6074</v>
      </c>
      <c r="S2754" t="s">
        <v>7324</v>
      </c>
      <c r="T2754" t="s">
        <v>7336</v>
      </c>
      <c r="U2754" t="s">
        <v>330</v>
      </c>
      <c r="V2754">
        <v>1225.26</v>
      </c>
      <c r="W2754" t="s">
        <v>7362</v>
      </c>
      <c r="X2754" t="s">
        <v>7372</v>
      </c>
      <c r="Z2754" t="s">
        <v>9479</v>
      </c>
      <c r="AC2754">
        <v>359</v>
      </c>
      <c r="AD2754" t="s">
        <v>12422</v>
      </c>
      <c r="AF2754">
        <v>0</v>
      </c>
      <c r="AG2754">
        <v>1</v>
      </c>
      <c r="AH2754">
        <v>0</v>
      </c>
      <c r="AI2754">
        <v>236.19</v>
      </c>
      <c r="AL2754" t="s">
        <v>12460</v>
      </c>
      <c r="AM2754">
        <v>29500</v>
      </c>
      <c r="AN2754" t="s">
        <v>12490</v>
      </c>
      <c r="AS2754">
        <v>0</v>
      </c>
      <c r="AU2754" t="s">
        <v>218</v>
      </c>
    </row>
    <row r="2755" spans="1:48">
      <c r="A2755" s="1">
        <f>HYPERLINK("https://cms.ls-nyc.org/matter/dynamic-profile/view/1897526","19-1897526")</f>
        <v>0</v>
      </c>
      <c r="B2755" t="s">
        <v>72</v>
      </c>
      <c r="C2755" t="s">
        <v>280</v>
      </c>
      <c r="E2755" t="s">
        <v>916</v>
      </c>
      <c r="F2755" t="s">
        <v>720</v>
      </c>
      <c r="G2755" t="s">
        <v>3701</v>
      </c>
      <c r="H2755" t="s">
        <v>5930</v>
      </c>
      <c r="I2755" t="s">
        <v>6043</v>
      </c>
      <c r="J2755">
        <v>11233</v>
      </c>
      <c r="K2755" t="s">
        <v>6074</v>
      </c>
      <c r="L2755" t="s">
        <v>6076</v>
      </c>
      <c r="N2755" t="s">
        <v>7275</v>
      </c>
      <c r="O2755" t="s">
        <v>7307</v>
      </c>
      <c r="Q2755" t="s">
        <v>7322</v>
      </c>
      <c r="R2755" t="s">
        <v>6074</v>
      </c>
      <c r="S2755" t="s">
        <v>7324</v>
      </c>
      <c r="T2755" t="s">
        <v>7336</v>
      </c>
      <c r="U2755" t="s">
        <v>287</v>
      </c>
      <c r="V2755">
        <v>1225.26</v>
      </c>
      <c r="W2755" t="s">
        <v>7362</v>
      </c>
      <c r="X2755" t="s">
        <v>7372</v>
      </c>
      <c r="Z2755" t="s">
        <v>9479</v>
      </c>
      <c r="AC2755">
        <v>359</v>
      </c>
      <c r="AD2755" t="s">
        <v>12422</v>
      </c>
      <c r="AF2755">
        <v>0</v>
      </c>
      <c r="AG2755">
        <v>1</v>
      </c>
      <c r="AH2755">
        <v>0</v>
      </c>
      <c r="AI2755">
        <v>236.19</v>
      </c>
      <c r="AL2755" t="s">
        <v>12460</v>
      </c>
      <c r="AM2755">
        <v>29500</v>
      </c>
      <c r="AN2755" t="s">
        <v>12734</v>
      </c>
      <c r="AS2755">
        <v>0</v>
      </c>
      <c r="AU2755" t="s">
        <v>218</v>
      </c>
    </row>
    <row r="2756" spans="1:48">
      <c r="A2756" s="1">
        <f>HYPERLINK("https://cms.ls-nyc.org/matter/dynamic-profile/view/1897399","19-1897399")</f>
        <v>0</v>
      </c>
      <c r="B2756" t="s">
        <v>72</v>
      </c>
      <c r="C2756" t="s">
        <v>347</v>
      </c>
      <c r="E2756" t="s">
        <v>1870</v>
      </c>
      <c r="F2756" t="s">
        <v>3409</v>
      </c>
      <c r="G2756" t="s">
        <v>3700</v>
      </c>
      <c r="H2756" t="s">
        <v>5931</v>
      </c>
      <c r="I2756" t="s">
        <v>6043</v>
      </c>
      <c r="J2756">
        <v>11233</v>
      </c>
      <c r="K2756" t="s">
        <v>6074</v>
      </c>
      <c r="L2756" t="s">
        <v>6076</v>
      </c>
      <c r="N2756" t="s">
        <v>7279</v>
      </c>
      <c r="O2756" t="s">
        <v>7311</v>
      </c>
      <c r="Q2756" t="s">
        <v>7322</v>
      </c>
      <c r="R2756" t="s">
        <v>6074</v>
      </c>
      <c r="S2756" t="s">
        <v>7324</v>
      </c>
      <c r="T2756" t="s">
        <v>7336</v>
      </c>
      <c r="U2756" t="s">
        <v>330</v>
      </c>
      <c r="V2756">
        <v>924.1799999999999</v>
      </c>
      <c r="W2756" t="s">
        <v>7362</v>
      </c>
      <c r="X2756" t="s">
        <v>7372</v>
      </c>
      <c r="Z2756" t="s">
        <v>8126</v>
      </c>
      <c r="AC2756">
        <v>359</v>
      </c>
      <c r="AD2756" t="s">
        <v>12422</v>
      </c>
      <c r="AF2756">
        <v>3</v>
      </c>
      <c r="AG2756">
        <v>2</v>
      </c>
      <c r="AH2756">
        <v>0</v>
      </c>
      <c r="AI2756">
        <v>236.55</v>
      </c>
      <c r="AL2756" t="s">
        <v>12460</v>
      </c>
      <c r="AM2756">
        <v>40000</v>
      </c>
      <c r="AN2756" t="s">
        <v>12735</v>
      </c>
      <c r="AS2756">
        <v>0</v>
      </c>
      <c r="AU2756" t="s">
        <v>218</v>
      </c>
    </row>
    <row r="2757" spans="1:48">
      <c r="A2757" s="1">
        <f>HYPERLINK("https://cms.ls-nyc.org/matter/dynamic-profile/view/1898976","19-1898976")</f>
        <v>0</v>
      </c>
      <c r="B2757" t="s">
        <v>72</v>
      </c>
      <c r="C2757" t="s">
        <v>276</v>
      </c>
      <c r="E2757" t="s">
        <v>825</v>
      </c>
      <c r="F2757" t="s">
        <v>3410</v>
      </c>
      <c r="G2757" t="s">
        <v>3702</v>
      </c>
      <c r="H2757" t="s">
        <v>5932</v>
      </c>
      <c r="I2757" t="s">
        <v>6043</v>
      </c>
      <c r="J2757">
        <v>11233</v>
      </c>
      <c r="K2757" t="s">
        <v>6074</v>
      </c>
      <c r="L2757" t="s">
        <v>6075</v>
      </c>
      <c r="N2757" t="s">
        <v>7279</v>
      </c>
      <c r="O2757" t="s">
        <v>7311</v>
      </c>
      <c r="Q2757" t="s">
        <v>7322</v>
      </c>
      <c r="R2757" t="s">
        <v>6074</v>
      </c>
      <c r="S2757" t="s">
        <v>7324</v>
      </c>
      <c r="T2757" t="s">
        <v>7336</v>
      </c>
      <c r="U2757" t="s">
        <v>330</v>
      </c>
      <c r="V2757">
        <v>1400</v>
      </c>
      <c r="W2757" t="s">
        <v>7362</v>
      </c>
      <c r="X2757" t="s">
        <v>7305</v>
      </c>
      <c r="Z2757" t="s">
        <v>9480</v>
      </c>
      <c r="AC2757">
        <v>359</v>
      </c>
      <c r="AD2757" t="s">
        <v>12422</v>
      </c>
      <c r="AF2757">
        <v>0</v>
      </c>
      <c r="AG2757">
        <v>2</v>
      </c>
      <c r="AH2757">
        <v>0</v>
      </c>
      <c r="AI2757">
        <v>236.55</v>
      </c>
      <c r="AL2757" t="s">
        <v>12460</v>
      </c>
      <c r="AM2757">
        <v>40000</v>
      </c>
      <c r="AN2757" t="s">
        <v>12649</v>
      </c>
      <c r="AS2757">
        <v>0</v>
      </c>
      <c r="AU2757" t="s">
        <v>180</v>
      </c>
      <c r="AV2757" t="s">
        <v>6110</v>
      </c>
    </row>
    <row r="2758" spans="1:48">
      <c r="A2758" s="1">
        <f>HYPERLINK("https://cms.ls-nyc.org/matter/dynamic-profile/view/1897400","19-1897400")</f>
        <v>0</v>
      </c>
      <c r="B2758" t="s">
        <v>72</v>
      </c>
      <c r="C2758" t="s">
        <v>347</v>
      </c>
      <c r="E2758" t="s">
        <v>1870</v>
      </c>
      <c r="F2758" t="s">
        <v>3409</v>
      </c>
      <c r="G2758" t="s">
        <v>3700</v>
      </c>
      <c r="H2758" t="s">
        <v>5931</v>
      </c>
      <c r="I2758" t="s">
        <v>6043</v>
      </c>
      <c r="J2758">
        <v>11233</v>
      </c>
      <c r="K2758" t="s">
        <v>6074</v>
      </c>
      <c r="L2758" t="s">
        <v>6076</v>
      </c>
      <c r="N2758" t="s">
        <v>7275</v>
      </c>
      <c r="O2758" t="s">
        <v>7307</v>
      </c>
      <c r="Q2758" t="s">
        <v>7322</v>
      </c>
      <c r="R2758" t="s">
        <v>6074</v>
      </c>
      <c r="S2758" t="s">
        <v>7324</v>
      </c>
      <c r="T2758" t="s">
        <v>7336</v>
      </c>
      <c r="U2758" t="s">
        <v>287</v>
      </c>
      <c r="V2758">
        <v>924.1799999999999</v>
      </c>
      <c r="W2758" t="s">
        <v>7362</v>
      </c>
      <c r="X2758" t="s">
        <v>7372</v>
      </c>
      <c r="Z2758" t="s">
        <v>8126</v>
      </c>
      <c r="AC2758">
        <v>359</v>
      </c>
      <c r="AD2758" t="s">
        <v>12422</v>
      </c>
      <c r="AF2758">
        <v>3</v>
      </c>
      <c r="AG2758">
        <v>2</v>
      </c>
      <c r="AH2758">
        <v>0</v>
      </c>
      <c r="AI2758">
        <v>236.55</v>
      </c>
      <c r="AL2758" t="s">
        <v>12460</v>
      </c>
      <c r="AM2758">
        <v>40000</v>
      </c>
      <c r="AN2758" t="s">
        <v>12490</v>
      </c>
      <c r="AS2758">
        <v>0</v>
      </c>
      <c r="AU2758" t="s">
        <v>218</v>
      </c>
    </row>
    <row r="2759" spans="1:48">
      <c r="A2759" s="1">
        <f>HYPERLINK("https://cms.ls-nyc.org/matter/dynamic-profile/view/1898979","19-1898979")</f>
        <v>0</v>
      </c>
      <c r="B2759" t="s">
        <v>72</v>
      </c>
      <c r="C2759" t="s">
        <v>276</v>
      </c>
      <c r="E2759" t="s">
        <v>825</v>
      </c>
      <c r="F2759" t="s">
        <v>3410</v>
      </c>
      <c r="G2759" t="s">
        <v>3702</v>
      </c>
      <c r="H2759" t="s">
        <v>5932</v>
      </c>
      <c r="I2759" t="s">
        <v>6043</v>
      </c>
      <c r="J2759">
        <v>11233</v>
      </c>
      <c r="K2759" t="s">
        <v>6074</v>
      </c>
      <c r="L2759" t="s">
        <v>6075</v>
      </c>
      <c r="N2759" t="s">
        <v>7275</v>
      </c>
      <c r="O2759" t="s">
        <v>7307</v>
      </c>
      <c r="Q2759" t="s">
        <v>7322</v>
      </c>
      <c r="R2759" t="s">
        <v>6074</v>
      </c>
      <c r="S2759" t="s">
        <v>7324</v>
      </c>
      <c r="T2759" t="s">
        <v>7336</v>
      </c>
      <c r="U2759" t="s">
        <v>287</v>
      </c>
      <c r="V2759">
        <v>1400</v>
      </c>
      <c r="W2759" t="s">
        <v>7362</v>
      </c>
      <c r="X2759" t="s">
        <v>7305</v>
      </c>
      <c r="Z2759" t="s">
        <v>9480</v>
      </c>
      <c r="AC2759">
        <v>359</v>
      </c>
      <c r="AD2759" t="s">
        <v>12422</v>
      </c>
      <c r="AF2759">
        <v>0</v>
      </c>
      <c r="AG2759">
        <v>2</v>
      </c>
      <c r="AH2759">
        <v>0</v>
      </c>
      <c r="AI2759">
        <v>236.55</v>
      </c>
      <c r="AL2759" t="s">
        <v>12460</v>
      </c>
      <c r="AM2759">
        <v>40000</v>
      </c>
      <c r="AN2759" t="s">
        <v>12736</v>
      </c>
      <c r="AS2759">
        <v>0</v>
      </c>
      <c r="AU2759" t="s">
        <v>180</v>
      </c>
      <c r="AV2759" t="s">
        <v>6110</v>
      </c>
    </row>
    <row r="2760" spans="1:48">
      <c r="A2760" s="1">
        <f>HYPERLINK("https://cms.ls-nyc.org/matter/dynamic-profile/view/1897366","19-1897366")</f>
        <v>0</v>
      </c>
      <c r="B2760" t="s">
        <v>84</v>
      </c>
      <c r="C2760" t="s">
        <v>347</v>
      </c>
      <c r="E2760" t="s">
        <v>686</v>
      </c>
      <c r="F2760" t="s">
        <v>3411</v>
      </c>
      <c r="G2760" t="s">
        <v>5196</v>
      </c>
      <c r="H2760" t="s">
        <v>5372</v>
      </c>
      <c r="I2760" t="s">
        <v>6043</v>
      </c>
      <c r="J2760">
        <v>11226</v>
      </c>
      <c r="K2760" t="s">
        <v>6074</v>
      </c>
      <c r="L2760" t="s">
        <v>6074</v>
      </c>
      <c r="N2760" t="s">
        <v>7273</v>
      </c>
      <c r="O2760" t="s">
        <v>7308</v>
      </c>
      <c r="Q2760" t="s">
        <v>7322</v>
      </c>
      <c r="R2760" t="s">
        <v>6074</v>
      </c>
      <c r="S2760" t="s">
        <v>7324</v>
      </c>
      <c r="U2760" t="s">
        <v>279</v>
      </c>
      <c r="V2760">
        <v>916</v>
      </c>
      <c r="W2760" t="s">
        <v>7362</v>
      </c>
      <c r="Z2760" t="s">
        <v>9481</v>
      </c>
      <c r="AC2760">
        <v>0</v>
      </c>
      <c r="AF2760">
        <v>0</v>
      </c>
      <c r="AG2760">
        <v>2</v>
      </c>
      <c r="AH2760">
        <v>0</v>
      </c>
      <c r="AI2760">
        <v>236.55</v>
      </c>
      <c r="AL2760" t="s">
        <v>12460</v>
      </c>
      <c r="AM2760">
        <v>40000</v>
      </c>
      <c r="AS2760">
        <v>29.5</v>
      </c>
      <c r="AT2760" t="s">
        <v>526</v>
      </c>
      <c r="AU2760" t="s">
        <v>88</v>
      </c>
    </row>
    <row r="2761" spans="1:48">
      <c r="A2761" s="1">
        <f>HYPERLINK("https://cms.ls-nyc.org/matter/dynamic-profile/view/1900745","19-1900745")</f>
        <v>0</v>
      </c>
      <c r="B2761" t="s">
        <v>84</v>
      </c>
      <c r="C2761" t="s">
        <v>381</v>
      </c>
      <c r="E2761" t="s">
        <v>686</v>
      </c>
      <c r="F2761" t="s">
        <v>3411</v>
      </c>
      <c r="G2761" t="s">
        <v>5196</v>
      </c>
      <c r="H2761" t="s">
        <v>5372</v>
      </c>
      <c r="I2761" t="s">
        <v>6043</v>
      </c>
      <c r="J2761">
        <v>11226</v>
      </c>
      <c r="K2761" t="s">
        <v>6074</v>
      </c>
      <c r="L2761" t="s">
        <v>6075</v>
      </c>
      <c r="O2761" t="s">
        <v>7308</v>
      </c>
      <c r="Q2761" t="s">
        <v>7322</v>
      </c>
      <c r="R2761" t="s">
        <v>6074</v>
      </c>
      <c r="S2761" t="s">
        <v>7324</v>
      </c>
      <c r="U2761" t="s">
        <v>381</v>
      </c>
      <c r="V2761">
        <v>0</v>
      </c>
      <c r="W2761" t="s">
        <v>7362</v>
      </c>
      <c r="Z2761" t="s">
        <v>9481</v>
      </c>
      <c r="AC2761">
        <v>0</v>
      </c>
      <c r="AF2761">
        <v>0</v>
      </c>
      <c r="AG2761">
        <v>2</v>
      </c>
      <c r="AH2761">
        <v>0</v>
      </c>
      <c r="AI2761">
        <v>236.55</v>
      </c>
      <c r="AL2761" t="s">
        <v>12460</v>
      </c>
      <c r="AM2761">
        <v>40000</v>
      </c>
      <c r="AS2761">
        <v>0</v>
      </c>
      <c r="AU2761" t="s">
        <v>88</v>
      </c>
      <c r="AV2761" t="s">
        <v>13145</v>
      </c>
    </row>
    <row r="2762" spans="1:48">
      <c r="A2762" s="1">
        <f>HYPERLINK("https://cms.ls-nyc.org/matter/dynamic-profile/view/1901259","19-1901259")</f>
        <v>0</v>
      </c>
      <c r="B2762" t="s">
        <v>84</v>
      </c>
      <c r="C2762" t="s">
        <v>496</v>
      </c>
      <c r="E2762" t="s">
        <v>686</v>
      </c>
      <c r="F2762" t="s">
        <v>3411</v>
      </c>
      <c r="G2762" t="s">
        <v>5196</v>
      </c>
      <c r="H2762" t="s">
        <v>5372</v>
      </c>
      <c r="I2762" t="s">
        <v>6043</v>
      </c>
      <c r="J2762">
        <v>11226</v>
      </c>
      <c r="K2762" t="s">
        <v>6075</v>
      </c>
      <c r="L2762" t="s">
        <v>6075</v>
      </c>
      <c r="O2762" t="s">
        <v>7309</v>
      </c>
      <c r="Q2762" t="s">
        <v>7322</v>
      </c>
      <c r="R2762" t="s">
        <v>6074</v>
      </c>
      <c r="S2762" t="s">
        <v>7324</v>
      </c>
      <c r="U2762" t="s">
        <v>496</v>
      </c>
      <c r="V2762">
        <v>916</v>
      </c>
      <c r="W2762" t="s">
        <v>7362</v>
      </c>
      <c r="Z2762" t="s">
        <v>9481</v>
      </c>
      <c r="AC2762">
        <v>0</v>
      </c>
      <c r="AF2762">
        <v>0</v>
      </c>
      <c r="AG2762">
        <v>2</v>
      </c>
      <c r="AH2762">
        <v>0</v>
      </c>
      <c r="AI2762">
        <v>236.55</v>
      </c>
      <c r="AL2762" t="s">
        <v>12460</v>
      </c>
      <c r="AM2762">
        <v>40000</v>
      </c>
      <c r="AS2762">
        <v>0</v>
      </c>
      <c r="AU2762" t="s">
        <v>88</v>
      </c>
      <c r="AV2762" t="s">
        <v>13145</v>
      </c>
    </row>
    <row r="2763" spans="1:48">
      <c r="A2763" s="1">
        <f>HYPERLINK("https://cms.ls-nyc.org/matter/dynamic-profile/view/1895371","19-1895371")</f>
        <v>0</v>
      </c>
      <c r="B2763" t="s">
        <v>174</v>
      </c>
      <c r="C2763" t="s">
        <v>247</v>
      </c>
      <c r="E2763" t="s">
        <v>751</v>
      </c>
      <c r="F2763" t="s">
        <v>1424</v>
      </c>
      <c r="G2763" t="s">
        <v>4354</v>
      </c>
      <c r="H2763" t="s">
        <v>5387</v>
      </c>
      <c r="I2763" t="s">
        <v>6043</v>
      </c>
      <c r="J2763">
        <v>11221</v>
      </c>
      <c r="K2763" t="s">
        <v>6076</v>
      </c>
      <c r="L2763" t="s">
        <v>6076</v>
      </c>
      <c r="N2763" t="s">
        <v>7287</v>
      </c>
      <c r="O2763" t="s">
        <v>7308</v>
      </c>
      <c r="Q2763" t="s">
        <v>7322</v>
      </c>
      <c r="R2763" t="s">
        <v>6074</v>
      </c>
      <c r="S2763" t="s">
        <v>7324</v>
      </c>
      <c r="U2763" t="s">
        <v>247</v>
      </c>
      <c r="V2763">
        <v>880.65</v>
      </c>
      <c r="W2763" t="s">
        <v>7362</v>
      </c>
      <c r="X2763" t="s">
        <v>7376</v>
      </c>
      <c r="Z2763" t="s">
        <v>9482</v>
      </c>
      <c r="AB2763" t="s">
        <v>12137</v>
      </c>
      <c r="AC2763">
        <v>12</v>
      </c>
      <c r="AD2763" t="s">
        <v>12422</v>
      </c>
      <c r="AE2763" t="s">
        <v>6110</v>
      </c>
      <c r="AF2763">
        <v>17</v>
      </c>
      <c r="AG2763">
        <v>1</v>
      </c>
      <c r="AH2763">
        <v>1</v>
      </c>
      <c r="AI2763">
        <v>236.55</v>
      </c>
      <c r="AL2763" t="s">
        <v>12460</v>
      </c>
      <c r="AM2763">
        <v>40000</v>
      </c>
      <c r="AS2763">
        <v>0</v>
      </c>
      <c r="AU2763" t="s">
        <v>218</v>
      </c>
    </row>
    <row r="2764" spans="1:48">
      <c r="A2764" s="1">
        <f>HYPERLINK("https://cms.ls-nyc.org/matter/dynamic-profile/view/1874834","18-1874834")</f>
        <v>0</v>
      </c>
      <c r="B2764" t="s">
        <v>133</v>
      </c>
      <c r="C2764" t="s">
        <v>274</v>
      </c>
      <c r="D2764" t="s">
        <v>326</v>
      </c>
      <c r="E2764" t="s">
        <v>1871</v>
      </c>
      <c r="F2764" t="s">
        <v>3412</v>
      </c>
      <c r="G2764" t="s">
        <v>4495</v>
      </c>
      <c r="H2764">
        <v>311</v>
      </c>
      <c r="I2764" t="s">
        <v>6049</v>
      </c>
      <c r="J2764">
        <v>10029</v>
      </c>
      <c r="K2764" t="s">
        <v>6074</v>
      </c>
      <c r="L2764" t="s">
        <v>6076</v>
      </c>
      <c r="M2764" t="s">
        <v>7176</v>
      </c>
      <c r="N2764" t="s">
        <v>7276</v>
      </c>
      <c r="O2764" t="s">
        <v>7308</v>
      </c>
      <c r="P2764" t="s">
        <v>7316</v>
      </c>
      <c r="Q2764" t="s">
        <v>7322</v>
      </c>
      <c r="R2764" t="s">
        <v>6076</v>
      </c>
      <c r="S2764" t="s">
        <v>7324</v>
      </c>
      <c r="U2764" t="s">
        <v>467</v>
      </c>
      <c r="V2764">
        <v>0</v>
      </c>
      <c r="W2764" t="s">
        <v>7365</v>
      </c>
      <c r="X2764" t="s">
        <v>7368</v>
      </c>
      <c r="Y2764" t="s">
        <v>7399</v>
      </c>
      <c r="Z2764" t="s">
        <v>9483</v>
      </c>
      <c r="AC2764">
        <v>108</v>
      </c>
      <c r="AD2764" t="s">
        <v>12420</v>
      </c>
      <c r="AE2764" t="s">
        <v>12434</v>
      </c>
      <c r="AF2764">
        <v>8</v>
      </c>
      <c r="AG2764">
        <v>1</v>
      </c>
      <c r="AH2764">
        <v>2</v>
      </c>
      <c r="AI2764">
        <v>236.7</v>
      </c>
      <c r="AJ2764" t="s">
        <v>354</v>
      </c>
      <c r="AK2764" t="s">
        <v>12456</v>
      </c>
      <c r="AL2764" t="s">
        <v>12460</v>
      </c>
      <c r="AM2764">
        <v>49187</v>
      </c>
      <c r="AN2764" t="s">
        <v>12590</v>
      </c>
      <c r="AS2764">
        <v>12.7</v>
      </c>
      <c r="AT2764" t="s">
        <v>426</v>
      </c>
      <c r="AU2764" t="s">
        <v>13107</v>
      </c>
    </row>
    <row r="2765" spans="1:48">
      <c r="A2765" s="1">
        <f>HYPERLINK("https://cms.ls-nyc.org/matter/dynamic-profile/view/1884559","18-1884559")</f>
        <v>0</v>
      </c>
      <c r="B2765" t="s">
        <v>70</v>
      </c>
      <c r="C2765" t="s">
        <v>504</v>
      </c>
      <c r="E2765" t="s">
        <v>1547</v>
      </c>
      <c r="F2765" t="s">
        <v>2215</v>
      </c>
      <c r="G2765" t="s">
        <v>3698</v>
      </c>
      <c r="H2765">
        <v>10</v>
      </c>
      <c r="I2765" t="s">
        <v>6043</v>
      </c>
      <c r="J2765">
        <v>11238</v>
      </c>
      <c r="K2765" t="s">
        <v>6074</v>
      </c>
      <c r="L2765" t="s">
        <v>6074</v>
      </c>
      <c r="N2765" t="s">
        <v>7275</v>
      </c>
      <c r="O2765" t="s">
        <v>7309</v>
      </c>
      <c r="Q2765" t="s">
        <v>7322</v>
      </c>
      <c r="R2765" t="s">
        <v>6074</v>
      </c>
      <c r="S2765" t="s">
        <v>7324</v>
      </c>
      <c r="T2765" t="s">
        <v>7336</v>
      </c>
      <c r="U2765" t="s">
        <v>429</v>
      </c>
      <c r="V2765">
        <v>0</v>
      </c>
      <c r="W2765" t="s">
        <v>7362</v>
      </c>
      <c r="Z2765" t="s">
        <v>9484</v>
      </c>
      <c r="AC2765">
        <v>41</v>
      </c>
      <c r="AD2765" t="s">
        <v>12422</v>
      </c>
      <c r="AF2765">
        <v>0</v>
      </c>
      <c r="AG2765">
        <v>2</v>
      </c>
      <c r="AH2765">
        <v>0</v>
      </c>
      <c r="AI2765">
        <v>236.94</v>
      </c>
      <c r="AL2765" t="s">
        <v>12460</v>
      </c>
      <c r="AM2765">
        <v>39000</v>
      </c>
      <c r="AS2765">
        <v>0.5</v>
      </c>
      <c r="AT2765" t="s">
        <v>251</v>
      </c>
      <c r="AU2765" t="s">
        <v>13084</v>
      </c>
    </row>
    <row r="2766" spans="1:48">
      <c r="A2766" s="1">
        <f>HYPERLINK("https://cms.ls-nyc.org/matter/dynamic-profile/view/1887343","19-1887343")</f>
        <v>0</v>
      </c>
      <c r="B2766" t="s">
        <v>171</v>
      </c>
      <c r="C2766" t="s">
        <v>267</v>
      </c>
      <c r="D2766" t="s">
        <v>492</v>
      </c>
      <c r="E2766" t="s">
        <v>1872</v>
      </c>
      <c r="F2766" t="s">
        <v>2587</v>
      </c>
      <c r="G2766" t="s">
        <v>5197</v>
      </c>
      <c r="H2766" t="s">
        <v>5933</v>
      </c>
      <c r="I2766" t="s">
        <v>6043</v>
      </c>
      <c r="J2766">
        <v>11238</v>
      </c>
      <c r="K2766" t="s">
        <v>6074</v>
      </c>
      <c r="L2766" t="s">
        <v>6074</v>
      </c>
      <c r="M2766" t="s">
        <v>6104</v>
      </c>
      <c r="O2766" t="s">
        <v>7307</v>
      </c>
      <c r="P2766" t="s">
        <v>7315</v>
      </c>
      <c r="Q2766" t="s">
        <v>7322</v>
      </c>
      <c r="R2766" t="s">
        <v>6076</v>
      </c>
      <c r="S2766" t="s">
        <v>7326</v>
      </c>
      <c r="U2766" t="s">
        <v>462</v>
      </c>
      <c r="V2766">
        <v>1270.18</v>
      </c>
      <c r="W2766" t="s">
        <v>7362</v>
      </c>
      <c r="X2766" t="s">
        <v>7305</v>
      </c>
      <c r="Y2766" t="s">
        <v>7390</v>
      </c>
      <c r="Z2766" t="s">
        <v>9485</v>
      </c>
      <c r="AB2766" t="s">
        <v>12138</v>
      </c>
      <c r="AC2766">
        <v>14</v>
      </c>
      <c r="AD2766" t="s">
        <v>12422</v>
      </c>
      <c r="AE2766" t="s">
        <v>6110</v>
      </c>
      <c r="AF2766">
        <v>19</v>
      </c>
      <c r="AG2766">
        <v>1</v>
      </c>
      <c r="AH2766">
        <v>1</v>
      </c>
      <c r="AI2766">
        <v>236.94</v>
      </c>
      <c r="AL2766" t="s">
        <v>12460</v>
      </c>
      <c r="AM2766">
        <v>39000</v>
      </c>
      <c r="AS2766">
        <v>0.1</v>
      </c>
      <c r="AT2766" t="s">
        <v>492</v>
      </c>
      <c r="AU2766" t="s">
        <v>180</v>
      </c>
    </row>
    <row r="2767" spans="1:48">
      <c r="A2767" s="1">
        <f>HYPERLINK("https://cms.ls-nyc.org/matter/dynamic-profile/view/1870630","18-1870630")</f>
        <v>0</v>
      </c>
      <c r="B2767" t="s">
        <v>161</v>
      </c>
      <c r="C2767" t="s">
        <v>538</v>
      </c>
      <c r="D2767" t="s">
        <v>337</v>
      </c>
      <c r="E2767" t="s">
        <v>1873</v>
      </c>
      <c r="F2767" t="s">
        <v>3413</v>
      </c>
      <c r="G2767" t="s">
        <v>4165</v>
      </c>
      <c r="H2767" t="s">
        <v>5934</v>
      </c>
      <c r="I2767" t="s">
        <v>6049</v>
      </c>
      <c r="J2767">
        <v>10029</v>
      </c>
      <c r="K2767" t="s">
        <v>6074</v>
      </c>
      <c r="L2767" t="s">
        <v>6074</v>
      </c>
      <c r="M2767" t="s">
        <v>7177</v>
      </c>
      <c r="N2767" t="s">
        <v>7276</v>
      </c>
      <c r="O2767" t="s">
        <v>7308</v>
      </c>
      <c r="P2767" t="s">
        <v>7316</v>
      </c>
      <c r="Q2767" t="s">
        <v>7322</v>
      </c>
      <c r="R2767" t="s">
        <v>6076</v>
      </c>
      <c r="S2767" t="s">
        <v>7324</v>
      </c>
      <c r="T2767" t="s">
        <v>7336</v>
      </c>
      <c r="U2767" t="s">
        <v>495</v>
      </c>
      <c r="V2767">
        <v>1335</v>
      </c>
      <c r="W2767" t="s">
        <v>7365</v>
      </c>
      <c r="X2767" t="s">
        <v>7381</v>
      </c>
      <c r="Y2767" t="s">
        <v>7388</v>
      </c>
      <c r="Z2767" t="s">
        <v>9486</v>
      </c>
      <c r="AB2767" t="s">
        <v>12139</v>
      </c>
      <c r="AC2767">
        <v>42</v>
      </c>
      <c r="AD2767" t="s">
        <v>6322</v>
      </c>
      <c r="AE2767" t="s">
        <v>12434</v>
      </c>
      <c r="AF2767">
        <v>3</v>
      </c>
      <c r="AG2767">
        <v>1</v>
      </c>
      <c r="AH2767">
        <v>0</v>
      </c>
      <c r="AI2767">
        <v>237.23</v>
      </c>
      <c r="AJ2767" t="s">
        <v>354</v>
      </c>
      <c r="AK2767" t="s">
        <v>12456</v>
      </c>
      <c r="AL2767" t="s">
        <v>12460</v>
      </c>
      <c r="AM2767">
        <v>28800</v>
      </c>
      <c r="AS2767">
        <v>17.38</v>
      </c>
      <c r="AT2767" t="s">
        <v>272</v>
      </c>
      <c r="AU2767" t="s">
        <v>13088</v>
      </c>
    </row>
    <row r="2768" spans="1:48">
      <c r="A2768" s="1">
        <f>HYPERLINK("https://cms.ls-nyc.org/matter/dynamic-profile/view/1834332","17-1834332")</f>
        <v>0</v>
      </c>
      <c r="B2768" t="s">
        <v>224</v>
      </c>
      <c r="C2768" t="s">
        <v>539</v>
      </c>
      <c r="E2768" t="s">
        <v>1874</v>
      </c>
      <c r="F2768" t="s">
        <v>2760</v>
      </c>
      <c r="G2768" t="s">
        <v>5198</v>
      </c>
      <c r="H2768" t="s">
        <v>5935</v>
      </c>
      <c r="I2768" t="s">
        <v>6049</v>
      </c>
      <c r="J2768">
        <v>10034</v>
      </c>
      <c r="K2768" t="s">
        <v>6074</v>
      </c>
      <c r="L2768" t="s">
        <v>6075</v>
      </c>
      <c r="N2768" t="s">
        <v>6104</v>
      </c>
      <c r="O2768" t="s">
        <v>7310</v>
      </c>
      <c r="Q2768" t="s">
        <v>7322</v>
      </c>
      <c r="R2768" t="s">
        <v>6076</v>
      </c>
      <c r="S2768" t="s">
        <v>7324</v>
      </c>
      <c r="U2768" t="s">
        <v>7344</v>
      </c>
      <c r="V2768">
        <v>1033.79</v>
      </c>
      <c r="W2768" t="s">
        <v>7365</v>
      </c>
      <c r="X2768" t="s">
        <v>7367</v>
      </c>
      <c r="Z2768" t="s">
        <v>9487</v>
      </c>
      <c r="AB2768" t="s">
        <v>12140</v>
      </c>
      <c r="AC2768">
        <v>0</v>
      </c>
      <c r="AD2768" t="s">
        <v>12422</v>
      </c>
      <c r="AE2768" t="s">
        <v>6110</v>
      </c>
      <c r="AF2768">
        <v>30</v>
      </c>
      <c r="AG2768">
        <v>2</v>
      </c>
      <c r="AH2768">
        <v>0</v>
      </c>
      <c r="AI2768">
        <v>237.5</v>
      </c>
      <c r="AJ2768" t="s">
        <v>7349</v>
      </c>
      <c r="AL2768" t="s">
        <v>12461</v>
      </c>
      <c r="AM2768">
        <v>38570.8</v>
      </c>
      <c r="AS2768">
        <v>1</v>
      </c>
      <c r="AT2768" t="s">
        <v>539</v>
      </c>
      <c r="AU2768" t="s">
        <v>13107</v>
      </c>
    </row>
    <row r="2769" spans="1:48">
      <c r="A2769" s="1">
        <f>HYPERLINK("https://cms.ls-nyc.org/matter/dynamic-profile/view/1889002","19-1889002")</f>
        <v>0</v>
      </c>
      <c r="B2769" t="s">
        <v>129</v>
      </c>
      <c r="C2769" t="s">
        <v>379</v>
      </c>
      <c r="E2769" t="s">
        <v>1471</v>
      </c>
      <c r="F2769" t="s">
        <v>3321</v>
      </c>
      <c r="G2769" t="s">
        <v>5199</v>
      </c>
      <c r="H2769" t="s">
        <v>5504</v>
      </c>
      <c r="I2769" t="s">
        <v>6049</v>
      </c>
      <c r="J2769">
        <v>10040</v>
      </c>
      <c r="K2769" t="s">
        <v>6074</v>
      </c>
      <c r="L2769" t="s">
        <v>6074</v>
      </c>
      <c r="N2769" t="s">
        <v>7278</v>
      </c>
      <c r="O2769" t="s">
        <v>7306</v>
      </c>
      <c r="Q2769" t="s">
        <v>7322</v>
      </c>
      <c r="R2769" t="s">
        <v>6076</v>
      </c>
      <c r="S2769" t="s">
        <v>7324</v>
      </c>
      <c r="U2769" t="s">
        <v>379</v>
      </c>
      <c r="V2769">
        <v>887.22</v>
      </c>
      <c r="W2769" t="s">
        <v>7365</v>
      </c>
      <c r="X2769" t="s">
        <v>7367</v>
      </c>
      <c r="Z2769" t="s">
        <v>9488</v>
      </c>
      <c r="AB2769" t="s">
        <v>12141</v>
      </c>
      <c r="AC2769">
        <v>150</v>
      </c>
      <c r="AD2769" t="s">
        <v>12422</v>
      </c>
      <c r="AE2769" t="s">
        <v>6110</v>
      </c>
      <c r="AF2769">
        <v>22</v>
      </c>
      <c r="AG2769">
        <v>4</v>
      </c>
      <c r="AH2769">
        <v>0</v>
      </c>
      <c r="AI2769">
        <v>237.67</v>
      </c>
      <c r="AL2769" t="s">
        <v>12461</v>
      </c>
      <c r="AM2769">
        <v>61200</v>
      </c>
      <c r="AS2769">
        <v>61.85</v>
      </c>
      <c r="AT2769" t="s">
        <v>445</v>
      </c>
      <c r="AU2769" t="s">
        <v>13106</v>
      </c>
    </row>
    <row r="2770" spans="1:48">
      <c r="A2770" s="1">
        <f>HYPERLINK("https://cms.ls-nyc.org/matter/dynamic-profile/view/1889884","19-1889884")</f>
        <v>0</v>
      </c>
      <c r="B2770" t="s">
        <v>60</v>
      </c>
      <c r="C2770" t="s">
        <v>351</v>
      </c>
      <c r="D2770" t="s">
        <v>351</v>
      </c>
      <c r="E2770" t="s">
        <v>598</v>
      </c>
      <c r="F2770" t="s">
        <v>3414</v>
      </c>
      <c r="G2770" t="s">
        <v>5200</v>
      </c>
      <c r="H2770" t="s">
        <v>5866</v>
      </c>
      <c r="I2770" t="s">
        <v>6039</v>
      </c>
      <c r="J2770">
        <v>11368</v>
      </c>
      <c r="K2770" t="s">
        <v>6074</v>
      </c>
      <c r="L2770" t="s">
        <v>6074</v>
      </c>
      <c r="M2770" t="s">
        <v>6101</v>
      </c>
      <c r="N2770" t="s">
        <v>6104</v>
      </c>
      <c r="O2770" t="s">
        <v>7306</v>
      </c>
      <c r="P2770" t="s">
        <v>7314</v>
      </c>
      <c r="Q2770" t="s">
        <v>7323</v>
      </c>
      <c r="R2770" t="s">
        <v>6076</v>
      </c>
      <c r="S2770" t="s">
        <v>7324</v>
      </c>
      <c r="T2770" t="s">
        <v>7336</v>
      </c>
      <c r="U2770" t="s">
        <v>351</v>
      </c>
      <c r="V2770">
        <v>1620</v>
      </c>
      <c r="W2770" t="s">
        <v>7361</v>
      </c>
      <c r="X2770" t="s">
        <v>7369</v>
      </c>
      <c r="Y2770" t="s">
        <v>7386</v>
      </c>
      <c r="Z2770" t="s">
        <v>9489</v>
      </c>
      <c r="AB2770" t="s">
        <v>12142</v>
      </c>
      <c r="AC2770">
        <v>3</v>
      </c>
      <c r="AD2770" t="s">
        <v>12419</v>
      </c>
      <c r="AE2770" t="s">
        <v>6110</v>
      </c>
      <c r="AF2770">
        <v>4</v>
      </c>
      <c r="AG2770">
        <v>1</v>
      </c>
      <c r="AH2770">
        <v>2</v>
      </c>
      <c r="AI2770">
        <v>237.98</v>
      </c>
      <c r="AJ2770" t="s">
        <v>12443</v>
      </c>
      <c r="AK2770" t="s">
        <v>12455</v>
      </c>
      <c r="AL2770" t="s">
        <v>12460</v>
      </c>
      <c r="AM2770">
        <v>50761.38</v>
      </c>
      <c r="AS2770">
        <v>1.45</v>
      </c>
      <c r="AT2770" t="s">
        <v>351</v>
      </c>
      <c r="AU2770" t="s">
        <v>60</v>
      </c>
    </row>
    <row r="2771" spans="1:48">
      <c r="A2771" s="1">
        <f>HYPERLINK("https://cms.ls-nyc.org/matter/dynamic-profile/view/1839710","17-1839710")</f>
        <v>0</v>
      </c>
      <c r="B2771" t="s">
        <v>124</v>
      </c>
      <c r="C2771" t="s">
        <v>540</v>
      </c>
      <c r="E2771" t="s">
        <v>1875</v>
      </c>
      <c r="F2771" t="s">
        <v>3415</v>
      </c>
      <c r="G2771" t="s">
        <v>5201</v>
      </c>
      <c r="H2771" t="s">
        <v>5626</v>
      </c>
      <c r="I2771" t="s">
        <v>6048</v>
      </c>
      <c r="J2771">
        <v>10301</v>
      </c>
      <c r="K2771" t="s">
        <v>6074</v>
      </c>
      <c r="L2771" t="s">
        <v>6074</v>
      </c>
      <c r="M2771" t="s">
        <v>6204</v>
      </c>
      <c r="N2771" t="s">
        <v>7274</v>
      </c>
      <c r="O2771" t="s">
        <v>7309</v>
      </c>
      <c r="Q2771" t="s">
        <v>7322</v>
      </c>
      <c r="R2771" t="s">
        <v>6076</v>
      </c>
      <c r="S2771" t="s">
        <v>7324</v>
      </c>
      <c r="T2771" t="s">
        <v>7336</v>
      </c>
      <c r="U2771" t="s">
        <v>231</v>
      </c>
      <c r="V2771">
        <v>1532</v>
      </c>
      <c r="W2771" t="s">
        <v>7364</v>
      </c>
      <c r="X2771" t="s">
        <v>7373</v>
      </c>
      <c r="Z2771" t="s">
        <v>9490</v>
      </c>
      <c r="AA2771" t="s">
        <v>6101</v>
      </c>
      <c r="AB2771" t="s">
        <v>12143</v>
      </c>
      <c r="AC2771">
        <v>200</v>
      </c>
      <c r="AD2771" t="s">
        <v>12422</v>
      </c>
      <c r="AE2771" t="s">
        <v>6110</v>
      </c>
      <c r="AF2771">
        <v>22</v>
      </c>
      <c r="AG2771">
        <v>2</v>
      </c>
      <c r="AH2771">
        <v>0</v>
      </c>
      <c r="AI2771">
        <v>238.52</v>
      </c>
      <c r="AJ2771" t="s">
        <v>12448</v>
      </c>
      <c r="AK2771" t="s">
        <v>12456</v>
      </c>
      <c r="AL2771" t="s">
        <v>12460</v>
      </c>
      <c r="AM2771">
        <v>53988</v>
      </c>
      <c r="AN2771" t="s">
        <v>12737</v>
      </c>
      <c r="AP2771" t="s">
        <v>12883</v>
      </c>
      <c r="AQ2771" t="s">
        <v>12909</v>
      </c>
      <c r="AR2771" t="s">
        <v>13056</v>
      </c>
      <c r="AS2771">
        <v>2.3</v>
      </c>
      <c r="AT2771" t="s">
        <v>376</v>
      </c>
      <c r="AU2771" t="s">
        <v>13102</v>
      </c>
    </row>
    <row r="2772" spans="1:48">
      <c r="A2772" s="1">
        <f>HYPERLINK("https://cms.ls-nyc.org/matter/dynamic-profile/view/1895618","19-1895618")</f>
        <v>0</v>
      </c>
      <c r="B2772" t="s">
        <v>148</v>
      </c>
      <c r="C2772" t="s">
        <v>264</v>
      </c>
      <c r="E2772" t="s">
        <v>1287</v>
      </c>
      <c r="F2772" t="s">
        <v>2599</v>
      </c>
      <c r="G2772" t="s">
        <v>5036</v>
      </c>
      <c r="I2772" t="s">
        <v>6043</v>
      </c>
      <c r="J2772">
        <v>11213</v>
      </c>
      <c r="K2772" t="s">
        <v>6074</v>
      </c>
      <c r="L2772" t="s">
        <v>6074</v>
      </c>
      <c r="M2772" t="s">
        <v>7178</v>
      </c>
      <c r="N2772" t="s">
        <v>7276</v>
      </c>
      <c r="O2772" t="s">
        <v>7308</v>
      </c>
      <c r="Q2772" t="s">
        <v>7322</v>
      </c>
      <c r="R2772" t="s">
        <v>6076</v>
      </c>
      <c r="S2772" t="s">
        <v>7324</v>
      </c>
      <c r="U2772" t="s">
        <v>322</v>
      </c>
      <c r="V2772">
        <v>1513.39</v>
      </c>
      <c r="W2772" t="s">
        <v>7362</v>
      </c>
      <c r="X2772" t="s">
        <v>7375</v>
      </c>
      <c r="Z2772" t="s">
        <v>9491</v>
      </c>
      <c r="AC2772">
        <v>31</v>
      </c>
      <c r="AD2772" t="s">
        <v>12422</v>
      </c>
      <c r="AE2772" t="s">
        <v>6110</v>
      </c>
      <c r="AF2772">
        <v>0</v>
      </c>
      <c r="AG2772">
        <v>2</v>
      </c>
      <c r="AH2772">
        <v>0</v>
      </c>
      <c r="AI2772">
        <v>238.79</v>
      </c>
      <c r="AL2772" t="s">
        <v>12460</v>
      </c>
      <c r="AM2772">
        <v>40380</v>
      </c>
      <c r="AS2772">
        <v>18.4</v>
      </c>
      <c r="AT2772" t="s">
        <v>421</v>
      </c>
      <c r="AU2772" t="s">
        <v>180</v>
      </c>
    </row>
    <row r="2773" spans="1:48">
      <c r="A2773" s="1">
        <f>HYPERLINK("https://cms.ls-nyc.org/matter/dynamic-profile/view/1865917","18-1865917")</f>
        <v>0</v>
      </c>
      <c r="B2773" t="s">
        <v>168</v>
      </c>
      <c r="C2773" t="s">
        <v>541</v>
      </c>
      <c r="D2773" t="s">
        <v>347</v>
      </c>
      <c r="E2773" t="s">
        <v>1876</v>
      </c>
      <c r="F2773" t="s">
        <v>2659</v>
      </c>
      <c r="G2773" t="s">
        <v>5202</v>
      </c>
      <c r="H2773" t="s">
        <v>5936</v>
      </c>
      <c r="I2773" t="s">
        <v>6043</v>
      </c>
      <c r="J2773">
        <v>11208</v>
      </c>
      <c r="K2773" t="s">
        <v>6074</v>
      </c>
      <c r="L2773" t="s">
        <v>6074</v>
      </c>
      <c r="M2773" t="s">
        <v>7179</v>
      </c>
      <c r="N2773" t="s">
        <v>7276</v>
      </c>
      <c r="O2773" t="s">
        <v>7308</v>
      </c>
      <c r="P2773" t="s">
        <v>7316</v>
      </c>
      <c r="Q2773" t="s">
        <v>7322</v>
      </c>
      <c r="S2773" t="s">
        <v>7324</v>
      </c>
      <c r="U2773" t="s">
        <v>502</v>
      </c>
      <c r="V2773">
        <v>11</v>
      </c>
      <c r="W2773" t="s">
        <v>7362</v>
      </c>
      <c r="X2773" t="s">
        <v>7377</v>
      </c>
      <c r="Y2773" t="s">
        <v>7399</v>
      </c>
      <c r="Z2773" t="s">
        <v>9492</v>
      </c>
      <c r="AA2773" t="s">
        <v>10286</v>
      </c>
      <c r="AB2773" t="s">
        <v>12144</v>
      </c>
      <c r="AC2773">
        <v>60</v>
      </c>
      <c r="AD2773" t="s">
        <v>12422</v>
      </c>
      <c r="AE2773" t="s">
        <v>12434</v>
      </c>
      <c r="AF2773">
        <v>22</v>
      </c>
      <c r="AG2773">
        <v>1</v>
      </c>
      <c r="AH2773">
        <v>0</v>
      </c>
      <c r="AI2773">
        <v>238.88</v>
      </c>
      <c r="AJ2773" t="s">
        <v>411</v>
      </c>
      <c r="AL2773" t="s">
        <v>12460</v>
      </c>
      <c r="AM2773">
        <v>29000</v>
      </c>
      <c r="AS2773">
        <v>10</v>
      </c>
      <c r="AT2773" t="s">
        <v>508</v>
      </c>
      <c r="AU2773" t="s">
        <v>13087</v>
      </c>
    </row>
    <row r="2774" spans="1:48">
      <c r="A2774" s="1">
        <f>HYPERLINK("https://cms.ls-nyc.org/matter/dynamic-profile/view/1889859","19-1889859")</f>
        <v>0</v>
      </c>
      <c r="B2774" t="s">
        <v>99</v>
      </c>
      <c r="C2774" t="s">
        <v>286</v>
      </c>
      <c r="D2774" t="s">
        <v>334</v>
      </c>
      <c r="E2774" t="s">
        <v>1130</v>
      </c>
      <c r="F2774" t="s">
        <v>2052</v>
      </c>
      <c r="G2774" t="s">
        <v>5203</v>
      </c>
      <c r="H2774">
        <v>206</v>
      </c>
      <c r="I2774" t="s">
        <v>6047</v>
      </c>
      <c r="J2774">
        <v>10453</v>
      </c>
      <c r="K2774" t="s">
        <v>6074</v>
      </c>
      <c r="L2774" t="s">
        <v>6074</v>
      </c>
      <c r="N2774" t="s">
        <v>7278</v>
      </c>
      <c r="O2774" t="s">
        <v>7306</v>
      </c>
      <c r="P2774" t="s">
        <v>7314</v>
      </c>
      <c r="Q2774" t="s">
        <v>7322</v>
      </c>
      <c r="R2774" t="s">
        <v>6076</v>
      </c>
      <c r="S2774" t="s">
        <v>7324</v>
      </c>
      <c r="U2774" t="s">
        <v>286</v>
      </c>
      <c r="V2774">
        <v>0</v>
      </c>
      <c r="W2774" t="s">
        <v>7363</v>
      </c>
      <c r="X2774" t="s">
        <v>7376</v>
      </c>
      <c r="Y2774" t="s">
        <v>7386</v>
      </c>
      <c r="Z2774" t="s">
        <v>9493</v>
      </c>
      <c r="AB2774" t="s">
        <v>12145</v>
      </c>
      <c r="AC2774">
        <v>54</v>
      </c>
      <c r="AD2774" t="s">
        <v>12422</v>
      </c>
      <c r="AE2774" t="s">
        <v>6110</v>
      </c>
      <c r="AF2774">
        <v>0</v>
      </c>
      <c r="AG2774">
        <v>3</v>
      </c>
      <c r="AH2774">
        <v>0</v>
      </c>
      <c r="AI2774">
        <v>239.1</v>
      </c>
      <c r="AL2774" t="s">
        <v>12460</v>
      </c>
      <c r="AM2774">
        <v>51000</v>
      </c>
      <c r="AS2774">
        <v>1.15</v>
      </c>
      <c r="AT2774" t="s">
        <v>334</v>
      </c>
      <c r="AU2774" t="s">
        <v>13092</v>
      </c>
    </row>
    <row r="2775" spans="1:48">
      <c r="A2775" s="1">
        <f>HYPERLINK("https://cms.ls-nyc.org/matter/dynamic-profile/view/1875358","18-1875358")</f>
        <v>0</v>
      </c>
      <c r="B2775" t="s">
        <v>137</v>
      </c>
      <c r="C2775" t="s">
        <v>406</v>
      </c>
      <c r="D2775" t="s">
        <v>466</v>
      </c>
      <c r="E2775" t="s">
        <v>628</v>
      </c>
      <c r="F2775" t="s">
        <v>3416</v>
      </c>
      <c r="G2775" t="s">
        <v>5204</v>
      </c>
      <c r="H2775" t="s">
        <v>5357</v>
      </c>
      <c r="I2775" t="s">
        <v>6049</v>
      </c>
      <c r="J2775">
        <v>10029</v>
      </c>
      <c r="K2775" t="s">
        <v>6074</v>
      </c>
      <c r="L2775" t="s">
        <v>6074</v>
      </c>
      <c r="N2775" t="s">
        <v>6104</v>
      </c>
      <c r="O2775" t="s">
        <v>7306</v>
      </c>
      <c r="P2775" t="s">
        <v>7314</v>
      </c>
      <c r="Q2775" t="s">
        <v>7322</v>
      </c>
      <c r="R2775" t="s">
        <v>6076</v>
      </c>
      <c r="S2775" t="s">
        <v>7324</v>
      </c>
      <c r="T2775" t="s">
        <v>7336</v>
      </c>
      <c r="U2775" t="s">
        <v>383</v>
      </c>
      <c r="V2775">
        <v>900</v>
      </c>
      <c r="W2775" t="s">
        <v>7365</v>
      </c>
      <c r="X2775" t="s">
        <v>7383</v>
      </c>
      <c r="Y2775" t="s">
        <v>7386</v>
      </c>
      <c r="Z2775" t="s">
        <v>9494</v>
      </c>
      <c r="AB2775" t="s">
        <v>12146</v>
      </c>
      <c r="AC2775">
        <v>42</v>
      </c>
      <c r="AD2775" t="s">
        <v>12422</v>
      </c>
      <c r="AE2775" t="s">
        <v>6110</v>
      </c>
      <c r="AF2775">
        <v>10</v>
      </c>
      <c r="AG2775">
        <v>1</v>
      </c>
      <c r="AH2775">
        <v>0</v>
      </c>
      <c r="AI2775">
        <v>239.6</v>
      </c>
      <c r="AJ2775" t="s">
        <v>354</v>
      </c>
      <c r="AK2775" t="s">
        <v>12456</v>
      </c>
      <c r="AL2775" t="s">
        <v>12460</v>
      </c>
      <c r="AM2775">
        <v>29088</v>
      </c>
      <c r="AS2775">
        <v>2</v>
      </c>
      <c r="AT2775" t="s">
        <v>383</v>
      </c>
      <c r="AU2775" t="s">
        <v>13117</v>
      </c>
    </row>
    <row r="2776" spans="1:48">
      <c r="A2776" s="1">
        <f>HYPERLINK("https://cms.ls-nyc.org/matter/dynamic-profile/view/1892392","19-1892392")</f>
        <v>0</v>
      </c>
      <c r="B2776" t="s">
        <v>54</v>
      </c>
      <c r="C2776" t="s">
        <v>337</v>
      </c>
      <c r="D2776" t="s">
        <v>277</v>
      </c>
      <c r="E2776" t="s">
        <v>1877</v>
      </c>
      <c r="F2776" t="s">
        <v>3417</v>
      </c>
      <c r="G2776" t="s">
        <v>5205</v>
      </c>
      <c r="I2776" t="s">
        <v>6038</v>
      </c>
      <c r="J2776">
        <v>11370</v>
      </c>
      <c r="K2776" t="s">
        <v>6074</v>
      </c>
      <c r="L2776" t="s">
        <v>6074</v>
      </c>
      <c r="N2776" t="s">
        <v>6104</v>
      </c>
      <c r="O2776" t="s">
        <v>7306</v>
      </c>
      <c r="P2776" t="s">
        <v>7314</v>
      </c>
      <c r="Q2776" t="s">
        <v>7322</v>
      </c>
      <c r="R2776" t="s">
        <v>6076</v>
      </c>
      <c r="S2776" t="s">
        <v>7324</v>
      </c>
      <c r="U2776" t="s">
        <v>359</v>
      </c>
      <c r="V2776">
        <v>0</v>
      </c>
      <c r="W2776" t="s">
        <v>7361</v>
      </c>
      <c r="X2776" t="s">
        <v>7376</v>
      </c>
      <c r="Y2776" t="s">
        <v>7386</v>
      </c>
      <c r="Z2776" t="s">
        <v>7601</v>
      </c>
      <c r="AA2776" t="s">
        <v>9856</v>
      </c>
      <c r="AB2776" t="s">
        <v>9856</v>
      </c>
      <c r="AC2776">
        <v>0</v>
      </c>
      <c r="AD2776" t="s">
        <v>6322</v>
      </c>
      <c r="AE2776" t="s">
        <v>6110</v>
      </c>
      <c r="AF2776">
        <v>0</v>
      </c>
      <c r="AG2776">
        <v>1</v>
      </c>
      <c r="AH2776">
        <v>0</v>
      </c>
      <c r="AI2776">
        <v>240.19</v>
      </c>
      <c r="AL2776" t="s">
        <v>12460</v>
      </c>
      <c r="AM2776">
        <v>30000</v>
      </c>
      <c r="AS2776">
        <v>0.05</v>
      </c>
      <c r="AT2776" t="s">
        <v>277</v>
      </c>
      <c r="AU2776" t="s">
        <v>54</v>
      </c>
    </row>
    <row r="2777" spans="1:48">
      <c r="A2777" s="1">
        <f>HYPERLINK("https://cms.ls-nyc.org/matter/dynamic-profile/view/1890108","19-1890108")</f>
        <v>0</v>
      </c>
      <c r="B2777" t="s">
        <v>68</v>
      </c>
      <c r="C2777" t="s">
        <v>477</v>
      </c>
      <c r="D2777" t="s">
        <v>337</v>
      </c>
      <c r="E2777" t="s">
        <v>1367</v>
      </c>
      <c r="F2777" t="s">
        <v>3418</v>
      </c>
      <c r="G2777" t="s">
        <v>5206</v>
      </c>
      <c r="H2777" t="s">
        <v>5361</v>
      </c>
      <c r="I2777" t="s">
        <v>6043</v>
      </c>
      <c r="J2777">
        <v>11207</v>
      </c>
      <c r="K2777" t="s">
        <v>6074</v>
      </c>
      <c r="L2777" t="s">
        <v>6074</v>
      </c>
      <c r="M2777" t="s">
        <v>7180</v>
      </c>
      <c r="N2777" t="s">
        <v>7274</v>
      </c>
      <c r="O2777" t="s">
        <v>7306</v>
      </c>
      <c r="P2777" t="s">
        <v>7314</v>
      </c>
      <c r="Q2777" t="s">
        <v>7322</v>
      </c>
      <c r="R2777" t="s">
        <v>6076</v>
      </c>
      <c r="S2777" t="s">
        <v>7324</v>
      </c>
      <c r="U2777" t="s">
        <v>337</v>
      </c>
      <c r="V2777">
        <v>500</v>
      </c>
      <c r="W2777" t="s">
        <v>7362</v>
      </c>
      <c r="X2777" t="s">
        <v>7372</v>
      </c>
      <c r="Y2777" t="s">
        <v>7386</v>
      </c>
      <c r="Z2777" t="s">
        <v>9495</v>
      </c>
      <c r="AB2777" t="s">
        <v>12147</v>
      </c>
      <c r="AC2777">
        <v>2</v>
      </c>
      <c r="AD2777" t="s">
        <v>12419</v>
      </c>
      <c r="AE2777" t="s">
        <v>6110</v>
      </c>
      <c r="AF2777">
        <v>2</v>
      </c>
      <c r="AG2777">
        <v>1</v>
      </c>
      <c r="AH2777">
        <v>0</v>
      </c>
      <c r="AI2777">
        <v>240.19</v>
      </c>
      <c r="AL2777" t="s">
        <v>12460</v>
      </c>
      <c r="AM2777">
        <v>30000</v>
      </c>
      <c r="AS2777">
        <v>1.4</v>
      </c>
      <c r="AT2777" t="s">
        <v>337</v>
      </c>
      <c r="AU2777" t="s">
        <v>180</v>
      </c>
    </row>
    <row r="2778" spans="1:48">
      <c r="A2778" s="1">
        <f>HYPERLINK("https://cms.ls-nyc.org/matter/dynamic-profile/view/1892453","19-1892453")</f>
        <v>0</v>
      </c>
      <c r="B2778" t="s">
        <v>96</v>
      </c>
      <c r="C2778" t="s">
        <v>337</v>
      </c>
      <c r="E2778" t="s">
        <v>1878</v>
      </c>
      <c r="F2778" t="s">
        <v>3419</v>
      </c>
      <c r="G2778" t="s">
        <v>4396</v>
      </c>
      <c r="H2778" t="s">
        <v>5937</v>
      </c>
      <c r="I2778" t="s">
        <v>6047</v>
      </c>
      <c r="J2778">
        <v>10453</v>
      </c>
      <c r="K2778" t="s">
        <v>6074</v>
      </c>
      <c r="L2778" t="s">
        <v>6074</v>
      </c>
      <c r="N2778" t="s">
        <v>7279</v>
      </c>
      <c r="O2778" t="s">
        <v>7311</v>
      </c>
      <c r="Q2778" t="s">
        <v>7322</v>
      </c>
      <c r="R2778" t="s">
        <v>6074</v>
      </c>
      <c r="S2778" t="s">
        <v>7324</v>
      </c>
      <c r="U2778" t="s">
        <v>457</v>
      </c>
      <c r="V2778">
        <v>688.0599999999999</v>
      </c>
      <c r="W2778" t="s">
        <v>7363</v>
      </c>
      <c r="X2778" t="s">
        <v>7375</v>
      </c>
      <c r="Z2778" t="s">
        <v>9496</v>
      </c>
      <c r="AB2778" t="s">
        <v>12148</v>
      </c>
      <c r="AC2778">
        <v>170</v>
      </c>
      <c r="AD2778" t="s">
        <v>12422</v>
      </c>
      <c r="AE2778" t="s">
        <v>6110</v>
      </c>
      <c r="AF2778">
        <v>25</v>
      </c>
      <c r="AG2778">
        <v>1</v>
      </c>
      <c r="AH2778">
        <v>0</v>
      </c>
      <c r="AI2778">
        <v>240.19</v>
      </c>
      <c r="AL2778" t="s">
        <v>12460</v>
      </c>
      <c r="AM2778">
        <v>30000</v>
      </c>
      <c r="AS2778">
        <v>0</v>
      </c>
      <c r="AU2778" t="s">
        <v>13093</v>
      </c>
    </row>
    <row r="2779" spans="1:48">
      <c r="A2779" s="1">
        <f>HYPERLINK("https://cms.ls-nyc.org/matter/dynamic-profile/view/1894102","19-1894102")</f>
        <v>0</v>
      </c>
      <c r="B2779" t="s">
        <v>96</v>
      </c>
      <c r="C2779" t="s">
        <v>469</v>
      </c>
      <c r="E2779" t="s">
        <v>777</v>
      </c>
      <c r="F2779" t="s">
        <v>699</v>
      </c>
      <c r="G2779" t="s">
        <v>3792</v>
      </c>
      <c r="H2779" t="s">
        <v>5608</v>
      </c>
      <c r="I2779" t="s">
        <v>6047</v>
      </c>
      <c r="J2779">
        <v>10453</v>
      </c>
      <c r="K2779" t="s">
        <v>6074</v>
      </c>
      <c r="L2779" t="s">
        <v>6074</v>
      </c>
      <c r="N2779" t="s">
        <v>7279</v>
      </c>
      <c r="O2779" t="s">
        <v>7311</v>
      </c>
      <c r="Q2779" t="s">
        <v>7322</v>
      </c>
      <c r="R2779" t="s">
        <v>6074</v>
      </c>
      <c r="S2779" t="s">
        <v>7324</v>
      </c>
      <c r="U2779" t="s">
        <v>457</v>
      </c>
      <c r="V2779">
        <v>956</v>
      </c>
      <c r="W2779" t="s">
        <v>7363</v>
      </c>
      <c r="X2779" t="s">
        <v>7376</v>
      </c>
      <c r="Z2779" t="s">
        <v>9497</v>
      </c>
      <c r="AB2779" t="s">
        <v>12149</v>
      </c>
      <c r="AC2779">
        <v>167</v>
      </c>
      <c r="AD2779" t="s">
        <v>12422</v>
      </c>
      <c r="AE2779" t="s">
        <v>6110</v>
      </c>
      <c r="AF2779">
        <v>20</v>
      </c>
      <c r="AG2779">
        <v>1</v>
      </c>
      <c r="AH2779">
        <v>0</v>
      </c>
      <c r="AI2779">
        <v>240.19</v>
      </c>
      <c r="AL2779" t="s">
        <v>12460</v>
      </c>
      <c r="AM2779">
        <v>30000</v>
      </c>
      <c r="AS2779">
        <v>0</v>
      </c>
      <c r="AU2779" t="s">
        <v>13092</v>
      </c>
    </row>
    <row r="2780" spans="1:48">
      <c r="A2780" s="1">
        <f>HYPERLINK("https://cms.ls-nyc.org/matter/dynamic-profile/view/1892162","19-1892162")</f>
        <v>0</v>
      </c>
      <c r="B2780" t="s">
        <v>96</v>
      </c>
      <c r="C2780" t="s">
        <v>405</v>
      </c>
      <c r="E2780" t="s">
        <v>1878</v>
      </c>
      <c r="F2780" t="s">
        <v>3419</v>
      </c>
      <c r="G2780" t="s">
        <v>4396</v>
      </c>
      <c r="H2780" t="s">
        <v>5937</v>
      </c>
      <c r="I2780" t="s">
        <v>6047</v>
      </c>
      <c r="J2780">
        <v>10453</v>
      </c>
      <c r="K2780" t="s">
        <v>6074</v>
      </c>
      <c r="L2780" t="s">
        <v>6074</v>
      </c>
      <c r="M2780" t="s">
        <v>6259</v>
      </c>
      <c r="N2780" t="s">
        <v>7273</v>
      </c>
      <c r="O2780" t="s">
        <v>7308</v>
      </c>
      <c r="Q2780" t="s">
        <v>7322</v>
      </c>
      <c r="R2780" t="s">
        <v>6074</v>
      </c>
      <c r="S2780" t="s">
        <v>7324</v>
      </c>
      <c r="U2780" t="s">
        <v>457</v>
      </c>
      <c r="V2780">
        <v>688.0599999999999</v>
      </c>
      <c r="W2780" t="s">
        <v>7363</v>
      </c>
      <c r="X2780" t="s">
        <v>7375</v>
      </c>
      <c r="Z2780" t="s">
        <v>9496</v>
      </c>
      <c r="AB2780" t="s">
        <v>12148</v>
      </c>
      <c r="AC2780">
        <v>170</v>
      </c>
      <c r="AD2780" t="s">
        <v>12422</v>
      </c>
      <c r="AE2780" t="s">
        <v>6110</v>
      </c>
      <c r="AF2780">
        <v>25</v>
      </c>
      <c r="AG2780">
        <v>1</v>
      </c>
      <c r="AH2780">
        <v>0</v>
      </c>
      <c r="AI2780">
        <v>240.19</v>
      </c>
      <c r="AL2780" t="s">
        <v>12460</v>
      </c>
      <c r="AM2780">
        <v>30000</v>
      </c>
      <c r="AS2780">
        <v>0</v>
      </c>
      <c r="AU2780" t="s">
        <v>13093</v>
      </c>
    </row>
    <row r="2781" spans="1:48">
      <c r="A2781" s="1">
        <f>HYPERLINK("https://cms.ls-nyc.org/matter/dynamic-profile/view/1894099","19-1894099")</f>
        <v>0</v>
      </c>
      <c r="B2781" t="s">
        <v>96</v>
      </c>
      <c r="C2781" t="s">
        <v>469</v>
      </c>
      <c r="E2781" t="s">
        <v>777</v>
      </c>
      <c r="F2781" t="s">
        <v>699</v>
      </c>
      <c r="G2781" t="s">
        <v>3792</v>
      </c>
      <c r="H2781" t="s">
        <v>5608</v>
      </c>
      <c r="I2781" t="s">
        <v>6047</v>
      </c>
      <c r="J2781">
        <v>10453</v>
      </c>
      <c r="K2781" t="s">
        <v>6074</v>
      </c>
      <c r="L2781" t="s">
        <v>6074</v>
      </c>
      <c r="M2781" t="s">
        <v>6259</v>
      </c>
      <c r="N2781" t="s">
        <v>7273</v>
      </c>
      <c r="O2781" t="s">
        <v>7308</v>
      </c>
      <c r="Q2781" t="s">
        <v>7322</v>
      </c>
      <c r="R2781" t="s">
        <v>6074</v>
      </c>
      <c r="S2781" t="s">
        <v>7324</v>
      </c>
      <c r="U2781" t="s">
        <v>457</v>
      </c>
      <c r="V2781">
        <v>956</v>
      </c>
      <c r="W2781" t="s">
        <v>7363</v>
      </c>
      <c r="X2781" t="s">
        <v>7376</v>
      </c>
      <c r="Z2781" t="s">
        <v>9497</v>
      </c>
      <c r="AB2781" t="s">
        <v>12149</v>
      </c>
      <c r="AC2781">
        <v>167</v>
      </c>
      <c r="AD2781" t="s">
        <v>12422</v>
      </c>
      <c r="AE2781" t="s">
        <v>6110</v>
      </c>
      <c r="AF2781">
        <v>20</v>
      </c>
      <c r="AG2781">
        <v>1</v>
      </c>
      <c r="AH2781">
        <v>0</v>
      </c>
      <c r="AI2781">
        <v>240.19</v>
      </c>
      <c r="AL2781" t="s">
        <v>12460</v>
      </c>
      <c r="AM2781">
        <v>30000</v>
      </c>
      <c r="AS2781">
        <v>0</v>
      </c>
      <c r="AU2781" t="s">
        <v>13092</v>
      </c>
    </row>
    <row r="2782" spans="1:48">
      <c r="A2782" s="1">
        <f>HYPERLINK("https://cms.ls-nyc.org/matter/dynamic-profile/view/1901251","19-1901251")</f>
        <v>0</v>
      </c>
      <c r="B2782" t="s">
        <v>141</v>
      </c>
      <c r="C2782" t="s">
        <v>496</v>
      </c>
      <c r="E2782" t="s">
        <v>1361</v>
      </c>
      <c r="F2782" t="s">
        <v>3420</v>
      </c>
      <c r="G2782" t="s">
        <v>5207</v>
      </c>
      <c r="H2782" t="s">
        <v>5528</v>
      </c>
      <c r="I2782" t="s">
        <v>6049</v>
      </c>
      <c r="J2782">
        <v>10035</v>
      </c>
      <c r="K2782" t="s">
        <v>6074</v>
      </c>
      <c r="L2782" t="s">
        <v>6075</v>
      </c>
      <c r="M2782" t="s">
        <v>7181</v>
      </c>
      <c r="N2782" t="s">
        <v>7276</v>
      </c>
      <c r="O2782" t="s">
        <v>7310</v>
      </c>
      <c r="Q2782" t="s">
        <v>7322</v>
      </c>
      <c r="R2782" t="s">
        <v>6076</v>
      </c>
      <c r="S2782" t="s">
        <v>7324</v>
      </c>
      <c r="T2782" t="s">
        <v>7336</v>
      </c>
      <c r="U2782" t="s">
        <v>496</v>
      </c>
      <c r="V2782">
        <v>2900</v>
      </c>
      <c r="W2782" t="s">
        <v>7365</v>
      </c>
      <c r="X2782" t="s">
        <v>7378</v>
      </c>
      <c r="Z2782" t="s">
        <v>9498</v>
      </c>
      <c r="AB2782" t="s">
        <v>12150</v>
      </c>
      <c r="AC2782">
        <v>45</v>
      </c>
      <c r="AD2782" t="s">
        <v>6322</v>
      </c>
      <c r="AE2782" t="s">
        <v>6110</v>
      </c>
      <c r="AF2782">
        <v>10</v>
      </c>
      <c r="AG2782">
        <v>1</v>
      </c>
      <c r="AH2782">
        <v>0</v>
      </c>
      <c r="AI2782">
        <v>240.19</v>
      </c>
      <c r="AL2782" t="s">
        <v>12460</v>
      </c>
      <c r="AM2782">
        <v>30000</v>
      </c>
      <c r="AS2782">
        <v>0</v>
      </c>
      <c r="AU2782" t="s">
        <v>13107</v>
      </c>
      <c r="AV2782" t="s">
        <v>13145</v>
      </c>
    </row>
    <row r="2783" spans="1:48">
      <c r="A2783" s="1">
        <f>HYPERLINK("https://cms.ls-nyc.org/matter/dynamic-profile/view/1892379","19-1892379")</f>
        <v>0</v>
      </c>
      <c r="B2783" t="s">
        <v>130</v>
      </c>
      <c r="C2783" t="s">
        <v>337</v>
      </c>
      <c r="E2783" t="s">
        <v>715</v>
      </c>
      <c r="F2783" t="s">
        <v>2856</v>
      </c>
      <c r="G2783" t="s">
        <v>5208</v>
      </c>
      <c r="H2783" t="s">
        <v>5390</v>
      </c>
      <c r="I2783" t="s">
        <v>6049</v>
      </c>
      <c r="J2783">
        <v>10034</v>
      </c>
      <c r="K2783" t="s">
        <v>6074</v>
      </c>
      <c r="L2783" t="s">
        <v>6074</v>
      </c>
      <c r="O2783" t="s">
        <v>7306</v>
      </c>
      <c r="Q2783" t="s">
        <v>7322</v>
      </c>
      <c r="R2783" t="s">
        <v>6074</v>
      </c>
      <c r="S2783" t="s">
        <v>7324</v>
      </c>
      <c r="U2783" t="s">
        <v>337</v>
      </c>
      <c r="V2783">
        <v>1040.34</v>
      </c>
      <c r="W2783" t="s">
        <v>7365</v>
      </c>
      <c r="X2783" t="s">
        <v>7367</v>
      </c>
      <c r="Z2783" t="s">
        <v>9499</v>
      </c>
      <c r="AB2783" t="s">
        <v>12151</v>
      </c>
      <c r="AC2783">
        <v>48</v>
      </c>
      <c r="AD2783" t="s">
        <v>12422</v>
      </c>
      <c r="AF2783">
        <v>25</v>
      </c>
      <c r="AG2783">
        <v>1</v>
      </c>
      <c r="AH2783">
        <v>0</v>
      </c>
      <c r="AI2783">
        <v>240.19</v>
      </c>
      <c r="AL2783" t="s">
        <v>12460</v>
      </c>
      <c r="AM2783">
        <v>30000</v>
      </c>
      <c r="AS2783">
        <v>0.1</v>
      </c>
      <c r="AT2783" t="s">
        <v>564</v>
      </c>
      <c r="AU2783" t="s">
        <v>13106</v>
      </c>
    </row>
    <row r="2784" spans="1:48">
      <c r="A2784" s="1">
        <f>HYPERLINK("https://cms.ls-nyc.org/matter/dynamic-profile/view/1893591","19-1893591")</f>
        <v>0</v>
      </c>
      <c r="B2784" t="s">
        <v>125</v>
      </c>
      <c r="C2784" t="s">
        <v>436</v>
      </c>
      <c r="E2784" t="s">
        <v>1364</v>
      </c>
      <c r="F2784" t="s">
        <v>3421</v>
      </c>
      <c r="G2784" t="s">
        <v>5209</v>
      </c>
      <c r="H2784" t="s">
        <v>5938</v>
      </c>
      <c r="I2784" t="s">
        <v>6049</v>
      </c>
      <c r="J2784">
        <v>10033</v>
      </c>
      <c r="K2784" t="s">
        <v>6074</v>
      </c>
      <c r="L2784" t="s">
        <v>6074</v>
      </c>
      <c r="N2784" t="s">
        <v>6104</v>
      </c>
      <c r="O2784" t="s">
        <v>7306</v>
      </c>
      <c r="Q2784" t="s">
        <v>7322</v>
      </c>
      <c r="R2784" t="s">
        <v>6076</v>
      </c>
      <c r="S2784" t="s">
        <v>7324</v>
      </c>
      <c r="U2784" t="s">
        <v>436</v>
      </c>
      <c r="V2784">
        <v>1895</v>
      </c>
      <c r="W2784" t="s">
        <v>7365</v>
      </c>
      <c r="X2784" t="s">
        <v>7367</v>
      </c>
      <c r="Y2784" t="s">
        <v>7386</v>
      </c>
      <c r="Z2784" t="s">
        <v>9500</v>
      </c>
      <c r="AC2784">
        <v>91</v>
      </c>
      <c r="AD2784" t="s">
        <v>12422</v>
      </c>
      <c r="AE2784" t="s">
        <v>6110</v>
      </c>
      <c r="AF2784">
        <v>17</v>
      </c>
      <c r="AG2784">
        <v>1</v>
      </c>
      <c r="AH2784">
        <v>0</v>
      </c>
      <c r="AI2784">
        <v>240.19</v>
      </c>
      <c r="AL2784" t="s">
        <v>12460</v>
      </c>
      <c r="AM2784">
        <v>30000</v>
      </c>
      <c r="AS2784">
        <v>2</v>
      </c>
      <c r="AT2784" t="s">
        <v>316</v>
      </c>
      <c r="AU2784" t="s">
        <v>13106</v>
      </c>
    </row>
    <row r="2785" spans="1:47">
      <c r="A2785" s="1">
        <f>HYPERLINK("https://cms.ls-nyc.org/matter/dynamic-profile/view/1887611","19-1887611")</f>
        <v>0</v>
      </c>
      <c r="B2785" t="s">
        <v>74</v>
      </c>
      <c r="C2785" t="s">
        <v>492</v>
      </c>
      <c r="E2785" t="s">
        <v>907</v>
      </c>
      <c r="F2785" t="s">
        <v>3391</v>
      </c>
      <c r="G2785" t="s">
        <v>5175</v>
      </c>
      <c r="H2785">
        <v>414</v>
      </c>
      <c r="I2785" t="s">
        <v>6043</v>
      </c>
      <c r="J2785">
        <v>11207</v>
      </c>
      <c r="K2785" t="s">
        <v>6074</v>
      </c>
      <c r="L2785" t="s">
        <v>6074</v>
      </c>
      <c r="M2785" t="s">
        <v>7161</v>
      </c>
      <c r="N2785" t="s">
        <v>7276</v>
      </c>
      <c r="O2785" t="s">
        <v>7308</v>
      </c>
      <c r="Q2785" t="s">
        <v>7322</v>
      </c>
      <c r="R2785" t="s">
        <v>6076</v>
      </c>
      <c r="S2785" t="s">
        <v>7324</v>
      </c>
      <c r="U2785" t="s">
        <v>337</v>
      </c>
      <c r="V2785">
        <v>1275</v>
      </c>
      <c r="W2785" t="s">
        <v>7362</v>
      </c>
      <c r="X2785" t="s">
        <v>7366</v>
      </c>
      <c r="Z2785" t="s">
        <v>9446</v>
      </c>
      <c r="AB2785" t="s">
        <v>12111</v>
      </c>
      <c r="AC2785">
        <v>88</v>
      </c>
      <c r="AD2785" t="s">
        <v>12422</v>
      </c>
      <c r="AE2785" t="s">
        <v>12435</v>
      </c>
      <c r="AF2785">
        <v>1</v>
      </c>
      <c r="AG2785">
        <v>3</v>
      </c>
      <c r="AH2785">
        <v>1</v>
      </c>
      <c r="AI2785">
        <v>240.49</v>
      </c>
      <c r="AL2785" t="s">
        <v>12466</v>
      </c>
      <c r="AM2785">
        <v>60364</v>
      </c>
      <c r="AS2785">
        <v>31.9</v>
      </c>
      <c r="AT2785" t="s">
        <v>309</v>
      </c>
      <c r="AU2785" t="s">
        <v>180</v>
      </c>
    </row>
    <row r="2786" spans="1:47">
      <c r="A2786" s="1">
        <f>HYPERLINK("https://cms.ls-nyc.org/matter/dynamic-profile/view/1885019","18-1885019")</f>
        <v>0</v>
      </c>
      <c r="B2786" t="s">
        <v>80</v>
      </c>
      <c r="C2786" t="s">
        <v>269</v>
      </c>
      <c r="E2786" t="s">
        <v>1816</v>
      </c>
      <c r="F2786" t="s">
        <v>3405</v>
      </c>
      <c r="G2786" t="s">
        <v>3871</v>
      </c>
      <c r="H2786" t="s">
        <v>5465</v>
      </c>
      <c r="I2786" t="s">
        <v>6043</v>
      </c>
      <c r="J2786">
        <v>11213</v>
      </c>
      <c r="K2786" t="s">
        <v>6074</v>
      </c>
      <c r="L2786" t="s">
        <v>6074</v>
      </c>
      <c r="N2786" t="s">
        <v>7279</v>
      </c>
      <c r="O2786" t="s">
        <v>7311</v>
      </c>
      <c r="Q2786" t="s">
        <v>7322</v>
      </c>
      <c r="R2786" t="s">
        <v>6074</v>
      </c>
      <c r="S2786" t="s">
        <v>7324</v>
      </c>
      <c r="U2786" t="s">
        <v>312</v>
      </c>
      <c r="V2786">
        <v>693</v>
      </c>
      <c r="W2786" t="s">
        <v>7362</v>
      </c>
      <c r="X2786" t="s">
        <v>7381</v>
      </c>
      <c r="Z2786" t="s">
        <v>9472</v>
      </c>
      <c r="AB2786" t="s">
        <v>12130</v>
      </c>
      <c r="AC2786">
        <v>19</v>
      </c>
      <c r="AD2786" t="s">
        <v>12422</v>
      </c>
      <c r="AE2786" t="s">
        <v>6110</v>
      </c>
      <c r="AF2786">
        <v>20</v>
      </c>
      <c r="AG2786">
        <v>2</v>
      </c>
      <c r="AH2786">
        <v>1</v>
      </c>
      <c r="AI2786">
        <v>240.62</v>
      </c>
      <c r="AL2786" t="s">
        <v>12460</v>
      </c>
      <c r="AM2786">
        <v>50000</v>
      </c>
      <c r="AS2786">
        <v>0</v>
      </c>
      <c r="AU2786" t="s">
        <v>180</v>
      </c>
    </row>
    <row r="2787" spans="1:47">
      <c r="A2787" s="1">
        <f>HYPERLINK("https://cms.ls-nyc.org/matter/dynamic-profile/view/1876080","18-1876080")</f>
        <v>0</v>
      </c>
      <c r="B2787" t="s">
        <v>80</v>
      </c>
      <c r="C2787" t="s">
        <v>372</v>
      </c>
      <c r="E2787" t="s">
        <v>1816</v>
      </c>
      <c r="F2787" t="s">
        <v>3405</v>
      </c>
      <c r="G2787" t="s">
        <v>3871</v>
      </c>
      <c r="H2787" t="s">
        <v>5465</v>
      </c>
      <c r="I2787" t="s">
        <v>6043</v>
      </c>
      <c r="J2787">
        <v>11213</v>
      </c>
      <c r="K2787" t="s">
        <v>6074</v>
      </c>
      <c r="L2787" t="s">
        <v>6074</v>
      </c>
      <c r="M2787" t="s">
        <v>6397</v>
      </c>
      <c r="N2787" t="s">
        <v>7273</v>
      </c>
      <c r="O2787" t="s">
        <v>7308</v>
      </c>
      <c r="Q2787" t="s">
        <v>7322</v>
      </c>
      <c r="R2787" t="s">
        <v>6074</v>
      </c>
      <c r="S2787" t="s">
        <v>7324</v>
      </c>
      <c r="U2787" t="s">
        <v>312</v>
      </c>
      <c r="V2787">
        <v>693</v>
      </c>
      <c r="W2787" t="s">
        <v>7362</v>
      </c>
      <c r="X2787" t="s">
        <v>7381</v>
      </c>
      <c r="Z2787" t="s">
        <v>9472</v>
      </c>
      <c r="AB2787" t="s">
        <v>12130</v>
      </c>
      <c r="AC2787">
        <v>19</v>
      </c>
      <c r="AD2787" t="s">
        <v>12422</v>
      </c>
      <c r="AE2787" t="s">
        <v>6110</v>
      </c>
      <c r="AF2787">
        <v>20</v>
      </c>
      <c r="AG2787">
        <v>2</v>
      </c>
      <c r="AH2787">
        <v>1</v>
      </c>
      <c r="AI2787">
        <v>240.62</v>
      </c>
      <c r="AL2787" t="s">
        <v>12460</v>
      </c>
      <c r="AM2787">
        <v>50000</v>
      </c>
      <c r="AS2787">
        <v>0</v>
      </c>
      <c r="AU2787" t="s">
        <v>148</v>
      </c>
    </row>
    <row r="2788" spans="1:47">
      <c r="A2788" s="1">
        <f>HYPERLINK("https://cms.ls-nyc.org/matter/dynamic-profile/view/1885016","18-1885016")</f>
        <v>0</v>
      </c>
      <c r="B2788" t="s">
        <v>80</v>
      </c>
      <c r="C2788" t="s">
        <v>269</v>
      </c>
      <c r="D2788" t="s">
        <v>310</v>
      </c>
      <c r="E2788" t="s">
        <v>1816</v>
      </c>
      <c r="F2788" t="s">
        <v>3405</v>
      </c>
      <c r="G2788" t="s">
        <v>3871</v>
      </c>
      <c r="H2788" t="s">
        <v>5465</v>
      </c>
      <c r="I2788" t="s">
        <v>6043</v>
      </c>
      <c r="J2788">
        <v>11213</v>
      </c>
      <c r="K2788" t="s">
        <v>6074</v>
      </c>
      <c r="L2788" t="s">
        <v>6074</v>
      </c>
      <c r="N2788" t="s">
        <v>7275</v>
      </c>
      <c r="O2788" t="s">
        <v>7307</v>
      </c>
      <c r="P2788" t="s">
        <v>7315</v>
      </c>
      <c r="Q2788" t="s">
        <v>7322</v>
      </c>
      <c r="R2788" t="s">
        <v>6074</v>
      </c>
      <c r="S2788" t="s">
        <v>7324</v>
      </c>
      <c r="U2788" t="s">
        <v>312</v>
      </c>
      <c r="V2788">
        <v>693</v>
      </c>
      <c r="W2788" t="s">
        <v>7362</v>
      </c>
      <c r="X2788" t="s">
        <v>7381</v>
      </c>
      <c r="Y2788" t="s">
        <v>7394</v>
      </c>
      <c r="Z2788" t="s">
        <v>9472</v>
      </c>
      <c r="AB2788" t="s">
        <v>12130</v>
      </c>
      <c r="AC2788">
        <v>19</v>
      </c>
      <c r="AD2788" t="s">
        <v>12422</v>
      </c>
      <c r="AE2788" t="s">
        <v>6110</v>
      </c>
      <c r="AF2788">
        <v>20</v>
      </c>
      <c r="AG2788">
        <v>2</v>
      </c>
      <c r="AH2788">
        <v>1</v>
      </c>
      <c r="AI2788">
        <v>240.62</v>
      </c>
      <c r="AL2788" t="s">
        <v>12460</v>
      </c>
      <c r="AM2788">
        <v>50000</v>
      </c>
      <c r="AS2788">
        <v>0.08</v>
      </c>
      <c r="AT2788" t="s">
        <v>390</v>
      </c>
      <c r="AU2788" t="s">
        <v>180</v>
      </c>
    </row>
    <row r="2789" spans="1:47">
      <c r="A2789" s="1">
        <f>HYPERLINK("https://cms.ls-nyc.org/matter/dynamic-profile/view/1888002","19-1888002")</f>
        <v>0</v>
      </c>
      <c r="B2789" t="s">
        <v>128</v>
      </c>
      <c r="C2789" t="s">
        <v>390</v>
      </c>
      <c r="E2789" t="s">
        <v>1160</v>
      </c>
      <c r="F2789" t="s">
        <v>1457</v>
      </c>
      <c r="G2789" t="s">
        <v>3934</v>
      </c>
      <c r="H2789">
        <v>1</v>
      </c>
      <c r="I2789" t="s">
        <v>6049</v>
      </c>
      <c r="J2789">
        <v>10034</v>
      </c>
      <c r="K2789" t="s">
        <v>6074</v>
      </c>
      <c r="L2789" t="s">
        <v>6074</v>
      </c>
      <c r="M2789" t="s">
        <v>6500</v>
      </c>
      <c r="N2789" t="s">
        <v>7273</v>
      </c>
      <c r="O2789" t="s">
        <v>7308</v>
      </c>
      <c r="Q2789" t="s">
        <v>7322</v>
      </c>
      <c r="R2789" t="s">
        <v>6074</v>
      </c>
      <c r="S2789" t="s">
        <v>7324</v>
      </c>
      <c r="U2789" t="s">
        <v>390</v>
      </c>
      <c r="V2789">
        <v>1679</v>
      </c>
      <c r="W2789" t="s">
        <v>7365</v>
      </c>
      <c r="X2789" t="s">
        <v>7367</v>
      </c>
      <c r="Z2789" t="s">
        <v>9501</v>
      </c>
      <c r="AB2789" t="s">
        <v>12152</v>
      </c>
      <c r="AC2789">
        <v>25</v>
      </c>
      <c r="AD2789" t="s">
        <v>12422</v>
      </c>
      <c r="AE2789" t="s">
        <v>6110</v>
      </c>
      <c r="AF2789">
        <v>9</v>
      </c>
      <c r="AG2789">
        <v>2</v>
      </c>
      <c r="AH2789">
        <v>1</v>
      </c>
      <c r="AI2789">
        <v>240.62</v>
      </c>
      <c r="AL2789" t="s">
        <v>12460</v>
      </c>
      <c r="AM2789">
        <v>50000</v>
      </c>
      <c r="AS2789">
        <v>0.6</v>
      </c>
      <c r="AT2789" t="s">
        <v>252</v>
      </c>
      <c r="AU2789" t="s">
        <v>13106</v>
      </c>
    </row>
    <row r="2790" spans="1:47">
      <c r="A2790" s="1">
        <f>HYPERLINK("https://cms.ls-nyc.org/matter/dynamic-profile/view/1873837","18-1873837")</f>
        <v>0</v>
      </c>
      <c r="B2790" t="s">
        <v>130</v>
      </c>
      <c r="C2790" t="s">
        <v>402</v>
      </c>
      <c r="E2790" t="s">
        <v>1095</v>
      </c>
      <c r="F2790" t="s">
        <v>2175</v>
      </c>
      <c r="G2790" t="s">
        <v>3842</v>
      </c>
      <c r="H2790" t="s">
        <v>5939</v>
      </c>
      <c r="I2790" t="s">
        <v>6049</v>
      </c>
      <c r="J2790">
        <v>10033</v>
      </c>
      <c r="K2790" t="s">
        <v>6074</v>
      </c>
      <c r="L2790" t="s">
        <v>6074</v>
      </c>
      <c r="N2790" t="s">
        <v>7273</v>
      </c>
      <c r="O2790" t="s">
        <v>7307</v>
      </c>
      <c r="Q2790" t="s">
        <v>7322</v>
      </c>
      <c r="R2790" t="s">
        <v>6074</v>
      </c>
      <c r="S2790" t="s">
        <v>7324</v>
      </c>
      <c r="U2790" t="s">
        <v>402</v>
      </c>
      <c r="V2790">
        <v>1431.7</v>
      </c>
      <c r="W2790" t="s">
        <v>7365</v>
      </c>
      <c r="X2790" t="s">
        <v>7375</v>
      </c>
      <c r="Z2790" t="s">
        <v>9129</v>
      </c>
      <c r="AB2790" t="s">
        <v>12153</v>
      </c>
      <c r="AC2790">
        <v>232</v>
      </c>
      <c r="AD2790" t="s">
        <v>12422</v>
      </c>
      <c r="AE2790" t="s">
        <v>6110</v>
      </c>
      <c r="AF2790">
        <v>24</v>
      </c>
      <c r="AG2790">
        <v>3</v>
      </c>
      <c r="AH2790">
        <v>0</v>
      </c>
      <c r="AI2790">
        <v>241.1</v>
      </c>
      <c r="AL2790" t="s">
        <v>12460</v>
      </c>
      <c r="AM2790">
        <v>50100</v>
      </c>
      <c r="AS2790">
        <v>24</v>
      </c>
      <c r="AT2790" t="s">
        <v>496</v>
      </c>
      <c r="AU2790" t="s">
        <v>13106</v>
      </c>
    </row>
    <row r="2791" spans="1:47">
      <c r="A2791" s="1">
        <f>HYPERLINK("https://cms.ls-nyc.org/matter/dynamic-profile/view/1877136","18-1877136")</f>
        <v>0</v>
      </c>
      <c r="B2791" t="s">
        <v>171</v>
      </c>
      <c r="C2791" t="s">
        <v>255</v>
      </c>
      <c r="D2791" t="s">
        <v>346</v>
      </c>
      <c r="E2791" t="s">
        <v>1879</v>
      </c>
      <c r="F2791" t="s">
        <v>3387</v>
      </c>
      <c r="G2791" t="s">
        <v>4498</v>
      </c>
      <c r="H2791" t="s">
        <v>5940</v>
      </c>
      <c r="I2791" t="s">
        <v>6043</v>
      </c>
      <c r="J2791">
        <v>11233</v>
      </c>
      <c r="K2791" t="s">
        <v>6074</v>
      </c>
      <c r="L2791" t="s">
        <v>6074</v>
      </c>
      <c r="M2791" t="s">
        <v>7182</v>
      </c>
      <c r="N2791" t="s">
        <v>7274</v>
      </c>
      <c r="O2791" t="s">
        <v>7308</v>
      </c>
      <c r="P2791" t="s">
        <v>7316</v>
      </c>
      <c r="Q2791" t="s">
        <v>7322</v>
      </c>
      <c r="R2791" t="s">
        <v>6074</v>
      </c>
      <c r="S2791" t="s">
        <v>7324</v>
      </c>
      <c r="T2791" t="s">
        <v>7336</v>
      </c>
      <c r="U2791" t="s">
        <v>255</v>
      </c>
      <c r="V2791">
        <v>594.33</v>
      </c>
      <c r="W2791" t="s">
        <v>7362</v>
      </c>
      <c r="X2791" t="s">
        <v>7305</v>
      </c>
      <c r="Y2791" t="s">
        <v>7388</v>
      </c>
      <c r="Z2791" t="s">
        <v>9502</v>
      </c>
      <c r="AB2791" t="s">
        <v>12154</v>
      </c>
      <c r="AC2791">
        <v>6</v>
      </c>
      <c r="AD2791" t="s">
        <v>12422</v>
      </c>
      <c r="AF2791">
        <v>42</v>
      </c>
      <c r="AG2791">
        <v>2</v>
      </c>
      <c r="AH2791">
        <v>1</v>
      </c>
      <c r="AI2791">
        <v>241.83</v>
      </c>
      <c r="AL2791" t="s">
        <v>12460</v>
      </c>
      <c r="AM2791">
        <v>50252.28</v>
      </c>
      <c r="AS2791">
        <v>6</v>
      </c>
      <c r="AT2791" t="s">
        <v>346</v>
      </c>
      <c r="AU2791" t="s">
        <v>171</v>
      </c>
    </row>
    <row r="2792" spans="1:47">
      <c r="A2792" s="1">
        <f>HYPERLINK("https://cms.ls-nyc.org/matter/dynamic-profile/view/1886105","18-1886105")</f>
        <v>0</v>
      </c>
      <c r="B2792" t="s">
        <v>126</v>
      </c>
      <c r="C2792" t="s">
        <v>326</v>
      </c>
      <c r="E2792" t="s">
        <v>665</v>
      </c>
      <c r="F2792" t="s">
        <v>2522</v>
      </c>
      <c r="G2792" t="s">
        <v>4870</v>
      </c>
      <c r="H2792">
        <v>4</v>
      </c>
      <c r="I2792" t="s">
        <v>6049</v>
      </c>
      <c r="J2792">
        <v>10029</v>
      </c>
      <c r="K2792" t="s">
        <v>6074</v>
      </c>
      <c r="L2792" t="s">
        <v>6074</v>
      </c>
      <c r="M2792" t="s">
        <v>6937</v>
      </c>
      <c r="N2792" t="s">
        <v>7273</v>
      </c>
      <c r="O2792" t="s">
        <v>7308</v>
      </c>
      <c r="Q2792" t="s">
        <v>7322</v>
      </c>
      <c r="R2792" t="s">
        <v>6074</v>
      </c>
      <c r="S2792" t="s">
        <v>7324</v>
      </c>
      <c r="T2792" t="s">
        <v>7336</v>
      </c>
      <c r="U2792" t="s">
        <v>326</v>
      </c>
      <c r="V2792">
        <v>1081</v>
      </c>
      <c r="W2792" t="s">
        <v>7365</v>
      </c>
      <c r="X2792" t="s">
        <v>7375</v>
      </c>
      <c r="Z2792" t="s">
        <v>9503</v>
      </c>
      <c r="AB2792" t="s">
        <v>12155</v>
      </c>
      <c r="AC2792">
        <v>6</v>
      </c>
      <c r="AD2792" t="s">
        <v>12422</v>
      </c>
      <c r="AE2792" t="s">
        <v>6110</v>
      </c>
      <c r="AF2792">
        <v>21</v>
      </c>
      <c r="AG2792">
        <v>2</v>
      </c>
      <c r="AH2792">
        <v>2</v>
      </c>
      <c r="AI2792">
        <v>242.07</v>
      </c>
      <c r="AL2792" t="s">
        <v>12460</v>
      </c>
      <c r="AM2792">
        <v>60760</v>
      </c>
      <c r="AS2792">
        <v>0.5</v>
      </c>
      <c r="AT2792" t="s">
        <v>314</v>
      </c>
      <c r="AU2792" t="s">
        <v>13107</v>
      </c>
    </row>
    <row r="2793" spans="1:47">
      <c r="A2793" s="1">
        <f>HYPERLINK("https://cms.ls-nyc.org/matter/dynamic-profile/view/1891677","19-1891677")</f>
        <v>0</v>
      </c>
      <c r="B2793" t="s">
        <v>96</v>
      </c>
      <c r="C2793" t="s">
        <v>364</v>
      </c>
      <c r="E2793" t="s">
        <v>1761</v>
      </c>
      <c r="F2793" t="s">
        <v>2279</v>
      </c>
      <c r="G2793" t="s">
        <v>3792</v>
      </c>
      <c r="H2793" t="s">
        <v>5861</v>
      </c>
      <c r="I2793" t="s">
        <v>6047</v>
      </c>
      <c r="J2793">
        <v>10453</v>
      </c>
      <c r="K2793" t="s">
        <v>6074</v>
      </c>
      <c r="L2793" t="s">
        <v>6074</v>
      </c>
      <c r="M2793" t="s">
        <v>6259</v>
      </c>
      <c r="N2793" t="s">
        <v>7273</v>
      </c>
      <c r="O2793" t="s">
        <v>7308</v>
      </c>
      <c r="Q2793" t="s">
        <v>7322</v>
      </c>
      <c r="R2793" t="s">
        <v>6074</v>
      </c>
      <c r="S2793" t="s">
        <v>7324</v>
      </c>
      <c r="U2793" t="s">
        <v>457</v>
      </c>
      <c r="V2793">
        <v>1233</v>
      </c>
      <c r="W2793" t="s">
        <v>7363</v>
      </c>
      <c r="X2793" t="s">
        <v>7375</v>
      </c>
      <c r="Z2793" t="s">
        <v>9166</v>
      </c>
      <c r="AB2793" t="s">
        <v>11942</v>
      </c>
      <c r="AC2793">
        <v>172</v>
      </c>
      <c r="AD2793" t="s">
        <v>12422</v>
      </c>
      <c r="AE2793" t="s">
        <v>6110</v>
      </c>
      <c r="AF2793">
        <v>4</v>
      </c>
      <c r="AG2793">
        <v>4</v>
      </c>
      <c r="AH2793">
        <v>0</v>
      </c>
      <c r="AI2793">
        <v>242.33</v>
      </c>
      <c r="AL2793" t="s">
        <v>12461</v>
      </c>
      <c r="AM2793">
        <v>62400</v>
      </c>
      <c r="AS2793">
        <v>0</v>
      </c>
      <c r="AU2793" t="s">
        <v>13093</v>
      </c>
    </row>
    <row r="2794" spans="1:47">
      <c r="A2794" s="1">
        <f>HYPERLINK("https://cms.ls-nyc.org/matter/dynamic-profile/view/1873125","18-1873125")</f>
        <v>0</v>
      </c>
      <c r="B2794" t="s">
        <v>71</v>
      </c>
      <c r="C2794" t="s">
        <v>289</v>
      </c>
      <c r="E2794" t="s">
        <v>1880</v>
      </c>
      <c r="F2794" t="s">
        <v>646</v>
      </c>
      <c r="G2794" t="s">
        <v>5210</v>
      </c>
      <c r="H2794" t="s">
        <v>5874</v>
      </c>
      <c r="I2794" t="s">
        <v>6043</v>
      </c>
      <c r="J2794">
        <v>11233</v>
      </c>
      <c r="K2794" t="s">
        <v>6074</v>
      </c>
      <c r="L2794" t="s">
        <v>6074</v>
      </c>
      <c r="M2794" t="s">
        <v>7183</v>
      </c>
      <c r="N2794" t="s">
        <v>7274</v>
      </c>
      <c r="O2794" t="s">
        <v>7308</v>
      </c>
      <c r="Q2794" t="s">
        <v>7322</v>
      </c>
      <c r="R2794" t="s">
        <v>6076</v>
      </c>
      <c r="S2794" t="s">
        <v>7324</v>
      </c>
      <c r="U2794" t="s">
        <v>447</v>
      </c>
      <c r="V2794">
        <v>1029.2</v>
      </c>
      <c r="W2794" t="s">
        <v>7362</v>
      </c>
      <c r="X2794" t="s">
        <v>7367</v>
      </c>
      <c r="Z2794" t="s">
        <v>9504</v>
      </c>
      <c r="AB2794" t="s">
        <v>12156</v>
      </c>
      <c r="AC2794">
        <v>151</v>
      </c>
      <c r="AD2794" t="s">
        <v>12422</v>
      </c>
      <c r="AE2794" t="s">
        <v>6110</v>
      </c>
      <c r="AF2794">
        <v>10</v>
      </c>
      <c r="AG2794">
        <v>1</v>
      </c>
      <c r="AH2794">
        <v>1</v>
      </c>
      <c r="AI2794">
        <v>243.01</v>
      </c>
      <c r="AJ2794" t="s">
        <v>492</v>
      </c>
      <c r="AK2794" t="s">
        <v>12456</v>
      </c>
      <c r="AL2794" t="s">
        <v>12460</v>
      </c>
      <c r="AM2794">
        <v>40000</v>
      </c>
      <c r="AS2794">
        <v>50.5</v>
      </c>
      <c r="AT2794" t="s">
        <v>379</v>
      </c>
      <c r="AU2794" t="s">
        <v>218</v>
      </c>
    </row>
    <row r="2795" spans="1:47">
      <c r="A2795" s="1">
        <f>HYPERLINK("https://cms.ls-nyc.org/matter/dynamic-profile/view/1878601","18-1878601")</f>
        <v>0</v>
      </c>
      <c r="B2795" t="s">
        <v>80</v>
      </c>
      <c r="C2795" t="s">
        <v>299</v>
      </c>
      <c r="E2795" t="s">
        <v>751</v>
      </c>
      <c r="F2795" t="s">
        <v>1424</v>
      </c>
      <c r="G2795" t="s">
        <v>4354</v>
      </c>
      <c r="H2795" t="s">
        <v>5387</v>
      </c>
      <c r="I2795" t="s">
        <v>6043</v>
      </c>
      <c r="J2795">
        <v>11221</v>
      </c>
      <c r="K2795" t="s">
        <v>6074</v>
      </c>
      <c r="L2795" t="s">
        <v>6074</v>
      </c>
      <c r="N2795" t="s">
        <v>7279</v>
      </c>
      <c r="O2795" t="s">
        <v>7311</v>
      </c>
      <c r="Q2795" t="s">
        <v>7322</v>
      </c>
      <c r="S2795" t="s">
        <v>7324</v>
      </c>
      <c r="U2795" t="s">
        <v>480</v>
      </c>
      <c r="V2795">
        <v>880.65</v>
      </c>
      <c r="W2795" t="s">
        <v>7362</v>
      </c>
      <c r="X2795" t="s">
        <v>7376</v>
      </c>
      <c r="Z2795" t="s">
        <v>9482</v>
      </c>
      <c r="AB2795" t="s">
        <v>12137</v>
      </c>
      <c r="AC2795">
        <v>12</v>
      </c>
      <c r="AD2795" t="s">
        <v>12422</v>
      </c>
      <c r="AE2795" t="s">
        <v>6110</v>
      </c>
      <c r="AF2795">
        <v>17</v>
      </c>
      <c r="AG2795">
        <v>1</v>
      </c>
      <c r="AH2795">
        <v>1</v>
      </c>
      <c r="AI2795">
        <v>243.01</v>
      </c>
      <c r="AL2795" t="s">
        <v>12460</v>
      </c>
      <c r="AM2795">
        <v>40000</v>
      </c>
      <c r="AN2795" t="s">
        <v>12738</v>
      </c>
      <c r="AS2795">
        <v>6.5</v>
      </c>
      <c r="AT2795" t="s">
        <v>451</v>
      </c>
      <c r="AU2795" t="s">
        <v>218</v>
      </c>
    </row>
    <row r="2796" spans="1:47">
      <c r="A2796" s="1">
        <f>HYPERLINK("https://cms.ls-nyc.org/matter/dynamic-profile/view/1878609","18-1878609")</f>
        <v>0</v>
      </c>
      <c r="B2796" t="s">
        <v>80</v>
      </c>
      <c r="C2796" t="s">
        <v>299</v>
      </c>
      <c r="E2796" t="s">
        <v>751</v>
      </c>
      <c r="F2796" t="s">
        <v>1424</v>
      </c>
      <c r="G2796" t="s">
        <v>4354</v>
      </c>
      <c r="H2796" t="s">
        <v>5387</v>
      </c>
      <c r="I2796" t="s">
        <v>6043</v>
      </c>
      <c r="J2796">
        <v>11221</v>
      </c>
      <c r="K2796" t="s">
        <v>6074</v>
      </c>
      <c r="L2796" t="s">
        <v>6074</v>
      </c>
      <c r="N2796" t="s">
        <v>7273</v>
      </c>
      <c r="O2796" t="s">
        <v>7308</v>
      </c>
      <c r="Q2796" t="s">
        <v>7322</v>
      </c>
      <c r="S2796" t="s">
        <v>7324</v>
      </c>
      <c r="U2796" t="s">
        <v>480</v>
      </c>
      <c r="V2796">
        <v>880.65</v>
      </c>
      <c r="W2796" t="s">
        <v>7362</v>
      </c>
      <c r="X2796" t="s">
        <v>7376</v>
      </c>
      <c r="Z2796" t="s">
        <v>9482</v>
      </c>
      <c r="AB2796" t="s">
        <v>12137</v>
      </c>
      <c r="AC2796">
        <v>12</v>
      </c>
      <c r="AD2796" t="s">
        <v>12422</v>
      </c>
      <c r="AE2796" t="s">
        <v>6110</v>
      </c>
      <c r="AF2796">
        <v>17</v>
      </c>
      <c r="AG2796">
        <v>1</v>
      </c>
      <c r="AH2796">
        <v>1</v>
      </c>
      <c r="AI2796">
        <v>243.01</v>
      </c>
      <c r="AL2796" t="s">
        <v>12460</v>
      </c>
      <c r="AM2796">
        <v>40000</v>
      </c>
      <c r="AN2796" t="s">
        <v>12738</v>
      </c>
      <c r="AS2796">
        <v>12.08</v>
      </c>
      <c r="AT2796" t="s">
        <v>313</v>
      </c>
      <c r="AU2796" t="s">
        <v>218</v>
      </c>
    </row>
    <row r="2797" spans="1:47">
      <c r="A2797" s="1">
        <f>HYPERLINK("https://cms.ls-nyc.org/matter/dynamic-profile/view/1876272","18-1876272")</f>
        <v>0</v>
      </c>
      <c r="B2797" t="s">
        <v>80</v>
      </c>
      <c r="C2797" t="s">
        <v>253</v>
      </c>
      <c r="D2797" t="s">
        <v>396</v>
      </c>
      <c r="E2797" t="s">
        <v>751</v>
      </c>
      <c r="F2797" t="s">
        <v>1424</v>
      </c>
      <c r="G2797" t="s">
        <v>4354</v>
      </c>
      <c r="H2797" t="s">
        <v>5387</v>
      </c>
      <c r="I2797" t="s">
        <v>6043</v>
      </c>
      <c r="J2797">
        <v>11221</v>
      </c>
      <c r="K2797" t="s">
        <v>6074</v>
      </c>
      <c r="L2797" t="s">
        <v>6074</v>
      </c>
      <c r="O2797" t="s">
        <v>7307</v>
      </c>
      <c r="P2797" t="s">
        <v>7315</v>
      </c>
      <c r="Q2797" t="s">
        <v>7322</v>
      </c>
      <c r="S2797" t="s">
        <v>7324</v>
      </c>
      <c r="U2797" t="s">
        <v>480</v>
      </c>
      <c r="V2797">
        <v>880.65</v>
      </c>
      <c r="W2797" t="s">
        <v>7362</v>
      </c>
      <c r="X2797" t="s">
        <v>7376</v>
      </c>
      <c r="Y2797" t="s">
        <v>7400</v>
      </c>
      <c r="Z2797" t="s">
        <v>9482</v>
      </c>
      <c r="AB2797" t="s">
        <v>12137</v>
      </c>
      <c r="AC2797">
        <v>12</v>
      </c>
      <c r="AD2797" t="s">
        <v>12422</v>
      </c>
      <c r="AE2797" t="s">
        <v>6110</v>
      </c>
      <c r="AF2797">
        <v>17</v>
      </c>
      <c r="AG2797">
        <v>1</v>
      </c>
      <c r="AH2797">
        <v>1</v>
      </c>
      <c r="AI2797">
        <v>243.01</v>
      </c>
      <c r="AL2797" t="s">
        <v>12460</v>
      </c>
      <c r="AM2797">
        <v>40000</v>
      </c>
      <c r="AS2797">
        <v>3</v>
      </c>
      <c r="AT2797" t="s">
        <v>273</v>
      </c>
      <c r="AU2797" t="s">
        <v>218</v>
      </c>
    </row>
    <row r="2798" spans="1:47">
      <c r="A2798" s="1">
        <f>HYPERLINK("https://cms.ls-nyc.org/matter/dynamic-profile/view/1876634","18-1876634")</f>
        <v>0</v>
      </c>
      <c r="B2798" t="s">
        <v>101</v>
      </c>
      <c r="C2798" t="s">
        <v>243</v>
      </c>
      <c r="E2798" t="s">
        <v>1881</v>
      </c>
      <c r="F2798" t="s">
        <v>2360</v>
      </c>
      <c r="G2798" t="s">
        <v>3939</v>
      </c>
      <c r="H2798" t="s">
        <v>5511</v>
      </c>
      <c r="I2798" t="s">
        <v>6047</v>
      </c>
      <c r="J2798">
        <v>10456</v>
      </c>
      <c r="K2798" t="s">
        <v>6074</v>
      </c>
      <c r="L2798" t="s">
        <v>6074</v>
      </c>
      <c r="M2798" t="s">
        <v>6287</v>
      </c>
      <c r="N2798" t="s">
        <v>7273</v>
      </c>
      <c r="O2798" t="s">
        <v>7308</v>
      </c>
      <c r="Q2798" t="s">
        <v>7322</v>
      </c>
      <c r="R2798" t="s">
        <v>6074</v>
      </c>
      <c r="S2798" t="s">
        <v>7324</v>
      </c>
      <c r="U2798" t="s">
        <v>243</v>
      </c>
      <c r="V2798">
        <v>980</v>
      </c>
      <c r="W2798" t="s">
        <v>7363</v>
      </c>
      <c r="X2798" t="s">
        <v>7376</v>
      </c>
      <c r="Z2798" t="s">
        <v>9505</v>
      </c>
      <c r="AB2798" t="s">
        <v>12157</v>
      </c>
      <c r="AC2798">
        <v>131</v>
      </c>
      <c r="AD2798" t="s">
        <v>12422</v>
      </c>
      <c r="AE2798" t="s">
        <v>6110</v>
      </c>
      <c r="AF2798">
        <v>4</v>
      </c>
      <c r="AG2798">
        <v>2</v>
      </c>
      <c r="AH2798">
        <v>0</v>
      </c>
      <c r="AI2798">
        <v>243.01</v>
      </c>
      <c r="AL2798" t="s">
        <v>12460</v>
      </c>
      <c r="AM2798">
        <v>40000</v>
      </c>
      <c r="AS2798">
        <v>0</v>
      </c>
      <c r="AU2798" t="s">
        <v>13095</v>
      </c>
    </row>
    <row r="2799" spans="1:47">
      <c r="A2799" s="1">
        <f>HYPERLINK("https://cms.ls-nyc.org/matter/dynamic-profile/view/1887945","19-1887945")</f>
        <v>0</v>
      </c>
      <c r="B2799" t="s">
        <v>128</v>
      </c>
      <c r="C2799" t="s">
        <v>390</v>
      </c>
      <c r="E2799" t="s">
        <v>1882</v>
      </c>
      <c r="F2799" t="s">
        <v>2633</v>
      </c>
      <c r="G2799" t="s">
        <v>3934</v>
      </c>
      <c r="H2799">
        <v>3</v>
      </c>
      <c r="I2799" t="s">
        <v>6049</v>
      </c>
      <c r="J2799">
        <v>10034</v>
      </c>
      <c r="K2799" t="s">
        <v>6074</v>
      </c>
      <c r="L2799" t="s">
        <v>6074</v>
      </c>
      <c r="M2799" t="s">
        <v>6500</v>
      </c>
      <c r="N2799" t="s">
        <v>7273</v>
      </c>
      <c r="O2799" t="s">
        <v>7308</v>
      </c>
      <c r="Q2799" t="s">
        <v>7322</v>
      </c>
      <c r="R2799" t="s">
        <v>6074</v>
      </c>
      <c r="S2799" t="s">
        <v>7324</v>
      </c>
      <c r="U2799" t="s">
        <v>390</v>
      </c>
      <c r="V2799">
        <v>1217</v>
      </c>
      <c r="W2799" t="s">
        <v>7365</v>
      </c>
      <c r="X2799" t="s">
        <v>7367</v>
      </c>
      <c r="Z2799" t="s">
        <v>9506</v>
      </c>
      <c r="AB2799" t="s">
        <v>12158</v>
      </c>
      <c r="AC2799">
        <v>25</v>
      </c>
      <c r="AD2799" t="s">
        <v>12422</v>
      </c>
      <c r="AE2799" t="s">
        <v>6110</v>
      </c>
      <c r="AF2799">
        <v>17</v>
      </c>
      <c r="AG2799">
        <v>2</v>
      </c>
      <c r="AH2799">
        <v>0</v>
      </c>
      <c r="AI2799">
        <v>243.01</v>
      </c>
      <c r="AL2799" t="s">
        <v>12461</v>
      </c>
      <c r="AM2799">
        <v>40000</v>
      </c>
      <c r="AS2799">
        <v>0</v>
      </c>
      <c r="AU2799" t="s">
        <v>13106</v>
      </c>
    </row>
    <row r="2800" spans="1:47">
      <c r="A2800" s="1">
        <f>HYPERLINK("https://cms.ls-nyc.org/matter/dynamic-profile/view/1876353","18-1876353")</f>
        <v>0</v>
      </c>
      <c r="B2800" t="s">
        <v>130</v>
      </c>
      <c r="C2800" t="s">
        <v>253</v>
      </c>
      <c r="E2800" t="s">
        <v>1883</v>
      </c>
      <c r="F2800" t="s">
        <v>3422</v>
      </c>
      <c r="G2800" t="s">
        <v>3842</v>
      </c>
      <c r="H2800" t="s">
        <v>5941</v>
      </c>
      <c r="I2800" t="s">
        <v>6049</v>
      </c>
      <c r="J2800">
        <v>10033</v>
      </c>
      <c r="K2800" t="s">
        <v>6074</v>
      </c>
      <c r="L2800" t="s">
        <v>6074</v>
      </c>
      <c r="N2800" t="s">
        <v>7273</v>
      </c>
      <c r="O2800" t="s">
        <v>7307</v>
      </c>
      <c r="Q2800" t="s">
        <v>7322</v>
      </c>
      <c r="R2800" t="s">
        <v>6074</v>
      </c>
      <c r="S2800" t="s">
        <v>7324</v>
      </c>
      <c r="U2800" t="s">
        <v>253</v>
      </c>
      <c r="V2800">
        <v>1540</v>
      </c>
      <c r="W2800" t="s">
        <v>7365</v>
      </c>
      <c r="X2800" t="s">
        <v>7367</v>
      </c>
      <c r="Z2800" t="s">
        <v>9507</v>
      </c>
      <c r="AB2800" t="s">
        <v>12159</v>
      </c>
      <c r="AC2800">
        <v>232</v>
      </c>
      <c r="AD2800" t="s">
        <v>12422</v>
      </c>
      <c r="AE2800" t="s">
        <v>6110</v>
      </c>
      <c r="AF2800">
        <v>41</v>
      </c>
      <c r="AG2800">
        <v>2</v>
      </c>
      <c r="AH2800">
        <v>0</v>
      </c>
      <c r="AI2800">
        <v>243.01</v>
      </c>
      <c r="AL2800" t="s">
        <v>12460</v>
      </c>
      <c r="AM2800">
        <v>40000</v>
      </c>
      <c r="AS2800">
        <v>1.1</v>
      </c>
      <c r="AT2800" t="s">
        <v>496</v>
      </c>
      <c r="AU2800" t="s">
        <v>13106</v>
      </c>
    </row>
    <row r="2801" spans="1:48">
      <c r="A2801" s="1">
        <f>HYPERLINK("https://cms.ls-nyc.org/matter/dynamic-profile/view/1885655","18-1885655")</f>
        <v>0</v>
      </c>
      <c r="B2801" t="s">
        <v>158</v>
      </c>
      <c r="C2801" t="s">
        <v>266</v>
      </c>
      <c r="D2801" t="s">
        <v>462</v>
      </c>
      <c r="E2801" t="s">
        <v>1884</v>
      </c>
      <c r="F2801" t="s">
        <v>3423</v>
      </c>
      <c r="G2801" t="s">
        <v>3806</v>
      </c>
      <c r="H2801" t="s">
        <v>5942</v>
      </c>
      <c r="I2801" t="s">
        <v>6047</v>
      </c>
      <c r="J2801">
        <v>10452</v>
      </c>
      <c r="K2801" t="s">
        <v>6074</v>
      </c>
      <c r="L2801" t="s">
        <v>6074</v>
      </c>
      <c r="M2801" t="s">
        <v>7184</v>
      </c>
      <c r="N2801" t="s">
        <v>7276</v>
      </c>
      <c r="O2801" t="s">
        <v>7306</v>
      </c>
      <c r="P2801" t="s">
        <v>7314</v>
      </c>
      <c r="Q2801" t="s">
        <v>7322</v>
      </c>
      <c r="R2801" t="s">
        <v>6076</v>
      </c>
      <c r="S2801" t="s">
        <v>7324</v>
      </c>
      <c r="T2801" t="s">
        <v>7338</v>
      </c>
      <c r="U2801" t="s">
        <v>266</v>
      </c>
      <c r="V2801">
        <v>1200</v>
      </c>
      <c r="W2801" t="s">
        <v>7363</v>
      </c>
      <c r="X2801" t="s">
        <v>7367</v>
      </c>
      <c r="Y2801" t="s">
        <v>7386</v>
      </c>
      <c r="Z2801" t="s">
        <v>9508</v>
      </c>
      <c r="AB2801" t="s">
        <v>12160</v>
      </c>
      <c r="AC2801">
        <v>59</v>
      </c>
      <c r="AE2801" t="s">
        <v>6110</v>
      </c>
      <c r="AF2801">
        <v>10</v>
      </c>
      <c r="AG2801">
        <v>2</v>
      </c>
      <c r="AH2801">
        <v>2</v>
      </c>
      <c r="AI2801">
        <v>243.03</v>
      </c>
      <c r="AL2801" t="s">
        <v>12483</v>
      </c>
      <c r="AM2801">
        <v>61000</v>
      </c>
      <c r="AS2801">
        <v>0.8</v>
      </c>
      <c r="AT2801" t="s">
        <v>266</v>
      </c>
      <c r="AU2801" t="s">
        <v>158</v>
      </c>
    </row>
    <row r="2802" spans="1:48">
      <c r="A2802" s="1">
        <f>HYPERLINK("https://cms.ls-nyc.org/matter/dynamic-profile/view/1874324","18-1874324")</f>
        <v>0</v>
      </c>
      <c r="B2802" t="s">
        <v>139</v>
      </c>
      <c r="C2802" t="s">
        <v>471</v>
      </c>
      <c r="D2802" t="s">
        <v>237</v>
      </c>
      <c r="E2802" t="s">
        <v>1421</v>
      </c>
      <c r="F2802" t="s">
        <v>2059</v>
      </c>
      <c r="G2802" t="s">
        <v>5211</v>
      </c>
      <c r="H2802" t="s">
        <v>5418</v>
      </c>
      <c r="I2802" t="s">
        <v>6049</v>
      </c>
      <c r="J2802">
        <v>10032</v>
      </c>
      <c r="K2802" t="s">
        <v>6074</v>
      </c>
      <c r="L2802" t="s">
        <v>6074</v>
      </c>
      <c r="N2802" t="s">
        <v>7273</v>
      </c>
      <c r="O2802" t="s">
        <v>7306</v>
      </c>
      <c r="P2802" t="s">
        <v>7314</v>
      </c>
      <c r="Q2802" t="s">
        <v>7322</v>
      </c>
      <c r="R2802" t="s">
        <v>6076</v>
      </c>
      <c r="S2802" t="s">
        <v>7324</v>
      </c>
      <c r="U2802" t="s">
        <v>471</v>
      </c>
      <c r="V2802">
        <v>457.5</v>
      </c>
      <c r="W2802" t="s">
        <v>7365</v>
      </c>
      <c r="X2802" t="s">
        <v>7367</v>
      </c>
      <c r="Y2802" t="s">
        <v>7386</v>
      </c>
      <c r="Z2802" t="s">
        <v>9509</v>
      </c>
      <c r="AB2802" t="s">
        <v>12161</v>
      </c>
      <c r="AC2802">
        <v>20</v>
      </c>
      <c r="AD2802" t="s">
        <v>12425</v>
      </c>
      <c r="AE2802" t="s">
        <v>6110</v>
      </c>
      <c r="AF2802">
        <v>14</v>
      </c>
      <c r="AG2802">
        <v>2</v>
      </c>
      <c r="AH2802">
        <v>1</v>
      </c>
      <c r="AI2802">
        <v>243.98</v>
      </c>
      <c r="AJ2802" t="s">
        <v>354</v>
      </c>
      <c r="AK2802" t="s">
        <v>12456</v>
      </c>
      <c r="AL2802" t="s">
        <v>12460</v>
      </c>
      <c r="AM2802">
        <v>50700</v>
      </c>
      <c r="AS2802">
        <v>0.3</v>
      </c>
      <c r="AT2802" t="s">
        <v>237</v>
      </c>
      <c r="AU2802" t="s">
        <v>13106</v>
      </c>
    </row>
    <row r="2803" spans="1:48">
      <c r="A2803" s="1">
        <f>HYPERLINK("https://cms.ls-nyc.org/matter/dynamic-profile/view/1883152","18-1883152")</f>
        <v>0</v>
      </c>
      <c r="B2803" t="s">
        <v>70</v>
      </c>
      <c r="C2803" t="s">
        <v>331</v>
      </c>
      <c r="E2803" t="s">
        <v>581</v>
      </c>
      <c r="F2803" t="s">
        <v>3424</v>
      </c>
      <c r="G2803" t="s">
        <v>5212</v>
      </c>
      <c r="H2803" t="s">
        <v>5943</v>
      </c>
      <c r="I2803" t="s">
        <v>6043</v>
      </c>
      <c r="J2803">
        <v>11203</v>
      </c>
      <c r="K2803" t="s">
        <v>6074</v>
      </c>
      <c r="L2803" t="s">
        <v>6074</v>
      </c>
      <c r="M2803" t="s">
        <v>7185</v>
      </c>
      <c r="N2803" t="s">
        <v>7274</v>
      </c>
      <c r="O2803" t="s">
        <v>7308</v>
      </c>
      <c r="Q2803" t="s">
        <v>7322</v>
      </c>
      <c r="R2803" t="s">
        <v>6076</v>
      </c>
      <c r="S2803" t="s">
        <v>7324</v>
      </c>
      <c r="T2803" t="s">
        <v>7340</v>
      </c>
      <c r="U2803" t="s">
        <v>331</v>
      </c>
      <c r="V2803">
        <v>1290.27</v>
      </c>
      <c r="W2803" t="s">
        <v>7362</v>
      </c>
      <c r="X2803" t="s">
        <v>7373</v>
      </c>
      <c r="Z2803" t="s">
        <v>9510</v>
      </c>
      <c r="AB2803" t="s">
        <v>12162</v>
      </c>
      <c r="AC2803">
        <v>103</v>
      </c>
      <c r="AD2803" t="s">
        <v>12422</v>
      </c>
      <c r="AE2803" t="s">
        <v>6110</v>
      </c>
      <c r="AF2803">
        <v>7</v>
      </c>
      <c r="AG2803">
        <v>1</v>
      </c>
      <c r="AH2803">
        <v>1</v>
      </c>
      <c r="AI2803">
        <v>244.45</v>
      </c>
      <c r="AJ2803" t="s">
        <v>492</v>
      </c>
      <c r="AK2803" t="s">
        <v>12456</v>
      </c>
      <c r="AL2803" t="s">
        <v>12460</v>
      </c>
      <c r="AM2803">
        <v>40236</v>
      </c>
      <c r="AO2803" t="s">
        <v>12845</v>
      </c>
      <c r="AS2803">
        <v>66.5</v>
      </c>
      <c r="AT2803" t="s">
        <v>260</v>
      </c>
      <c r="AU2803" t="s">
        <v>69</v>
      </c>
      <c r="AV2803" t="s">
        <v>13145</v>
      </c>
    </row>
    <row r="2804" spans="1:48">
      <c r="A2804" s="1">
        <f>HYPERLINK("https://cms.ls-nyc.org/matter/dynamic-profile/view/1872240","18-1872240")</f>
        <v>0</v>
      </c>
      <c r="B2804" t="s">
        <v>139</v>
      </c>
      <c r="C2804" t="s">
        <v>497</v>
      </c>
      <c r="D2804" t="s">
        <v>290</v>
      </c>
      <c r="E2804" t="s">
        <v>919</v>
      </c>
      <c r="F2804" t="s">
        <v>2189</v>
      </c>
      <c r="G2804" t="s">
        <v>3842</v>
      </c>
      <c r="H2804" t="s">
        <v>5944</v>
      </c>
      <c r="I2804" t="s">
        <v>6049</v>
      </c>
      <c r="J2804">
        <v>10033</v>
      </c>
      <c r="K2804" t="s">
        <v>6074</v>
      </c>
      <c r="L2804" t="s">
        <v>6074</v>
      </c>
      <c r="N2804" t="s">
        <v>7274</v>
      </c>
      <c r="O2804" t="s">
        <v>7306</v>
      </c>
      <c r="P2804" t="s">
        <v>7314</v>
      </c>
      <c r="Q2804" t="s">
        <v>7322</v>
      </c>
      <c r="R2804" t="s">
        <v>6076</v>
      </c>
      <c r="S2804" t="s">
        <v>7324</v>
      </c>
      <c r="U2804" t="s">
        <v>497</v>
      </c>
      <c r="V2804">
        <v>1516.69</v>
      </c>
      <c r="W2804" t="s">
        <v>7365</v>
      </c>
      <c r="X2804" t="s">
        <v>7367</v>
      </c>
      <c r="Y2804" t="s">
        <v>7386</v>
      </c>
      <c r="Z2804" t="s">
        <v>9511</v>
      </c>
      <c r="AB2804" t="s">
        <v>12163</v>
      </c>
      <c r="AC2804">
        <v>232</v>
      </c>
      <c r="AD2804" t="s">
        <v>12422</v>
      </c>
      <c r="AE2804" t="s">
        <v>6110</v>
      </c>
      <c r="AF2804">
        <v>27</v>
      </c>
      <c r="AG2804">
        <v>5</v>
      </c>
      <c r="AH2804">
        <v>0</v>
      </c>
      <c r="AI2804">
        <v>244.73</v>
      </c>
      <c r="AJ2804" t="s">
        <v>354</v>
      </c>
      <c r="AK2804" t="s">
        <v>12456</v>
      </c>
      <c r="AL2804" t="s">
        <v>12461</v>
      </c>
      <c r="AM2804">
        <v>72000</v>
      </c>
      <c r="AS2804">
        <v>3.3</v>
      </c>
      <c r="AT2804" t="s">
        <v>401</v>
      </c>
      <c r="AU2804" t="s">
        <v>13106</v>
      </c>
    </row>
    <row r="2805" spans="1:48">
      <c r="A2805" s="1">
        <f>HYPERLINK("https://cms.ls-nyc.org/matter/dynamic-profile/view/1857079","18-1857079")</f>
        <v>0</v>
      </c>
      <c r="B2805" t="s">
        <v>104</v>
      </c>
      <c r="C2805" t="s">
        <v>507</v>
      </c>
      <c r="E2805" t="s">
        <v>861</v>
      </c>
      <c r="F2805" t="s">
        <v>3425</v>
      </c>
      <c r="G2805" t="s">
        <v>4161</v>
      </c>
      <c r="H2805" t="s">
        <v>5831</v>
      </c>
      <c r="I2805" t="s">
        <v>6047</v>
      </c>
      <c r="J2805">
        <v>10452</v>
      </c>
      <c r="K2805" t="s">
        <v>6074</v>
      </c>
      <c r="L2805" t="s">
        <v>6075</v>
      </c>
      <c r="M2805" t="s">
        <v>6455</v>
      </c>
      <c r="N2805" t="s">
        <v>7285</v>
      </c>
      <c r="O2805" t="s">
        <v>7311</v>
      </c>
      <c r="Q2805" t="s">
        <v>7322</v>
      </c>
      <c r="R2805" t="s">
        <v>6074</v>
      </c>
      <c r="S2805" t="s">
        <v>7324</v>
      </c>
      <c r="U2805" t="s">
        <v>350</v>
      </c>
      <c r="V2805">
        <v>818.46</v>
      </c>
      <c r="W2805" t="s">
        <v>7363</v>
      </c>
      <c r="X2805" t="s">
        <v>7376</v>
      </c>
      <c r="Z2805" t="s">
        <v>7950</v>
      </c>
      <c r="AB2805" t="s">
        <v>12164</v>
      </c>
      <c r="AC2805">
        <v>122</v>
      </c>
      <c r="AD2805" t="s">
        <v>12422</v>
      </c>
      <c r="AE2805" t="s">
        <v>6110</v>
      </c>
      <c r="AF2805">
        <v>25</v>
      </c>
      <c r="AG2805">
        <v>3</v>
      </c>
      <c r="AH2805">
        <v>0</v>
      </c>
      <c r="AI2805">
        <v>244.86</v>
      </c>
      <c r="AL2805" t="s">
        <v>12460</v>
      </c>
      <c r="AM2805">
        <v>100000</v>
      </c>
      <c r="AN2805" t="s">
        <v>12584</v>
      </c>
      <c r="AS2805">
        <v>0</v>
      </c>
      <c r="AU2805" t="s">
        <v>13099</v>
      </c>
    </row>
    <row r="2806" spans="1:48">
      <c r="A2806" s="1">
        <f>HYPERLINK("https://cms.ls-nyc.org/matter/dynamic-profile/view/1877590","18-1877590")</f>
        <v>0</v>
      </c>
      <c r="B2806" t="s">
        <v>68</v>
      </c>
      <c r="C2806" t="s">
        <v>372</v>
      </c>
      <c r="D2806" t="s">
        <v>464</v>
      </c>
      <c r="E2806" t="s">
        <v>1061</v>
      </c>
      <c r="F2806" t="s">
        <v>2287</v>
      </c>
      <c r="G2806" t="s">
        <v>5213</v>
      </c>
      <c r="H2806" t="s">
        <v>5424</v>
      </c>
      <c r="I2806" t="s">
        <v>6043</v>
      </c>
      <c r="J2806">
        <v>11239</v>
      </c>
      <c r="K2806" t="s">
        <v>6074</v>
      </c>
      <c r="L2806" t="s">
        <v>6074</v>
      </c>
      <c r="M2806" t="s">
        <v>7186</v>
      </c>
      <c r="N2806" t="s">
        <v>7276</v>
      </c>
      <c r="O2806" t="s">
        <v>7306</v>
      </c>
      <c r="P2806" t="s">
        <v>7314</v>
      </c>
      <c r="Q2806" t="s">
        <v>7322</v>
      </c>
      <c r="R2806" t="s">
        <v>6076</v>
      </c>
      <c r="S2806" t="s">
        <v>7324</v>
      </c>
      <c r="T2806" t="s">
        <v>7338</v>
      </c>
      <c r="U2806" t="s">
        <v>372</v>
      </c>
      <c r="V2806">
        <v>1518</v>
      </c>
      <c r="W2806" t="s">
        <v>7362</v>
      </c>
      <c r="X2806" t="s">
        <v>7368</v>
      </c>
      <c r="Y2806" t="s">
        <v>7386</v>
      </c>
      <c r="Z2806" t="s">
        <v>9512</v>
      </c>
      <c r="AB2806" t="s">
        <v>12165</v>
      </c>
      <c r="AC2806">
        <v>2229</v>
      </c>
      <c r="AD2806" t="s">
        <v>12420</v>
      </c>
      <c r="AE2806" t="s">
        <v>12434</v>
      </c>
      <c r="AF2806">
        <v>13</v>
      </c>
      <c r="AG2806">
        <v>2</v>
      </c>
      <c r="AH2806">
        <v>1</v>
      </c>
      <c r="AI2806">
        <v>245.43</v>
      </c>
      <c r="AJ2806" t="s">
        <v>12449</v>
      </c>
      <c r="AK2806" t="s">
        <v>12456</v>
      </c>
      <c r="AL2806" t="s">
        <v>12460</v>
      </c>
      <c r="AM2806">
        <v>51000</v>
      </c>
      <c r="AS2806">
        <v>2.5</v>
      </c>
      <c r="AT2806" t="s">
        <v>245</v>
      </c>
      <c r="AU2806" t="s">
        <v>218</v>
      </c>
    </row>
    <row r="2807" spans="1:48">
      <c r="A2807" s="1">
        <f>HYPERLINK("https://cms.ls-nyc.org/matter/dynamic-profile/view/1891654","19-1891654")</f>
        <v>0</v>
      </c>
      <c r="B2807" t="s">
        <v>69</v>
      </c>
      <c r="C2807" t="s">
        <v>364</v>
      </c>
      <c r="D2807" t="s">
        <v>343</v>
      </c>
      <c r="E2807" t="s">
        <v>1885</v>
      </c>
      <c r="F2807" t="s">
        <v>1567</v>
      </c>
      <c r="G2807" t="s">
        <v>5214</v>
      </c>
      <c r="H2807" t="s">
        <v>5876</v>
      </c>
      <c r="I2807" t="s">
        <v>6043</v>
      </c>
      <c r="J2807">
        <v>11217</v>
      </c>
      <c r="K2807" t="s">
        <v>6075</v>
      </c>
      <c r="L2807" t="s">
        <v>6075</v>
      </c>
      <c r="P2807" t="s">
        <v>7314</v>
      </c>
      <c r="Q2807" t="s">
        <v>7322</v>
      </c>
      <c r="S2807" t="s">
        <v>7324</v>
      </c>
      <c r="U2807" t="s">
        <v>364</v>
      </c>
      <c r="V2807">
        <v>0</v>
      </c>
      <c r="W2807" t="s">
        <v>7362</v>
      </c>
      <c r="Y2807" t="s">
        <v>7386</v>
      </c>
      <c r="Z2807" t="s">
        <v>9513</v>
      </c>
      <c r="AB2807" t="s">
        <v>12166</v>
      </c>
      <c r="AC2807">
        <v>0</v>
      </c>
      <c r="AF2807">
        <v>0</v>
      </c>
      <c r="AG2807">
        <v>2</v>
      </c>
      <c r="AH2807">
        <v>4</v>
      </c>
      <c r="AI2807">
        <v>245.74</v>
      </c>
      <c r="AL2807" t="s">
        <v>12460</v>
      </c>
      <c r="AM2807">
        <v>85000</v>
      </c>
      <c r="AS2807">
        <v>3.1</v>
      </c>
      <c r="AT2807" t="s">
        <v>343</v>
      </c>
      <c r="AU2807" t="s">
        <v>69</v>
      </c>
    </row>
    <row r="2808" spans="1:48">
      <c r="A2808" s="1">
        <f>HYPERLINK("https://cms.ls-nyc.org/matter/dynamic-profile/view/1892142","19-1892142")</f>
        <v>0</v>
      </c>
      <c r="B2808" t="s">
        <v>133</v>
      </c>
      <c r="C2808" t="s">
        <v>405</v>
      </c>
      <c r="D2808" t="s">
        <v>356</v>
      </c>
      <c r="E2808" t="s">
        <v>1886</v>
      </c>
      <c r="F2808" t="s">
        <v>2059</v>
      </c>
      <c r="G2808" t="s">
        <v>5215</v>
      </c>
      <c r="H2808">
        <v>10</v>
      </c>
      <c r="I2808" t="s">
        <v>6049</v>
      </c>
      <c r="J2808">
        <v>10034</v>
      </c>
      <c r="K2808" t="s">
        <v>6074</v>
      </c>
      <c r="L2808" t="s">
        <v>6074</v>
      </c>
      <c r="O2808" t="s">
        <v>7306</v>
      </c>
      <c r="P2808" t="s">
        <v>7314</v>
      </c>
      <c r="Q2808" t="s">
        <v>7322</v>
      </c>
      <c r="R2808" t="s">
        <v>6076</v>
      </c>
      <c r="S2808" t="s">
        <v>7324</v>
      </c>
      <c r="U2808" t="s">
        <v>405</v>
      </c>
      <c r="V2808">
        <v>1246.98</v>
      </c>
      <c r="W2808" t="s">
        <v>7365</v>
      </c>
      <c r="X2808" t="s">
        <v>7368</v>
      </c>
      <c r="Y2808" t="s">
        <v>7386</v>
      </c>
      <c r="Z2808" t="s">
        <v>9514</v>
      </c>
      <c r="AB2808" t="s">
        <v>12167</v>
      </c>
      <c r="AC2808">
        <v>0</v>
      </c>
      <c r="AD2808" t="s">
        <v>12422</v>
      </c>
      <c r="AE2808" t="s">
        <v>6110</v>
      </c>
      <c r="AF2808">
        <v>8</v>
      </c>
      <c r="AG2808">
        <v>2</v>
      </c>
      <c r="AH2808">
        <v>0</v>
      </c>
      <c r="AI2808">
        <v>246.75</v>
      </c>
      <c r="AL2808" t="s">
        <v>12461</v>
      </c>
      <c r="AM2808">
        <v>41725.28</v>
      </c>
      <c r="AS2808">
        <v>1.4</v>
      </c>
      <c r="AT2808" t="s">
        <v>356</v>
      </c>
      <c r="AU2808" t="s">
        <v>13106</v>
      </c>
    </row>
    <row r="2809" spans="1:48">
      <c r="A2809" s="1">
        <f>HYPERLINK("https://cms.ls-nyc.org/matter/dynamic-profile/view/1874321","18-1874321")</f>
        <v>0</v>
      </c>
      <c r="B2809" t="s">
        <v>139</v>
      </c>
      <c r="C2809" t="s">
        <v>471</v>
      </c>
      <c r="D2809" t="s">
        <v>399</v>
      </c>
      <c r="E2809" t="s">
        <v>619</v>
      </c>
      <c r="F2809" t="s">
        <v>2174</v>
      </c>
      <c r="G2809" t="s">
        <v>4129</v>
      </c>
      <c r="H2809">
        <v>4</v>
      </c>
      <c r="I2809" t="s">
        <v>6049</v>
      </c>
      <c r="J2809">
        <v>10034</v>
      </c>
      <c r="K2809" t="s">
        <v>6074</v>
      </c>
      <c r="L2809" t="s">
        <v>6074</v>
      </c>
      <c r="M2809" t="s">
        <v>7187</v>
      </c>
      <c r="N2809" t="s">
        <v>7274</v>
      </c>
      <c r="O2809" t="s">
        <v>7307</v>
      </c>
      <c r="P2809" t="s">
        <v>7315</v>
      </c>
      <c r="Q2809" t="s">
        <v>7322</v>
      </c>
      <c r="R2809" t="s">
        <v>6076</v>
      </c>
      <c r="S2809" t="s">
        <v>7324</v>
      </c>
      <c r="U2809" t="s">
        <v>471</v>
      </c>
      <c r="V2809">
        <v>1100</v>
      </c>
      <c r="W2809" t="s">
        <v>7365</v>
      </c>
      <c r="X2809" t="s">
        <v>7367</v>
      </c>
      <c r="Y2809" t="s">
        <v>7387</v>
      </c>
      <c r="Z2809" t="s">
        <v>9515</v>
      </c>
      <c r="AB2809" t="s">
        <v>12168</v>
      </c>
      <c r="AC2809">
        <v>25</v>
      </c>
      <c r="AD2809" t="s">
        <v>12422</v>
      </c>
      <c r="AE2809" t="s">
        <v>6110</v>
      </c>
      <c r="AF2809">
        <v>10</v>
      </c>
      <c r="AG2809">
        <v>3</v>
      </c>
      <c r="AH2809">
        <v>1</v>
      </c>
      <c r="AI2809">
        <v>247.01</v>
      </c>
      <c r="AJ2809" t="s">
        <v>354</v>
      </c>
      <c r="AK2809" t="s">
        <v>12456</v>
      </c>
      <c r="AL2809" t="s">
        <v>12461</v>
      </c>
      <c r="AM2809">
        <v>62000</v>
      </c>
      <c r="AS2809">
        <v>1</v>
      </c>
      <c r="AT2809" t="s">
        <v>262</v>
      </c>
      <c r="AU2809" t="s">
        <v>13106</v>
      </c>
    </row>
    <row r="2810" spans="1:48">
      <c r="A2810" s="1">
        <f>HYPERLINK("https://cms.ls-nyc.org/matter/dynamic-profile/view/1887511","19-1887511")</f>
        <v>0</v>
      </c>
      <c r="B2810" t="s">
        <v>92</v>
      </c>
      <c r="C2810" t="s">
        <v>340</v>
      </c>
      <c r="D2810" t="s">
        <v>472</v>
      </c>
      <c r="E2810" t="s">
        <v>636</v>
      </c>
      <c r="F2810" t="s">
        <v>3426</v>
      </c>
      <c r="G2810" t="s">
        <v>4991</v>
      </c>
      <c r="H2810" t="s">
        <v>5358</v>
      </c>
      <c r="I2810" t="s">
        <v>6043</v>
      </c>
      <c r="J2810">
        <v>11233</v>
      </c>
      <c r="K2810" t="s">
        <v>6074</v>
      </c>
      <c r="L2810" t="s">
        <v>6074</v>
      </c>
      <c r="M2810" t="s">
        <v>7188</v>
      </c>
      <c r="N2810" t="s">
        <v>7279</v>
      </c>
      <c r="O2810" t="s">
        <v>7311</v>
      </c>
      <c r="P2810" t="s">
        <v>7321</v>
      </c>
      <c r="Q2810" t="s">
        <v>7322</v>
      </c>
      <c r="R2810" t="s">
        <v>6074</v>
      </c>
      <c r="S2810" t="s">
        <v>7324</v>
      </c>
      <c r="U2810" t="s">
        <v>7344</v>
      </c>
      <c r="V2810">
        <v>2400</v>
      </c>
      <c r="W2810" t="s">
        <v>7362</v>
      </c>
      <c r="X2810" t="s">
        <v>7368</v>
      </c>
      <c r="Y2810" t="s">
        <v>7387</v>
      </c>
      <c r="Z2810" t="s">
        <v>9516</v>
      </c>
      <c r="AB2810" t="s">
        <v>12169</v>
      </c>
      <c r="AC2810">
        <v>7</v>
      </c>
      <c r="AD2810" t="s">
        <v>12422</v>
      </c>
      <c r="AE2810" t="s">
        <v>6110</v>
      </c>
      <c r="AF2810">
        <v>2</v>
      </c>
      <c r="AG2810">
        <v>1</v>
      </c>
      <c r="AH2810">
        <v>0</v>
      </c>
      <c r="AI2810">
        <v>247.12</v>
      </c>
      <c r="AJ2810" t="s">
        <v>329</v>
      </c>
      <c r="AK2810" t="s">
        <v>12456</v>
      </c>
      <c r="AL2810" t="s">
        <v>12460</v>
      </c>
      <c r="AM2810">
        <v>30000</v>
      </c>
      <c r="AP2810" t="s">
        <v>12886</v>
      </c>
      <c r="AS2810">
        <v>0.3</v>
      </c>
      <c r="AT2810" t="s">
        <v>492</v>
      </c>
      <c r="AU2810" t="s">
        <v>180</v>
      </c>
    </row>
    <row r="2811" spans="1:48">
      <c r="A2811" s="1">
        <f>HYPERLINK("https://cms.ls-nyc.org/matter/dynamic-profile/view/1887516","19-1887516")</f>
        <v>0</v>
      </c>
      <c r="B2811" t="s">
        <v>92</v>
      </c>
      <c r="C2811" t="s">
        <v>340</v>
      </c>
      <c r="D2811" t="s">
        <v>324</v>
      </c>
      <c r="E2811" t="s">
        <v>636</v>
      </c>
      <c r="F2811" t="s">
        <v>3426</v>
      </c>
      <c r="G2811" t="s">
        <v>4991</v>
      </c>
      <c r="H2811" t="s">
        <v>5358</v>
      </c>
      <c r="I2811" t="s">
        <v>6043</v>
      </c>
      <c r="J2811">
        <v>11233</v>
      </c>
      <c r="K2811" t="s">
        <v>6074</v>
      </c>
      <c r="L2811" t="s">
        <v>6074</v>
      </c>
      <c r="M2811" t="s">
        <v>7189</v>
      </c>
      <c r="N2811" t="s">
        <v>7279</v>
      </c>
      <c r="O2811" t="s">
        <v>7311</v>
      </c>
      <c r="P2811" t="s">
        <v>7321</v>
      </c>
      <c r="Q2811" t="s">
        <v>7322</v>
      </c>
      <c r="R2811" t="s">
        <v>6074</v>
      </c>
      <c r="S2811" t="s">
        <v>7324</v>
      </c>
      <c r="U2811" t="s">
        <v>442</v>
      </c>
      <c r="V2811">
        <v>2350</v>
      </c>
      <c r="W2811" t="s">
        <v>7362</v>
      </c>
      <c r="X2811" t="s">
        <v>7368</v>
      </c>
      <c r="Y2811" t="s">
        <v>7394</v>
      </c>
      <c r="Z2811" t="s">
        <v>9516</v>
      </c>
      <c r="AB2811" t="s">
        <v>12169</v>
      </c>
      <c r="AC2811">
        <v>7</v>
      </c>
      <c r="AD2811" t="s">
        <v>12422</v>
      </c>
      <c r="AE2811" t="s">
        <v>6110</v>
      </c>
      <c r="AF2811">
        <v>1</v>
      </c>
      <c r="AG2811">
        <v>1</v>
      </c>
      <c r="AH2811">
        <v>0</v>
      </c>
      <c r="AI2811">
        <v>247.12</v>
      </c>
      <c r="AJ2811" t="s">
        <v>329</v>
      </c>
      <c r="AK2811" t="s">
        <v>12456</v>
      </c>
      <c r="AL2811" t="s">
        <v>12460</v>
      </c>
      <c r="AM2811">
        <v>30000</v>
      </c>
      <c r="AS2811">
        <v>0.8</v>
      </c>
      <c r="AT2811" t="s">
        <v>247</v>
      </c>
      <c r="AU2811" t="s">
        <v>180</v>
      </c>
      <c r="AV2811" t="s">
        <v>13145</v>
      </c>
    </row>
    <row r="2812" spans="1:48">
      <c r="A2812" s="1">
        <f>HYPERLINK("https://cms.ls-nyc.org/matter/dynamic-profile/view/1887518","19-1887518")</f>
        <v>0</v>
      </c>
      <c r="B2812" t="s">
        <v>92</v>
      </c>
      <c r="C2812" t="s">
        <v>340</v>
      </c>
      <c r="D2812" t="s">
        <v>472</v>
      </c>
      <c r="E2812" t="s">
        <v>636</v>
      </c>
      <c r="F2812" t="s">
        <v>3426</v>
      </c>
      <c r="G2812" t="s">
        <v>4991</v>
      </c>
      <c r="H2812" t="s">
        <v>5358</v>
      </c>
      <c r="I2812" t="s">
        <v>6043</v>
      </c>
      <c r="J2812">
        <v>11233</v>
      </c>
      <c r="K2812" t="s">
        <v>6074</v>
      </c>
      <c r="L2812" t="s">
        <v>6074</v>
      </c>
      <c r="N2812" t="s">
        <v>7275</v>
      </c>
      <c r="O2812" t="s">
        <v>7307</v>
      </c>
      <c r="P2812" t="s">
        <v>7315</v>
      </c>
      <c r="Q2812" t="s">
        <v>7322</v>
      </c>
      <c r="R2812" t="s">
        <v>6074</v>
      </c>
      <c r="S2812" t="s">
        <v>7324</v>
      </c>
      <c r="U2812" t="s">
        <v>462</v>
      </c>
      <c r="V2812">
        <v>2350</v>
      </c>
      <c r="W2812" t="s">
        <v>7362</v>
      </c>
      <c r="X2812" t="s">
        <v>7368</v>
      </c>
      <c r="Y2812" t="s">
        <v>7387</v>
      </c>
      <c r="Z2812" t="s">
        <v>9516</v>
      </c>
      <c r="AB2812" t="s">
        <v>12169</v>
      </c>
      <c r="AC2812">
        <v>7</v>
      </c>
      <c r="AD2812" t="s">
        <v>12422</v>
      </c>
      <c r="AE2812" t="s">
        <v>6110</v>
      </c>
      <c r="AF2812">
        <v>1</v>
      </c>
      <c r="AG2812">
        <v>1</v>
      </c>
      <c r="AH2812">
        <v>0</v>
      </c>
      <c r="AI2812">
        <v>247.12</v>
      </c>
      <c r="AJ2812" t="s">
        <v>329</v>
      </c>
      <c r="AK2812" t="s">
        <v>12456</v>
      </c>
      <c r="AL2812" t="s">
        <v>12460</v>
      </c>
      <c r="AM2812">
        <v>30000</v>
      </c>
      <c r="AP2812" t="s">
        <v>7305</v>
      </c>
      <c r="AS2812">
        <v>0.3</v>
      </c>
      <c r="AT2812" t="s">
        <v>492</v>
      </c>
      <c r="AU2812" t="s">
        <v>180</v>
      </c>
    </row>
    <row r="2813" spans="1:48">
      <c r="A2813" s="1">
        <f>HYPERLINK("https://cms.ls-nyc.org/matter/dynamic-profile/view/1865688","18-1865688")</f>
        <v>0</v>
      </c>
      <c r="B2813" t="s">
        <v>83</v>
      </c>
      <c r="C2813" t="s">
        <v>542</v>
      </c>
      <c r="E2813" t="s">
        <v>949</v>
      </c>
      <c r="F2813" t="s">
        <v>3427</v>
      </c>
      <c r="G2813" t="s">
        <v>3719</v>
      </c>
      <c r="H2813" t="s">
        <v>5945</v>
      </c>
      <c r="I2813" t="s">
        <v>6043</v>
      </c>
      <c r="J2813">
        <v>11230</v>
      </c>
      <c r="K2813" t="s">
        <v>6074</v>
      </c>
      <c r="L2813" t="s">
        <v>6074</v>
      </c>
      <c r="N2813" t="s">
        <v>6104</v>
      </c>
      <c r="O2813" t="s">
        <v>7309</v>
      </c>
      <c r="Q2813" t="s">
        <v>7322</v>
      </c>
      <c r="R2813" t="s">
        <v>6074</v>
      </c>
      <c r="S2813" t="s">
        <v>7324</v>
      </c>
      <c r="T2813" t="s">
        <v>7336</v>
      </c>
      <c r="U2813" t="s">
        <v>271</v>
      </c>
      <c r="V2813">
        <v>436.26</v>
      </c>
      <c r="W2813" t="s">
        <v>7362</v>
      </c>
      <c r="X2813" t="s">
        <v>7376</v>
      </c>
      <c r="Z2813" t="s">
        <v>9517</v>
      </c>
      <c r="AC2813">
        <v>51</v>
      </c>
      <c r="AD2813" t="s">
        <v>12422</v>
      </c>
      <c r="AE2813" t="s">
        <v>6110</v>
      </c>
      <c r="AF2813">
        <v>40</v>
      </c>
      <c r="AG2813">
        <v>1</v>
      </c>
      <c r="AH2813">
        <v>0</v>
      </c>
      <c r="AI2813">
        <v>247.12</v>
      </c>
      <c r="AJ2813" t="s">
        <v>12450</v>
      </c>
      <c r="AK2813" t="s">
        <v>12456</v>
      </c>
      <c r="AL2813" t="s">
        <v>12460</v>
      </c>
      <c r="AM2813">
        <v>30000</v>
      </c>
      <c r="AS2813">
        <v>14.5</v>
      </c>
      <c r="AT2813" t="s">
        <v>292</v>
      </c>
      <c r="AU2813" t="s">
        <v>13087</v>
      </c>
    </row>
    <row r="2814" spans="1:48">
      <c r="A2814" s="1">
        <f>HYPERLINK("https://cms.ls-nyc.org/matter/dynamic-profile/view/1885876","18-1885876")</f>
        <v>0</v>
      </c>
      <c r="B2814" t="s">
        <v>198</v>
      </c>
      <c r="C2814" t="s">
        <v>428</v>
      </c>
      <c r="E2814" t="s">
        <v>1887</v>
      </c>
      <c r="F2814" t="s">
        <v>3428</v>
      </c>
      <c r="G2814" t="s">
        <v>5216</v>
      </c>
      <c r="H2814" t="s">
        <v>5470</v>
      </c>
      <c r="I2814" t="s">
        <v>6047</v>
      </c>
      <c r="J2814">
        <v>10453</v>
      </c>
      <c r="K2814" t="s">
        <v>6074</v>
      </c>
      <c r="L2814" t="s">
        <v>6074</v>
      </c>
      <c r="M2814" t="s">
        <v>7190</v>
      </c>
      <c r="N2814" t="s">
        <v>7274</v>
      </c>
      <c r="O2814" t="s">
        <v>7308</v>
      </c>
      <c r="Q2814" t="s">
        <v>7322</v>
      </c>
      <c r="R2814" t="s">
        <v>6076</v>
      </c>
      <c r="S2814" t="s">
        <v>7324</v>
      </c>
      <c r="T2814" t="s">
        <v>7336</v>
      </c>
      <c r="U2814" t="s">
        <v>428</v>
      </c>
      <c r="V2814">
        <v>863</v>
      </c>
      <c r="W2814" t="s">
        <v>7363</v>
      </c>
      <c r="X2814" t="s">
        <v>7366</v>
      </c>
      <c r="Z2814" t="s">
        <v>9518</v>
      </c>
      <c r="AB2814" t="s">
        <v>12170</v>
      </c>
      <c r="AC2814">
        <v>0</v>
      </c>
      <c r="AD2814" t="s">
        <v>12422</v>
      </c>
      <c r="AE2814" t="s">
        <v>6110</v>
      </c>
      <c r="AF2814">
        <v>38</v>
      </c>
      <c r="AG2814">
        <v>1</v>
      </c>
      <c r="AH2814">
        <v>0</v>
      </c>
      <c r="AI2814">
        <v>247.12</v>
      </c>
      <c r="AJ2814" t="s">
        <v>329</v>
      </c>
      <c r="AK2814" t="s">
        <v>12456</v>
      </c>
      <c r="AL2814" t="s">
        <v>12460</v>
      </c>
      <c r="AM2814">
        <v>30000</v>
      </c>
      <c r="AN2814" t="s">
        <v>12710</v>
      </c>
      <c r="AS2814">
        <v>23.55</v>
      </c>
      <c r="AT2814" t="s">
        <v>363</v>
      </c>
      <c r="AU2814" t="s">
        <v>13116</v>
      </c>
    </row>
    <row r="2815" spans="1:48">
      <c r="A2815" s="1">
        <f>HYPERLINK("https://cms.ls-nyc.org/matter/dynamic-profile/view/1877657","18-1877657")</f>
        <v>0</v>
      </c>
      <c r="B2815" t="s">
        <v>114</v>
      </c>
      <c r="C2815" t="s">
        <v>290</v>
      </c>
      <c r="D2815" t="s">
        <v>434</v>
      </c>
      <c r="E2815" t="s">
        <v>1888</v>
      </c>
      <c r="F2815" t="s">
        <v>2528</v>
      </c>
      <c r="G2815" t="s">
        <v>5217</v>
      </c>
      <c r="H2815" t="s">
        <v>5358</v>
      </c>
      <c r="I2815" t="s">
        <v>6047</v>
      </c>
      <c r="J2815">
        <v>10452</v>
      </c>
      <c r="K2815" t="s">
        <v>6074</v>
      </c>
      <c r="L2815" t="s">
        <v>6074</v>
      </c>
      <c r="N2815" t="s">
        <v>6104</v>
      </c>
      <c r="O2815" t="s">
        <v>7306</v>
      </c>
      <c r="P2815" t="s">
        <v>7314</v>
      </c>
      <c r="Q2815" t="s">
        <v>7322</v>
      </c>
      <c r="R2815" t="s">
        <v>6076</v>
      </c>
      <c r="S2815" t="s">
        <v>7324</v>
      </c>
      <c r="U2815" t="s">
        <v>290</v>
      </c>
      <c r="V2815">
        <v>680</v>
      </c>
      <c r="W2815" t="s">
        <v>7363</v>
      </c>
      <c r="X2815" t="s">
        <v>7376</v>
      </c>
      <c r="Y2815" t="s">
        <v>7386</v>
      </c>
      <c r="Z2815" t="s">
        <v>9519</v>
      </c>
      <c r="AC2815">
        <v>105</v>
      </c>
      <c r="AD2815" t="s">
        <v>6322</v>
      </c>
      <c r="AE2815" t="s">
        <v>6110</v>
      </c>
      <c r="AF2815">
        <v>26</v>
      </c>
      <c r="AG2815">
        <v>1</v>
      </c>
      <c r="AH2815">
        <v>0</v>
      </c>
      <c r="AI2815">
        <v>247.12</v>
      </c>
      <c r="AL2815" t="s">
        <v>12460</v>
      </c>
      <c r="AM2815">
        <v>30000</v>
      </c>
      <c r="AS2815">
        <v>0.4</v>
      </c>
      <c r="AT2815" t="s">
        <v>434</v>
      </c>
      <c r="AU2815" t="s">
        <v>13095</v>
      </c>
    </row>
    <row r="2816" spans="1:48">
      <c r="A2816" s="1">
        <f>HYPERLINK("https://cms.ls-nyc.org/matter/dynamic-profile/view/1874178","18-1874178")</f>
        <v>0</v>
      </c>
      <c r="B2816" t="s">
        <v>126</v>
      </c>
      <c r="C2816" t="s">
        <v>236</v>
      </c>
      <c r="E2816" t="s">
        <v>1845</v>
      </c>
      <c r="F2816" t="s">
        <v>3429</v>
      </c>
      <c r="G2816" t="s">
        <v>5218</v>
      </c>
      <c r="H2816">
        <v>207</v>
      </c>
      <c r="I2816" t="s">
        <v>6049</v>
      </c>
      <c r="J2816">
        <v>10029</v>
      </c>
      <c r="K2816" t="s">
        <v>6074</v>
      </c>
      <c r="L2816" t="s">
        <v>6074</v>
      </c>
      <c r="M2816" t="s">
        <v>7191</v>
      </c>
      <c r="N2816" t="s">
        <v>7276</v>
      </c>
      <c r="O2816" t="s">
        <v>7308</v>
      </c>
      <c r="Q2816" t="s">
        <v>7323</v>
      </c>
      <c r="R2816" t="s">
        <v>6076</v>
      </c>
      <c r="S2816" t="s">
        <v>7324</v>
      </c>
      <c r="T2816" t="s">
        <v>7336</v>
      </c>
      <c r="U2816" t="s">
        <v>384</v>
      </c>
      <c r="V2816">
        <v>50</v>
      </c>
      <c r="W2816" t="s">
        <v>7365</v>
      </c>
      <c r="X2816" t="s">
        <v>7369</v>
      </c>
      <c r="Z2816" t="s">
        <v>9520</v>
      </c>
      <c r="AB2816" t="s">
        <v>12171</v>
      </c>
      <c r="AC2816">
        <v>33</v>
      </c>
      <c r="AD2816" t="s">
        <v>12420</v>
      </c>
      <c r="AE2816" t="s">
        <v>12434</v>
      </c>
      <c r="AF2816">
        <v>10</v>
      </c>
      <c r="AG2816">
        <v>1</v>
      </c>
      <c r="AH2816">
        <v>0</v>
      </c>
      <c r="AI2816">
        <v>247.12</v>
      </c>
      <c r="AJ2816" t="s">
        <v>12443</v>
      </c>
      <c r="AK2816" t="s">
        <v>12455</v>
      </c>
      <c r="AL2816" t="s">
        <v>12460</v>
      </c>
      <c r="AM2816">
        <v>30000</v>
      </c>
      <c r="AO2816" t="s">
        <v>12846</v>
      </c>
      <c r="AP2816" t="s">
        <v>12868</v>
      </c>
      <c r="AQ2816" t="s">
        <v>12909</v>
      </c>
      <c r="AR2816" t="s">
        <v>12986</v>
      </c>
      <c r="AS2816">
        <v>12.65</v>
      </c>
      <c r="AT2816" t="s">
        <v>466</v>
      </c>
      <c r="AU2816" t="s">
        <v>86</v>
      </c>
    </row>
    <row r="2817" spans="1:47">
      <c r="A2817" s="1">
        <f>HYPERLINK("https://cms.ls-nyc.org/matter/dynamic-profile/view/1897191","19-1897191")</f>
        <v>0</v>
      </c>
      <c r="B2817" t="s">
        <v>133</v>
      </c>
      <c r="C2817" t="s">
        <v>279</v>
      </c>
      <c r="E2817" t="s">
        <v>1889</v>
      </c>
      <c r="F2817" t="s">
        <v>3430</v>
      </c>
      <c r="G2817" t="s">
        <v>5219</v>
      </c>
      <c r="H2817" t="s">
        <v>5598</v>
      </c>
      <c r="I2817" t="s">
        <v>6049</v>
      </c>
      <c r="J2817">
        <v>10034</v>
      </c>
      <c r="K2817" t="s">
        <v>6074</v>
      </c>
      <c r="L2817" t="s">
        <v>6074</v>
      </c>
      <c r="N2817" t="s">
        <v>7273</v>
      </c>
      <c r="O2817" t="s">
        <v>7306</v>
      </c>
      <c r="Q2817" t="s">
        <v>7322</v>
      </c>
      <c r="R2817" t="s">
        <v>6074</v>
      </c>
      <c r="S2817" t="s">
        <v>7324</v>
      </c>
      <c r="U2817" t="s">
        <v>279</v>
      </c>
      <c r="V2817">
        <v>333.34</v>
      </c>
      <c r="W2817" t="s">
        <v>7365</v>
      </c>
      <c r="X2817" t="s">
        <v>7367</v>
      </c>
      <c r="Z2817" t="s">
        <v>9521</v>
      </c>
      <c r="AC2817">
        <v>20</v>
      </c>
      <c r="AD2817" t="s">
        <v>12422</v>
      </c>
      <c r="AE2817" t="s">
        <v>6110</v>
      </c>
      <c r="AF2817">
        <v>68</v>
      </c>
      <c r="AG2817">
        <v>1</v>
      </c>
      <c r="AH2817">
        <v>0</v>
      </c>
      <c r="AI2817">
        <v>247.22</v>
      </c>
      <c r="AL2817" t="s">
        <v>12460</v>
      </c>
      <c r="AM2817">
        <v>30878</v>
      </c>
      <c r="AS2817">
        <v>0</v>
      </c>
      <c r="AU2817" t="s">
        <v>13106</v>
      </c>
    </row>
    <row r="2818" spans="1:47">
      <c r="A2818" s="1">
        <f>HYPERLINK("https://cms.ls-nyc.org/matter/dynamic-profile/view/1875257","18-1875257")</f>
        <v>0</v>
      </c>
      <c r="B2818" t="s">
        <v>106</v>
      </c>
      <c r="C2818" t="s">
        <v>399</v>
      </c>
      <c r="D2818" t="s">
        <v>333</v>
      </c>
      <c r="E2818" t="s">
        <v>1337</v>
      </c>
      <c r="F2818" t="s">
        <v>3207</v>
      </c>
      <c r="G2818" t="s">
        <v>5220</v>
      </c>
      <c r="H2818" t="s">
        <v>5946</v>
      </c>
      <c r="I2818" t="s">
        <v>6047</v>
      </c>
      <c r="J2818">
        <v>10451</v>
      </c>
      <c r="K2818" t="s">
        <v>6074</v>
      </c>
      <c r="L2818" t="s">
        <v>6074</v>
      </c>
      <c r="N2818" t="s">
        <v>7283</v>
      </c>
      <c r="O2818" t="s">
        <v>7306</v>
      </c>
      <c r="P2818" t="s">
        <v>7314</v>
      </c>
      <c r="Q2818" t="s">
        <v>7322</v>
      </c>
      <c r="R2818" t="s">
        <v>6076</v>
      </c>
      <c r="S2818" t="s">
        <v>7324</v>
      </c>
      <c r="U2818" t="s">
        <v>233</v>
      </c>
      <c r="V2818">
        <v>1051.83</v>
      </c>
      <c r="W2818" t="s">
        <v>7363</v>
      </c>
      <c r="X2818" t="s">
        <v>7376</v>
      </c>
      <c r="Y2818" t="s">
        <v>7386</v>
      </c>
      <c r="Z2818" t="s">
        <v>9126</v>
      </c>
      <c r="AB2818" t="s">
        <v>11816</v>
      </c>
      <c r="AC2818">
        <v>110</v>
      </c>
      <c r="AD2818" t="s">
        <v>12422</v>
      </c>
      <c r="AE2818" t="s">
        <v>6110</v>
      </c>
      <c r="AF2818">
        <v>7</v>
      </c>
      <c r="AG2818">
        <v>2</v>
      </c>
      <c r="AH2818">
        <v>0</v>
      </c>
      <c r="AI2818">
        <v>247.31</v>
      </c>
      <c r="AL2818" t="s">
        <v>12461</v>
      </c>
      <c r="AM2818">
        <v>40707.37</v>
      </c>
      <c r="AN2818" t="s">
        <v>12739</v>
      </c>
      <c r="AS2818">
        <v>3.4</v>
      </c>
      <c r="AT2818" t="s">
        <v>333</v>
      </c>
      <c r="AU2818" t="s">
        <v>106</v>
      </c>
    </row>
    <row r="2819" spans="1:47">
      <c r="A2819" s="1">
        <f>HYPERLINK("https://cms.ls-nyc.org/matter/dynamic-profile/view/1878846","18-1878846")</f>
        <v>0</v>
      </c>
      <c r="B2819" t="s">
        <v>133</v>
      </c>
      <c r="C2819" t="s">
        <v>282</v>
      </c>
      <c r="D2819" t="s">
        <v>279</v>
      </c>
      <c r="E2819" t="s">
        <v>1121</v>
      </c>
      <c r="F2819" t="s">
        <v>2337</v>
      </c>
      <c r="G2819" t="s">
        <v>5221</v>
      </c>
      <c r="H2819" t="s">
        <v>5439</v>
      </c>
      <c r="I2819" t="s">
        <v>6049</v>
      </c>
      <c r="J2819">
        <v>10040</v>
      </c>
      <c r="K2819" t="s">
        <v>6074</v>
      </c>
      <c r="L2819" t="s">
        <v>6074</v>
      </c>
      <c r="N2819" t="s">
        <v>7275</v>
      </c>
      <c r="O2819" t="s">
        <v>7309</v>
      </c>
      <c r="P2819" t="s">
        <v>7319</v>
      </c>
      <c r="Q2819" t="s">
        <v>7322</v>
      </c>
      <c r="R2819" t="s">
        <v>6076</v>
      </c>
      <c r="S2819" t="s">
        <v>7324</v>
      </c>
      <c r="U2819" t="s">
        <v>282</v>
      </c>
      <c r="V2819">
        <v>1182</v>
      </c>
      <c r="W2819" t="s">
        <v>7365</v>
      </c>
      <c r="X2819" t="s">
        <v>7367</v>
      </c>
      <c r="Y2819" t="s">
        <v>7400</v>
      </c>
      <c r="Z2819" t="s">
        <v>9522</v>
      </c>
      <c r="AB2819" t="s">
        <v>12172</v>
      </c>
      <c r="AC2819">
        <v>40</v>
      </c>
      <c r="AD2819" t="s">
        <v>12422</v>
      </c>
      <c r="AE2819" t="s">
        <v>12434</v>
      </c>
      <c r="AF2819">
        <v>0</v>
      </c>
      <c r="AG2819">
        <v>1</v>
      </c>
      <c r="AH2819">
        <v>0</v>
      </c>
      <c r="AI2819">
        <v>248.01</v>
      </c>
      <c r="AJ2819" t="s">
        <v>354</v>
      </c>
      <c r="AK2819" t="s">
        <v>12456</v>
      </c>
      <c r="AL2819" t="s">
        <v>12461</v>
      </c>
      <c r="AM2819">
        <v>30108</v>
      </c>
      <c r="AS2819">
        <v>6.45</v>
      </c>
      <c r="AT2819" t="s">
        <v>279</v>
      </c>
      <c r="AU2819" t="s">
        <v>13106</v>
      </c>
    </row>
    <row r="2820" spans="1:47">
      <c r="A2820" s="1">
        <f>HYPERLINK("https://cms.ls-nyc.org/matter/dynamic-profile/view/1880467","18-1880467")</f>
        <v>0</v>
      </c>
      <c r="B2820" t="s">
        <v>108</v>
      </c>
      <c r="C2820" t="s">
        <v>307</v>
      </c>
      <c r="E2820" t="s">
        <v>1890</v>
      </c>
      <c r="F2820" t="s">
        <v>2059</v>
      </c>
      <c r="G2820" t="s">
        <v>3936</v>
      </c>
      <c r="H2820" t="s">
        <v>5438</v>
      </c>
      <c r="I2820" t="s">
        <v>6047</v>
      </c>
      <c r="J2820">
        <v>10452</v>
      </c>
      <c r="K2820" t="s">
        <v>6074</v>
      </c>
      <c r="L2820" t="s">
        <v>6074</v>
      </c>
      <c r="M2820" t="s">
        <v>6395</v>
      </c>
      <c r="N2820" t="s">
        <v>7279</v>
      </c>
      <c r="O2820" t="s">
        <v>7311</v>
      </c>
      <c r="Q2820" t="s">
        <v>7322</v>
      </c>
      <c r="R2820" t="s">
        <v>6074</v>
      </c>
      <c r="S2820" t="s">
        <v>7324</v>
      </c>
      <c r="U2820" t="s">
        <v>472</v>
      </c>
      <c r="V2820">
        <v>1299.48</v>
      </c>
      <c r="W2820" t="s">
        <v>7363</v>
      </c>
      <c r="X2820" t="s">
        <v>7376</v>
      </c>
      <c r="Z2820" t="s">
        <v>9523</v>
      </c>
      <c r="AA2820" t="s">
        <v>10287</v>
      </c>
      <c r="AB2820" t="s">
        <v>12173</v>
      </c>
      <c r="AC2820">
        <v>53</v>
      </c>
      <c r="AD2820" t="s">
        <v>12422</v>
      </c>
      <c r="AE2820" t="s">
        <v>12440</v>
      </c>
      <c r="AF2820">
        <v>1</v>
      </c>
      <c r="AG2820">
        <v>1</v>
      </c>
      <c r="AH2820">
        <v>0</v>
      </c>
      <c r="AI2820">
        <v>248.26</v>
      </c>
      <c r="AL2820" t="s">
        <v>12460</v>
      </c>
      <c r="AM2820">
        <v>30139.2</v>
      </c>
      <c r="AS2820">
        <v>0.1</v>
      </c>
      <c r="AT2820" t="s">
        <v>317</v>
      </c>
      <c r="AU2820" t="s">
        <v>13099</v>
      </c>
    </row>
    <row r="2821" spans="1:47">
      <c r="A2821" s="1">
        <f>HYPERLINK("https://cms.ls-nyc.org/matter/dynamic-profile/view/1895306","19-1895306")</f>
        <v>0</v>
      </c>
      <c r="B2821" t="s">
        <v>78</v>
      </c>
      <c r="C2821" t="s">
        <v>247</v>
      </c>
      <c r="E2821" t="s">
        <v>1400</v>
      </c>
      <c r="F2821" t="s">
        <v>2119</v>
      </c>
      <c r="G2821" t="s">
        <v>4993</v>
      </c>
      <c r="H2821" t="s">
        <v>5390</v>
      </c>
      <c r="I2821" t="s">
        <v>6043</v>
      </c>
      <c r="J2821">
        <v>11212</v>
      </c>
      <c r="K2821" t="s">
        <v>6074</v>
      </c>
      <c r="L2821" t="s">
        <v>6074</v>
      </c>
      <c r="N2821" t="s">
        <v>7287</v>
      </c>
      <c r="O2821" t="s">
        <v>7312</v>
      </c>
      <c r="Q2821" t="s">
        <v>7322</v>
      </c>
      <c r="R2821" t="s">
        <v>6074</v>
      </c>
      <c r="S2821" t="s">
        <v>7324</v>
      </c>
      <c r="U2821" t="s">
        <v>247</v>
      </c>
      <c r="V2821">
        <v>839.77</v>
      </c>
      <c r="W2821" t="s">
        <v>7362</v>
      </c>
      <c r="X2821" t="s">
        <v>7375</v>
      </c>
      <c r="Z2821" t="s">
        <v>9524</v>
      </c>
      <c r="AB2821" t="s">
        <v>12174</v>
      </c>
      <c r="AC2821">
        <v>8</v>
      </c>
      <c r="AD2821" t="s">
        <v>12422</v>
      </c>
      <c r="AE2821" t="s">
        <v>6110</v>
      </c>
      <c r="AF2821">
        <v>24</v>
      </c>
      <c r="AG2821">
        <v>1</v>
      </c>
      <c r="AH2821">
        <v>0</v>
      </c>
      <c r="AI2821">
        <v>248.47</v>
      </c>
      <c r="AL2821" t="s">
        <v>12460</v>
      </c>
      <c r="AM2821">
        <v>31033.6</v>
      </c>
      <c r="AS2821">
        <v>0</v>
      </c>
      <c r="AU2821" t="s">
        <v>218</v>
      </c>
    </row>
    <row r="2822" spans="1:47">
      <c r="A2822" s="1">
        <f>HYPERLINK("https://cms.ls-nyc.org/matter/dynamic-profile/view/1898323","19-1898323")</f>
        <v>0</v>
      </c>
      <c r="B2822" t="s">
        <v>84</v>
      </c>
      <c r="C2822" t="s">
        <v>343</v>
      </c>
      <c r="E2822" t="s">
        <v>911</v>
      </c>
      <c r="F2822" t="s">
        <v>3431</v>
      </c>
      <c r="G2822" t="s">
        <v>5196</v>
      </c>
      <c r="H2822" t="s">
        <v>5438</v>
      </c>
      <c r="I2822" t="s">
        <v>6043</v>
      </c>
      <c r="J2822">
        <v>11226</v>
      </c>
      <c r="K2822" t="s">
        <v>6074</v>
      </c>
      <c r="L2822" t="s">
        <v>6074</v>
      </c>
      <c r="N2822" t="s">
        <v>7273</v>
      </c>
      <c r="O2822" t="s">
        <v>7308</v>
      </c>
      <c r="Q2822" t="s">
        <v>7322</v>
      </c>
      <c r="R2822" t="s">
        <v>6074</v>
      </c>
      <c r="S2822" t="s">
        <v>7324</v>
      </c>
      <c r="U2822" t="s">
        <v>397</v>
      </c>
      <c r="V2822">
        <v>988.01</v>
      </c>
      <c r="W2822" t="s">
        <v>7362</v>
      </c>
      <c r="Z2822" t="s">
        <v>9525</v>
      </c>
      <c r="AC2822">
        <v>0</v>
      </c>
      <c r="AF2822">
        <v>30</v>
      </c>
      <c r="AG2822">
        <v>4</v>
      </c>
      <c r="AH2822">
        <v>0</v>
      </c>
      <c r="AI2822">
        <v>248.54</v>
      </c>
      <c r="AL2822" t="s">
        <v>12460</v>
      </c>
      <c r="AM2822">
        <v>64000</v>
      </c>
      <c r="AS2822">
        <v>1.5</v>
      </c>
      <c r="AT2822" t="s">
        <v>257</v>
      </c>
      <c r="AU2822" t="s">
        <v>88</v>
      </c>
    </row>
    <row r="2823" spans="1:47">
      <c r="A2823" s="1">
        <f>HYPERLINK("https://cms.ls-nyc.org/matter/dynamic-profile/view/1893485","19-1893485")</f>
        <v>0</v>
      </c>
      <c r="B2823" t="s">
        <v>130</v>
      </c>
      <c r="C2823" t="s">
        <v>367</v>
      </c>
      <c r="D2823" t="s">
        <v>361</v>
      </c>
      <c r="E2823" t="s">
        <v>981</v>
      </c>
      <c r="F2823" t="s">
        <v>2363</v>
      </c>
      <c r="G2823" t="s">
        <v>5222</v>
      </c>
      <c r="H2823" t="s">
        <v>5598</v>
      </c>
      <c r="I2823" t="s">
        <v>6049</v>
      </c>
      <c r="J2823">
        <v>10034</v>
      </c>
      <c r="K2823" t="s">
        <v>6074</v>
      </c>
      <c r="L2823" t="s">
        <v>6074</v>
      </c>
      <c r="M2823" t="s">
        <v>7192</v>
      </c>
      <c r="N2823" t="s">
        <v>7276</v>
      </c>
      <c r="O2823" t="s">
        <v>7306</v>
      </c>
      <c r="P2823" t="s">
        <v>7314</v>
      </c>
      <c r="Q2823" t="s">
        <v>7322</v>
      </c>
      <c r="R2823" t="s">
        <v>6076</v>
      </c>
      <c r="S2823" t="s">
        <v>7324</v>
      </c>
      <c r="U2823" t="s">
        <v>367</v>
      </c>
      <c r="V2823">
        <v>209.48</v>
      </c>
      <c r="W2823" t="s">
        <v>7365</v>
      </c>
      <c r="X2823" t="s">
        <v>7368</v>
      </c>
      <c r="Y2823" t="s">
        <v>7386</v>
      </c>
      <c r="Z2823" t="s">
        <v>9526</v>
      </c>
      <c r="AB2823" t="s">
        <v>12175</v>
      </c>
      <c r="AC2823">
        <v>48</v>
      </c>
      <c r="AD2823" t="s">
        <v>12425</v>
      </c>
      <c r="AE2823" t="s">
        <v>6110</v>
      </c>
      <c r="AF2823">
        <v>49</v>
      </c>
      <c r="AG2823">
        <v>2</v>
      </c>
      <c r="AH2823">
        <v>1</v>
      </c>
      <c r="AI2823">
        <v>249.41</v>
      </c>
      <c r="AL2823" t="s">
        <v>12461</v>
      </c>
      <c r="AM2823">
        <v>53200</v>
      </c>
      <c r="AS2823">
        <v>0.7</v>
      </c>
      <c r="AT2823" t="s">
        <v>436</v>
      </c>
      <c r="AU2823" t="s">
        <v>13106</v>
      </c>
    </row>
    <row r="2824" spans="1:47">
      <c r="A2824" s="1">
        <f>HYPERLINK("https://cms.ls-nyc.org/matter/dynamic-profile/view/1882922","18-1882922")</f>
        <v>0</v>
      </c>
      <c r="B2824" t="s">
        <v>128</v>
      </c>
      <c r="C2824" t="s">
        <v>416</v>
      </c>
      <c r="E2824" t="s">
        <v>1891</v>
      </c>
      <c r="F2824" t="s">
        <v>2073</v>
      </c>
      <c r="G2824" t="s">
        <v>5116</v>
      </c>
      <c r="H2824">
        <v>34</v>
      </c>
      <c r="I2824" t="s">
        <v>6049</v>
      </c>
      <c r="J2824">
        <v>10034</v>
      </c>
      <c r="K2824" t="s">
        <v>6074</v>
      </c>
      <c r="L2824" t="s">
        <v>6074</v>
      </c>
      <c r="N2824" t="s">
        <v>7275</v>
      </c>
      <c r="O2824" t="s">
        <v>7309</v>
      </c>
      <c r="Q2824" t="s">
        <v>7322</v>
      </c>
      <c r="R2824" t="s">
        <v>6076</v>
      </c>
      <c r="S2824" t="s">
        <v>7324</v>
      </c>
      <c r="U2824" t="s">
        <v>416</v>
      </c>
      <c r="V2824">
        <v>810.26</v>
      </c>
      <c r="W2824" t="s">
        <v>7365</v>
      </c>
      <c r="X2824" t="s">
        <v>7367</v>
      </c>
      <c r="Z2824" t="s">
        <v>9527</v>
      </c>
      <c r="AB2824" t="s">
        <v>12176</v>
      </c>
      <c r="AC2824">
        <v>25</v>
      </c>
      <c r="AD2824" t="s">
        <v>12422</v>
      </c>
      <c r="AE2824" t="s">
        <v>6110</v>
      </c>
      <c r="AF2824">
        <v>52</v>
      </c>
      <c r="AG2824">
        <v>1</v>
      </c>
      <c r="AH2824">
        <v>0</v>
      </c>
      <c r="AI2824">
        <v>249.59</v>
      </c>
      <c r="AJ2824" t="s">
        <v>329</v>
      </c>
      <c r="AK2824" t="s">
        <v>12456</v>
      </c>
      <c r="AL2824" t="s">
        <v>12461</v>
      </c>
      <c r="AM2824">
        <v>30300</v>
      </c>
      <c r="AS2824">
        <v>10.2</v>
      </c>
      <c r="AT2824" t="s">
        <v>343</v>
      </c>
      <c r="AU2824" t="s">
        <v>13106</v>
      </c>
    </row>
    <row r="2825" spans="1:47">
      <c r="A2825" s="1">
        <f>HYPERLINK("https://cms.ls-nyc.org/matter/dynamic-profile/view/1883034","18-1883034")</f>
        <v>0</v>
      </c>
      <c r="B2825" t="s">
        <v>128</v>
      </c>
      <c r="C2825" t="s">
        <v>416</v>
      </c>
      <c r="D2825" t="s">
        <v>326</v>
      </c>
      <c r="E2825" t="s">
        <v>1891</v>
      </c>
      <c r="F2825" t="s">
        <v>2073</v>
      </c>
      <c r="G2825" t="s">
        <v>5116</v>
      </c>
      <c r="H2825">
        <v>34</v>
      </c>
      <c r="I2825" t="s">
        <v>6049</v>
      </c>
      <c r="J2825">
        <v>10034</v>
      </c>
      <c r="K2825" t="s">
        <v>6074</v>
      </c>
      <c r="L2825" t="s">
        <v>6074</v>
      </c>
      <c r="N2825" t="s">
        <v>7283</v>
      </c>
      <c r="O2825" t="s">
        <v>7307</v>
      </c>
      <c r="P2825" t="s">
        <v>7315</v>
      </c>
      <c r="Q2825" t="s">
        <v>7322</v>
      </c>
      <c r="R2825" t="s">
        <v>6076</v>
      </c>
      <c r="S2825" t="s">
        <v>7324</v>
      </c>
      <c r="U2825" t="s">
        <v>416</v>
      </c>
      <c r="V2825">
        <v>810.26</v>
      </c>
      <c r="W2825" t="s">
        <v>7365</v>
      </c>
      <c r="X2825" t="s">
        <v>7368</v>
      </c>
      <c r="Y2825" t="s">
        <v>7386</v>
      </c>
      <c r="Z2825" t="s">
        <v>9527</v>
      </c>
      <c r="AB2825" t="s">
        <v>12176</v>
      </c>
      <c r="AC2825">
        <v>25</v>
      </c>
      <c r="AD2825" t="s">
        <v>12422</v>
      </c>
      <c r="AE2825" t="s">
        <v>12441</v>
      </c>
      <c r="AF2825">
        <v>52</v>
      </c>
      <c r="AG2825">
        <v>1</v>
      </c>
      <c r="AH2825">
        <v>0</v>
      </c>
      <c r="AI2825">
        <v>249.59</v>
      </c>
      <c r="AJ2825" t="s">
        <v>329</v>
      </c>
      <c r="AK2825" t="s">
        <v>12456</v>
      </c>
      <c r="AL2825" t="s">
        <v>12461</v>
      </c>
      <c r="AM2825">
        <v>30300</v>
      </c>
      <c r="AS2825">
        <v>2.7</v>
      </c>
      <c r="AT2825" t="s">
        <v>326</v>
      </c>
      <c r="AU2825" t="s">
        <v>13106</v>
      </c>
    </row>
    <row r="2826" spans="1:47">
      <c r="A2826" s="1">
        <f>HYPERLINK("https://cms.ls-nyc.org/matter/dynamic-profile/view/1898838","19-1898838")</f>
        <v>0</v>
      </c>
      <c r="B2826" t="s">
        <v>72</v>
      </c>
      <c r="C2826" t="s">
        <v>294</v>
      </c>
      <c r="E2826" t="s">
        <v>1892</v>
      </c>
      <c r="F2826" t="s">
        <v>2133</v>
      </c>
      <c r="G2826" t="s">
        <v>5223</v>
      </c>
      <c r="H2826" t="s">
        <v>5947</v>
      </c>
      <c r="I2826" t="s">
        <v>6043</v>
      </c>
      <c r="J2826">
        <v>11233</v>
      </c>
      <c r="K2826" t="s">
        <v>6074</v>
      </c>
      <c r="L2826" t="s">
        <v>6076</v>
      </c>
      <c r="N2826" t="s">
        <v>7279</v>
      </c>
      <c r="O2826" t="s">
        <v>7311</v>
      </c>
      <c r="Q2826" t="s">
        <v>7322</v>
      </c>
      <c r="R2826" t="s">
        <v>6074</v>
      </c>
      <c r="S2826" t="s">
        <v>7324</v>
      </c>
      <c r="T2826" t="s">
        <v>7336</v>
      </c>
      <c r="U2826" t="s">
        <v>330</v>
      </c>
      <c r="V2826">
        <v>0</v>
      </c>
      <c r="W2826" t="s">
        <v>7362</v>
      </c>
      <c r="X2826" t="s">
        <v>7305</v>
      </c>
      <c r="Z2826" t="s">
        <v>9528</v>
      </c>
      <c r="AC2826">
        <v>359</v>
      </c>
      <c r="AD2826" t="s">
        <v>12422</v>
      </c>
      <c r="AF2826">
        <v>21</v>
      </c>
      <c r="AG2826">
        <v>1</v>
      </c>
      <c r="AH2826">
        <v>0</v>
      </c>
      <c r="AI2826">
        <v>249.8</v>
      </c>
      <c r="AL2826" t="s">
        <v>12460</v>
      </c>
      <c r="AM2826">
        <v>31200</v>
      </c>
      <c r="AN2826" t="s">
        <v>12740</v>
      </c>
      <c r="AS2826">
        <v>0</v>
      </c>
      <c r="AU2826" t="s">
        <v>180</v>
      </c>
    </row>
    <row r="2827" spans="1:47">
      <c r="A2827" s="1">
        <f>HYPERLINK("https://cms.ls-nyc.org/matter/dynamic-profile/view/1898842","19-1898842")</f>
        <v>0</v>
      </c>
      <c r="B2827" t="s">
        <v>72</v>
      </c>
      <c r="C2827" t="s">
        <v>294</v>
      </c>
      <c r="E2827" t="s">
        <v>1892</v>
      </c>
      <c r="F2827" t="s">
        <v>2133</v>
      </c>
      <c r="G2827" t="s">
        <v>5223</v>
      </c>
      <c r="H2827" t="s">
        <v>5947</v>
      </c>
      <c r="I2827" t="s">
        <v>6043</v>
      </c>
      <c r="J2827">
        <v>11233</v>
      </c>
      <c r="K2827" t="s">
        <v>6074</v>
      </c>
      <c r="L2827" t="s">
        <v>6076</v>
      </c>
      <c r="N2827" t="s">
        <v>7275</v>
      </c>
      <c r="O2827" t="s">
        <v>7307</v>
      </c>
      <c r="Q2827" t="s">
        <v>7322</v>
      </c>
      <c r="R2827" t="s">
        <v>6074</v>
      </c>
      <c r="S2827" t="s">
        <v>7324</v>
      </c>
      <c r="T2827" t="s">
        <v>7336</v>
      </c>
      <c r="U2827" t="s">
        <v>287</v>
      </c>
      <c r="V2827">
        <v>0</v>
      </c>
      <c r="W2827" t="s">
        <v>7362</v>
      </c>
      <c r="X2827" t="s">
        <v>7305</v>
      </c>
      <c r="Z2827" t="s">
        <v>9528</v>
      </c>
      <c r="AC2827">
        <v>359</v>
      </c>
      <c r="AD2827" t="s">
        <v>12422</v>
      </c>
      <c r="AF2827">
        <v>21</v>
      </c>
      <c r="AG2827">
        <v>1</v>
      </c>
      <c r="AH2827">
        <v>0</v>
      </c>
      <c r="AI2827">
        <v>249.8</v>
      </c>
      <c r="AL2827" t="s">
        <v>12460</v>
      </c>
      <c r="AM2827">
        <v>31200</v>
      </c>
      <c r="AN2827" t="s">
        <v>12741</v>
      </c>
      <c r="AS2827">
        <v>0</v>
      </c>
      <c r="AU2827" t="s">
        <v>180</v>
      </c>
    </row>
    <row r="2828" spans="1:47">
      <c r="A2828" s="1">
        <f>HYPERLINK("https://cms.ls-nyc.org/matter/dynamic-profile/view/1876666","18-1876666")</f>
        <v>0</v>
      </c>
      <c r="B2828" t="s">
        <v>225</v>
      </c>
      <c r="C2828" t="s">
        <v>243</v>
      </c>
      <c r="D2828" t="s">
        <v>412</v>
      </c>
      <c r="E2828" t="s">
        <v>901</v>
      </c>
      <c r="F2828" t="s">
        <v>3432</v>
      </c>
      <c r="G2828" t="s">
        <v>5224</v>
      </c>
      <c r="H2828" t="s">
        <v>5507</v>
      </c>
      <c r="I2828" t="s">
        <v>6047</v>
      </c>
      <c r="J2828">
        <v>10474</v>
      </c>
      <c r="K2828" t="s">
        <v>6074</v>
      </c>
      <c r="L2828" t="s">
        <v>6074</v>
      </c>
      <c r="M2828" t="s">
        <v>7193</v>
      </c>
      <c r="N2828" t="s">
        <v>7274</v>
      </c>
      <c r="O2828" t="s">
        <v>7306</v>
      </c>
      <c r="P2828" t="s">
        <v>7314</v>
      </c>
      <c r="Q2828" t="s">
        <v>7322</v>
      </c>
      <c r="R2828" t="s">
        <v>6076</v>
      </c>
      <c r="S2828" t="s">
        <v>7324</v>
      </c>
      <c r="T2828" t="s">
        <v>7340</v>
      </c>
      <c r="U2828" t="s">
        <v>416</v>
      </c>
      <c r="V2828">
        <v>1623.96</v>
      </c>
      <c r="W2828" t="s">
        <v>7363</v>
      </c>
      <c r="Y2828" t="s">
        <v>7386</v>
      </c>
      <c r="Z2828" t="s">
        <v>9529</v>
      </c>
      <c r="AB2828" t="s">
        <v>12177</v>
      </c>
      <c r="AC2828">
        <v>37</v>
      </c>
      <c r="AD2828" t="s">
        <v>12420</v>
      </c>
      <c r="AF2828">
        <v>6</v>
      </c>
      <c r="AG2828">
        <v>4</v>
      </c>
      <c r="AH2828">
        <v>0</v>
      </c>
      <c r="AI2828">
        <v>250.06</v>
      </c>
      <c r="AL2828" t="s">
        <v>12460</v>
      </c>
      <c r="AM2828">
        <v>62764</v>
      </c>
      <c r="AN2828" t="s">
        <v>12742</v>
      </c>
      <c r="AS2828">
        <v>6.2</v>
      </c>
      <c r="AT2828" t="s">
        <v>416</v>
      </c>
      <c r="AU2828" t="s">
        <v>13114</v>
      </c>
    </row>
    <row r="2829" spans="1:47">
      <c r="A2829" s="1">
        <f>HYPERLINK("https://cms.ls-nyc.org/matter/dynamic-profile/view/1868150","18-1868150")</f>
        <v>0</v>
      </c>
      <c r="B2829" t="s">
        <v>136</v>
      </c>
      <c r="C2829" t="s">
        <v>534</v>
      </c>
      <c r="E2829" t="s">
        <v>916</v>
      </c>
      <c r="F2829" t="s">
        <v>2523</v>
      </c>
      <c r="G2829" t="s">
        <v>5225</v>
      </c>
      <c r="H2829" t="s">
        <v>5871</v>
      </c>
      <c r="I2829" t="s">
        <v>6049</v>
      </c>
      <c r="J2829">
        <v>10016</v>
      </c>
      <c r="K2829" t="s">
        <v>6074</v>
      </c>
      <c r="L2829" t="s">
        <v>6074</v>
      </c>
      <c r="N2829" t="s">
        <v>6104</v>
      </c>
      <c r="O2829" t="s">
        <v>7309</v>
      </c>
      <c r="Q2829" t="s">
        <v>7322</v>
      </c>
      <c r="R2829" t="s">
        <v>6076</v>
      </c>
      <c r="S2829" t="s">
        <v>7324</v>
      </c>
      <c r="U2829" t="s">
        <v>281</v>
      </c>
      <c r="V2829">
        <v>1205</v>
      </c>
      <c r="W2829" t="s">
        <v>7365</v>
      </c>
      <c r="X2829" t="s">
        <v>7378</v>
      </c>
      <c r="Z2829" t="s">
        <v>9530</v>
      </c>
      <c r="AB2829" t="s">
        <v>12178</v>
      </c>
      <c r="AC2829">
        <v>8</v>
      </c>
      <c r="AD2829" t="s">
        <v>12422</v>
      </c>
      <c r="AE2829" t="s">
        <v>6110</v>
      </c>
      <c r="AF2829">
        <v>30</v>
      </c>
      <c r="AG2829">
        <v>2</v>
      </c>
      <c r="AH2829">
        <v>1</v>
      </c>
      <c r="AI2829">
        <v>250.24</v>
      </c>
      <c r="AJ2829" t="s">
        <v>281</v>
      </c>
      <c r="AK2829" t="s">
        <v>12456</v>
      </c>
      <c r="AL2829" t="s">
        <v>12460</v>
      </c>
      <c r="AM2829">
        <v>52000</v>
      </c>
      <c r="AS2829">
        <v>86.09999999999999</v>
      </c>
      <c r="AT2829" t="s">
        <v>382</v>
      </c>
      <c r="AU2829" t="s">
        <v>13107</v>
      </c>
    </row>
    <row r="2830" spans="1:47">
      <c r="A2830" s="1">
        <f>HYPERLINK("https://cms.ls-nyc.org/matter/dynamic-profile/view/1857538","18-1857538")</f>
        <v>0</v>
      </c>
      <c r="B2830" t="s">
        <v>104</v>
      </c>
      <c r="C2830" t="s">
        <v>476</v>
      </c>
      <c r="E2830" t="s">
        <v>743</v>
      </c>
      <c r="F2830" t="s">
        <v>3433</v>
      </c>
      <c r="G2830" t="s">
        <v>4161</v>
      </c>
      <c r="H2830" t="s">
        <v>5948</v>
      </c>
      <c r="I2830" t="s">
        <v>6047</v>
      </c>
      <c r="J2830">
        <v>10452</v>
      </c>
      <c r="K2830" t="s">
        <v>6074</v>
      </c>
      <c r="L2830" t="s">
        <v>6075</v>
      </c>
      <c r="M2830" t="s">
        <v>6537</v>
      </c>
      <c r="N2830" t="s">
        <v>7285</v>
      </c>
      <c r="O2830" t="s">
        <v>7311</v>
      </c>
      <c r="Q2830" t="s">
        <v>7322</v>
      </c>
      <c r="R2830" t="s">
        <v>6074</v>
      </c>
      <c r="S2830" t="s">
        <v>7324</v>
      </c>
      <c r="U2830" t="s">
        <v>402</v>
      </c>
      <c r="V2830">
        <v>799.6</v>
      </c>
      <c r="W2830" t="s">
        <v>7363</v>
      </c>
      <c r="X2830" t="s">
        <v>7376</v>
      </c>
      <c r="Z2830" t="s">
        <v>9531</v>
      </c>
      <c r="AB2830" t="s">
        <v>12179</v>
      </c>
      <c r="AC2830">
        <v>122</v>
      </c>
      <c r="AD2830" t="s">
        <v>12422</v>
      </c>
      <c r="AE2830" t="s">
        <v>6110</v>
      </c>
      <c r="AF2830">
        <v>24</v>
      </c>
      <c r="AG2830">
        <v>1</v>
      </c>
      <c r="AH2830">
        <v>0</v>
      </c>
      <c r="AI2830">
        <v>254.13</v>
      </c>
      <c r="AL2830" t="s">
        <v>12460</v>
      </c>
      <c r="AM2830">
        <v>30648</v>
      </c>
      <c r="AN2830" t="s">
        <v>12584</v>
      </c>
      <c r="AS2830">
        <v>0</v>
      </c>
      <c r="AU2830" t="s">
        <v>13099</v>
      </c>
    </row>
    <row r="2831" spans="1:47">
      <c r="A2831" s="1">
        <f>HYPERLINK("https://cms.ls-nyc.org/matter/dynamic-profile/view/1891891","19-1891891")</f>
        <v>0</v>
      </c>
      <c r="B2831" t="s">
        <v>72</v>
      </c>
      <c r="C2831" t="s">
        <v>329</v>
      </c>
      <c r="E2831" t="s">
        <v>987</v>
      </c>
      <c r="F2831" t="s">
        <v>3283</v>
      </c>
      <c r="G2831" t="s">
        <v>3701</v>
      </c>
      <c r="H2831" t="s">
        <v>5691</v>
      </c>
      <c r="I2831" t="s">
        <v>6043</v>
      </c>
      <c r="J2831">
        <v>11233</v>
      </c>
      <c r="K2831" t="s">
        <v>6076</v>
      </c>
      <c r="L2831" t="s">
        <v>6076</v>
      </c>
      <c r="N2831" t="s">
        <v>7279</v>
      </c>
      <c r="O2831" t="s">
        <v>7311</v>
      </c>
      <c r="Q2831" t="s">
        <v>7322</v>
      </c>
      <c r="R2831" t="s">
        <v>6074</v>
      </c>
      <c r="S2831" t="s">
        <v>7324</v>
      </c>
      <c r="T2831" t="s">
        <v>7336</v>
      </c>
      <c r="U2831" t="s">
        <v>330</v>
      </c>
      <c r="V2831">
        <v>775</v>
      </c>
      <c r="W2831" t="s">
        <v>7362</v>
      </c>
      <c r="X2831" t="s">
        <v>7305</v>
      </c>
      <c r="Z2831" t="s">
        <v>9302</v>
      </c>
      <c r="AC2831">
        <v>359</v>
      </c>
      <c r="AD2831" t="s">
        <v>12422</v>
      </c>
      <c r="AE2831" t="s">
        <v>6110</v>
      </c>
      <c r="AF2831">
        <v>10</v>
      </c>
      <c r="AG2831">
        <v>2</v>
      </c>
      <c r="AH2831">
        <v>0</v>
      </c>
      <c r="AI2831">
        <v>254.29</v>
      </c>
      <c r="AL2831" t="s">
        <v>12460</v>
      </c>
      <c r="AM2831">
        <v>43000</v>
      </c>
      <c r="AN2831" t="s">
        <v>12601</v>
      </c>
      <c r="AS2831">
        <v>0</v>
      </c>
      <c r="AU2831" t="s">
        <v>180</v>
      </c>
    </row>
    <row r="2832" spans="1:47">
      <c r="A2832" s="1">
        <f>HYPERLINK("https://cms.ls-nyc.org/matter/dynamic-profile/view/1891899","19-1891899")</f>
        <v>0</v>
      </c>
      <c r="B2832" t="s">
        <v>72</v>
      </c>
      <c r="C2832" t="s">
        <v>329</v>
      </c>
      <c r="E2832" t="s">
        <v>987</v>
      </c>
      <c r="F2832" t="s">
        <v>3283</v>
      </c>
      <c r="G2832" t="s">
        <v>3701</v>
      </c>
      <c r="H2832" t="s">
        <v>5691</v>
      </c>
      <c r="I2832" t="s">
        <v>6043</v>
      </c>
      <c r="J2832">
        <v>11233</v>
      </c>
      <c r="K2832" t="s">
        <v>6076</v>
      </c>
      <c r="L2832" t="s">
        <v>6076</v>
      </c>
      <c r="N2832" t="s">
        <v>7275</v>
      </c>
      <c r="O2832" t="s">
        <v>7307</v>
      </c>
      <c r="Q2832" t="s">
        <v>7322</v>
      </c>
      <c r="R2832" t="s">
        <v>6074</v>
      </c>
      <c r="S2832" t="s">
        <v>7324</v>
      </c>
      <c r="T2832" t="s">
        <v>7336</v>
      </c>
      <c r="U2832" t="s">
        <v>287</v>
      </c>
      <c r="V2832">
        <v>775</v>
      </c>
      <c r="W2832" t="s">
        <v>7362</v>
      </c>
      <c r="X2832" t="s">
        <v>7305</v>
      </c>
      <c r="Z2832" t="s">
        <v>9302</v>
      </c>
      <c r="AC2832">
        <v>359</v>
      </c>
      <c r="AD2832" t="s">
        <v>12422</v>
      </c>
      <c r="AE2832" t="s">
        <v>6110</v>
      </c>
      <c r="AF2832">
        <v>10</v>
      </c>
      <c r="AG2832">
        <v>2</v>
      </c>
      <c r="AH2832">
        <v>0</v>
      </c>
      <c r="AI2832">
        <v>254.29</v>
      </c>
      <c r="AL2832" t="s">
        <v>12460</v>
      </c>
      <c r="AM2832">
        <v>43000</v>
      </c>
      <c r="AN2832" t="s">
        <v>12743</v>
      </c>
      <c r="AS2832">
        <v>0</v>
      </c>
      <c r="AU2832" t="s">
        <v>180</v>
      </c>
    </row>
    <row r="2833" spans="1:47">
      <c r="A2833" s="1">
        <f>HYPERLINK("https://cms.ls-nyc.org/matter/dynamic-profile/view/1876809","18-1876809")</f>
        <v>0</v>
      </c>
      <c r="B2833" t="s">
        <v>101</v>
      </c>
      <c r="C2833" t="s">
        <v>289</v>
      </c>
      <c r="E2833" t="s">
        <v>1893</v>
      </c>
      <c r="F2833" t="s">
        <v>2283</v>
      </c>
      <c r="G2833" t="s">
        <v>3939</v>
      </c>
      <c r="H2833" t="s">
        <v>5364</v>
      </c>
      <c r="I2833" t="s">
        <v>6047</v>
      </c>
      <c r="J2833">
        <v>10456</v>
      </c>
      <c r="K2833" t="s">
        <v>6074</v>
      </c>
      <c r="L2833" t="s">
        <v>6074</v>
      </c>
      <c r="M2833" t="s">
        <v>6303</v>
      </c>
      <c r="N2833" t="s">
        <v>7279</v>
      </c>
      <c r="O2833" t="s">
        <v>7311</v>
      </c>
      <c r="Q2833" t="s">
        <v>7322</v>
      </c>
      <c r="R2833" t="s">
        <v>6074</v>
      </c>
      <c r="S2833" t="s">
        <v>7324</v>
      </c>
      <c r="U2833" t="s">
        <v>502</v>
      </c>
      <c r="V2833">
        <v>886</v>
      </c>
      <c r="W2833" t="s">
        <v>7363</v>
      </c>
      <c r="X2833" t="s">
        <v>7376</v>
      </c>
      <c r="Z2833" t="s">
        <v>9532</v>
      </c>
      <c r="AB2833" t="s">
        <v>12180</v>
      </c>
      <c r="AC2833">
        <v>131</v>
      </c>
      <c r="AD2833" t="s">
        <v>12422</v>
      </c>
      <c r="AE2833" t="s">
        <v>6110</v>
      </c>
      <c r="AF2833">
        <v>28</v>
      </c>
      <c r="AG2833">
        <v>2</v>
      </c>
      <c r="AH2833">
        <v>0</v>
      </c>
      <c r="AI2833">
        <v>255.16</v>
      </c>
      <c r="AL2833" t="s">
        <v>12460</v>
      </c>
      <c r="AM2833">
        <v>42000</v>
      </c>
      <c r="AS2833">
        <v>1.5</v>
      </c>
      <c r="AT2833" t="s">
        <v>392</v>
      </c>
      <c r="AU2833" t="s">
        <v>13095</v>
      </c>
    </row>
    <row r="2834" spans="1:47">
      <c r="A2834" s="1">
        <f>HYPERLINK("https://cms.ls-nyc.org/matter/dynamic-profile/view/1886106","18-1886106")</f>
        <v>0</v>
      </c>
      <c r="B2834" t="s">
        <v>101</v>
      </c>
      <c r="C2834" t="s">
        <v>326</v>
      </c>
      <c r="E2834" t="s">
        <v>1893</v>
      </c>
      <c r="F2834" t="s">
        <v>2283</v>
      </c>
      <c r="G2834" t="s">
        <v>3939</v>
      </c>
      <c r="H2834" t="s">
        <v>5364</v>
      </c>
      <c r="I2834" t="s">
        <v>6047</v>
      </c>
      <c r="J2834">
        <v>10456</v>
      </c>
      <c r="K2834" t="s">
        <v>6074</v>
      </c>
      <c r="L2834" t="s">
        <v>6074</v>
      </c>
      <c r="M2834" t="s">
        <v>6303</v>
      </c>
      <c r="N2834" t="s">
        <v>7279</v>
      </c>
      <c r="O2834" t="s">
        <v>7311</v>
      </c>
      <c r="Q2834" t="s">
        <v>7322</v>
      </c>
      <c r="R2834" t="s">
        <v>6074</v>
      </c>
      <c r="S2834" t="s">
        <v>7324</v>
      </c>
      <c r="U2834" t="s">
        <v>472</v>
      </c>
      <c r="V2834">
        <v>886</v>
      </c>
      <c r="W2834" t="s">
        <v>7363</v>
      </c>
      <c r="X2834" t="s">
        <v>7376</v>
      </c>
      <c r="Z2834" t="s">
        <v>9532</v>
      </c>
      <c r="AB2834" t="s">
        <v>12180</v>
      </c>
      <c r="AC2834">
        <v>131</v>
      </c>
      <c r="AD2834" t="s">
        <v>12422</v>
      </c>
      <c r="AE2834" t="s">
        <v>6110</v>
      </c>
      <c r="AF2834">
        <v>28</v>
      </c>
      <c r="AG2834">
        <v>2</v>
      </c>
      <c r="AH2834">
        <v>0</v>
      </c>
      <c r="AI2834">
        <v>255.16</v>
      </c>
      <c r="AL2834" t="s">
        <v>12460</v>
      </c>
      <c r="AM2834">
        <v>42000</v>
      </c>
      <c r="AS2834">
        <v>0</v>
      </c>
      <c r="AU2834" t="s">
        <v>13095</v>
      </c>
    </row>
    <row r="2835" spans="1:47">
      <c r="A2835" s="1">
        <f>HYPERLINK("https://cms.ls-nyc.org/matter/dynamic-profile/view/1876807","18-1876807")</f>
        <v>0</v>
      </c>
      <c r="B2835" t="s">
        <v>101</v>
      </c>
      <c r="C2835" t="s">
        <v>238</v>
      </c>
      <c r="E2835" t="s">
        <v>1893</v>
      </c>
      <c r="F2835" t="s">
        <v>2283</v>
      </c>
      <c r="G2835" t="s">
        <v>3939</v>
      </c>
      <c r="H2835" t="s">
        <v>5364</v>
      </c>
      <c r="I2835" t="s">
        <v>6047</v>
      </c>
      <c r="J2835">
        <v>10456</v>
      </c>
      <c r="K2835" t="s">
        <v>6074</v>
      </c>
      <c r="L2835" t="s">
        <v>6074</v>
      </c>
      <c r="M2835" t="s">
        <v>6287</v>
      </c>
      <c r="N2835" t="s">
        <v>7273</v>
      </c>
      <c r="O2835" t="s">
        <v>7308</v>
      </c>
      <c r="Q2835" t="s">
        <v>7322</v>
      </c>
      <c r="R2835" t="s">
        <v>6074</v>
      </c>
      <c r="S2835" t="s">
        <v>7324</v>
      </c>
      <c r="U2835" t="s">
        <v>238</v>
      </c>
      <c r="V2835">
        <v>886</v>
      </c>
      <c r="W2835" t="s">
        <v>7363</v>
      </c>
      <c r="X2835" t="s">
        <v>7376</v>
      </c>
      <c r="Z2835" t="s">
        <v>9532</v>
      </c>
      <c r="AB2835" t="s">
        <v>12180</v>
      </c>
      <c r="AC2835">
        <v>131</v>
      </c>
      <c r="AD2835" t="s">
        <v>12422</v>
      </c>
      <c r="AE2835" t="s">
        <v>6110</v>
      </c>
      <c r="AF2835">
        <v>28</v>
      </c>
      <c r="AG2835">
        <v>2</v>
      </c>
      <c r="AH2835">
        <v>0</v>
      </c>
      <c r="AI2835">
        <v>255.16</v>
      </c>
      <c r="AL2835" t="s">
        <v>12460</v>
      </c>
      <c r="AM2835">
        <v>42000</v>
      </c>
      <c r="AS2835">
        <v>0.5</v>
      </c>
      <c r="AT2835" t="s">
        <v>332</v>
      </c>
      <c r="AU2835" t="s">
        <v>13095</v>
      </c>
    </row>
    <row r="2836" spans="1:47">
      <c r="A2836" s="1">
        <f>HYPERLINK("https://cms.ls-nyc.org/matter/dynamic-profile/view/1873190","18-1873190")</f>
        <v>0</v>
      </c>
      <c r="B2836" t="s">
        <v>139</v>
      </c>
      <c r="C2836" t="s">
        <v>419</v>
      </c>
      <c r="D2836" t="s">
        <v>462</v>
      </c>
      <c r="E2836" t="s">
        <v>993</v>
      </c>
      <c r="F2836" t="s">
        <v>2079</v>
      </c>
      <c r="G2836" t="s">
        <v>5226</v>
      </c>
      <c r="H2836">
        <v>63</v>
      </c>
      <c r="I2836" t="s">
        <v>6049</v>
      </c>
      <c r="J2836">
        <v>10032</v>
      </c>
      <c r="K2836" t="s">
        <v>6074</v>
      </c>
      <c r="L2836" t="s">
        <v>6074</v>
      </c>
      <c r="N2836" t="s">
        <v>7285</v>
      </c>
      <c r="O2836" t="s">
        <v>7306</v>
      </c>
      <c r="P2836" t="s">
        <v>7314</v>
      </c>
      <c r="Q2836" t="s">
        <v>7322</v>
      </c>
      <c r="R2836" t="s">
        <v>6076</v>
      </c>
      <c r="S2836" t="s">
        <v>7324</v>
      </c>
      <c r="U2836" t="s">
        <v>419</v>
      </c>
      <c r="V2836">
        <v>815.37</v>
      </c>
      <c r="W2836" t="s">
        <v>7365</v>
      </c>
      <c r="X2836" t="s">
        <v>7375</v>
      </c>
      <c r="Y2836" t="s">
        <v>7386</v>
      </c>
      <c r="Z2836" t="s">
        <v>9533</v>
      </c>
      <c r="AB2836" t="s">
        <v>12181</v>
      </c>
      <c r="AC2836">
        <v>54</v>
      </c>
      <c r="AD2836" t="s">
        <v>12422</v>
      </c>
      <c r="AE2836" t="s">
        <v>6110</v>
      </c>
      <c r="AF2836">
        <v>48</v>
      </c>
      <c r="AG2836">
        <v>2</v>
      </c>
      <c r="AH2836">
        <v>0</v>
      </c>
      <c r="AI2836">
        <v>255.16</v>
      </c>
      <c r="AJ2836" t="s">
        <v>354</v>
      </c>
      <c r="AK2836" t="s">
        <v>12456</v>
      </c>
      <c r="AL2836" t="s">
        <v>12461</v>
      </c>
      <c r="AM2836">
        <v>42000</v>
      </c>
      <c r="AS2836">
        <v>0.3</v>
      </c>
      <c r="AT2836" t="s">
        <v>419</v>
      </c>
      <c r="AU2836" t="s">
        <v>13106</v>
      </c>
    </row>
    <row r="2837" spans="1:47">
      <c r="A2837" s="1">
        <f>HYPERLINK("https://cms.ls-nyc.org/matter/dynamic-profile/view/1870620","18-1870620")</f>
        <v>0</v>
      </c>
      <c r="B2837" t="s">
        <v>78</v>
      </c>
      <c r="C2837" t="s">
        <v>538</v>
      </c>
      <c r="D2837" t="s">
        <v>250</v>
      </c>
      <c r="E2837" t="s">
        <v>625</v>
      </c>
      <c r="F2837" t="s">
        <v>3434</v>
      </c>
      <c r="G2837" t="s">
        <v>4008</v>
      </c>
      <c r="H2837" t="s">
        <v>5925</v>
      </c>
      <c r="I2837" t="s">
        <v>6043</v>
      </c>
      <c r="J2837">
        <v>11207</v>
      </c>
      <c r="K2837" t="s">
        <v>6074</v>
      </c>
      <c r="L2837" t="s">
        <v>6074</v>
      </c>
      <c r="M2837" t="s">
        <v>7194</v>
      </c>
      <c r="N2837" t="s">
        <v>7276</v>
      </c>
      <c r="O2837" t="s">
        <v>7308</v>
      </c>
      <c r="P2837" t="s">
        <v>7314</v>
      </c>
      <c r="Q2837" t="s">
        <v>7322</v>
      </c>
      <c r="R2837" t="s">
        <v>6076</v>
      </c>
      <c r="S2837" t="s">
        <v>7324</v>
      </c>
      <c r="U2837" t="s">
        <v>419</v>
      </c>
      <c r="V2837">
        <v>1365</v>
      </c>
      <c r="W2837" t="s">
        <v>7362</v>
      </c>
      <c r="X2837" t="s">
        <v>7381</v>
      </c>
      <c r="Y2837" t="s">
        <v>7391</v>
      </c>
      <c r="Z2837" t="s">
        <v>9534</v>
      </c>
      <c r="AB2837" t="s">
        <v>12182</v>
      </c>
      <c r="AC2837">
        <v>23</v>
      </c>
      <c r="AD2837" t="s">
        <v>12422</v>
      </c>
      <c r="AE2837" t="s">
        <v>6110</v>
      </c>
      <c r="AF2837">
        <v>2</v>
      </c>
      <c r="AG2837">
        <v>1</v>
      </c>
      <c r="AH2837">
        <v>0</v>
      </c>
      <c r="AI2837">
        <v>255.35</v>
      </c>
      <c r="AJ2837" t="s">
        <v>354</v>
      </c>
      <c r="AK2837" t="s">
        <v>12456</v>
      </c>
      <c r="AL2837" t="s">
        <v>12460</v>
      </c>
      <c r="AM2837">
        <v>31000</v>
      </c>
      <c r="AP2837" t="s">
        <v>7305</v>
      </c>
      <c r="AQ2837" t="s">
        <v>12909</v>
      </c>
      <c r="AR2837" t="s">
        <v>13041</v>
      </c>
      <c r="AS2837">
        <v>17.8</v>
      </c>
      <c r="AT2837" t="s">
        <v>504</v>
      </c>
      <c r="AU2837" t="s">
        <v>218</v>
      </c>
    </row>
    <row r="2838" spans="1:47">
      <c r="A2838" s="1">
        <f>HYPERLINK("https://cms.ls-nyc.org/matter/dynamic-profile/view/1875686","18-1875686")</f>
        <v>0</v>
      </c>
      <c r="B2838" t="s">
        <v>78</v>
      </c>
      <c r="C2838" t="s">
        <v>233</v>
      </c>
      <c r="E2838" t="s">
        <v>1400</v>
      </c>
      <c r="F2838" t="s">
        <v>2119</v>
      </c>
      <c r="G2838" t="s">
        <v>4993</v>
      </c>
      <c r="H2838" t="s">
        <v>5390</v>
      </c>
      <c r="I2838" t="s">
        <v>6043</v>
      </c>
      <c r="J2838">
        <v>11212</v>
      </c>
      <c r="K2838" t="s">
        <v>6074</v>
      </c>
      <c r="L2838" t="s">
        <v>6074</v>
      </c>
      <c r="N2838" t="s">
        <v>6104</v>
      </c>
      <c r="O2838" t="s">
        <v>7310</v>
      </c>
      <c r="Q2838" t="s">
        <v>7322</v>
      </c>
      <c r="R2838" t="s">
        <v>6074</v>
      </c>
      <c r="S2838" t="s">
        <v>7324</v>
      </c>
      <c r="U2838" t="s">
        <v>233</v>
      </c>
      <c r="V2838">
        <v>839.77</v>
      </c>
      <c r="W2838" t="s">
        <v>7362</v>
      </c>
      <c r="X2838" t="s">
        <v>7375</v>
      </c>
      <c r="Z2838" t="s">
        <v>9524</v>
      </c>
      <c r="AB2838" t="s">
        <v>12174</v>
      </c>
      <c r="AC2838">
        <v>8</v>
      </c>
      <c r="AD2838" t="s">
        <v>12422</v>
      </c>
      <c r="AE2838" t="s">
        <v>6110</v>
      </c>
      <c r="AF2838">
        <v>24</v>
      </c>
      <c r="AG2838">
        <v>1</v>
      </c>
      <c r="AH2838">
        <v>0</v>
      </c>
      <c r="AI2838">
        <v>255.63</v>
      </c>
      <c r="AL2838" t="s">
        <v>12460</v>
      </c>
      <c r="AM2838">
        <v>31033.6</v>
      </c>
      <c r="AS2838">
        <v>22.55</v>
      </c>
      <c r="AT2838" t="s">
        <v>436</v>
      </c>
      <c r="AU2838" t="s">
        <v>91</v>
      </c>
    </row>
    <row r="2839" spans="1:47">
      <c r="A2839" s="1">
        <f>HYPERLINK("https://cms.ls-nyc.org/matter/dynamic-profile/view/1889983","19-1889983")</f>
        <v>0</v>
      </c>
      <c r="B2839" t="s">
        <v>96</v>
      </c>
      <c r="C2839" t="s">
        <v>351</v>
      </c>
      <c r="E2839" t="s">
        <v>1364</v>
      </c>
      <c r="F2839" t="s">
        <v>2121</v>
      </c>
      <c r="G2839" t="s">
        <v>3792</v>
      </c>
      <c r="H2839" t="s">
        <v>5630</v>
      </c>
      <c r="I2839" t="s">
        <v>6047</v>
      </c>
      <c r="J2839">
        <v>10453</v>
      </c>
      <c r="K2839" t="s">
        <v>6074</v>
      </c>
      <c r="L2839" t="s">
        <v>6074</v>
      </c>
      <c r="N2839" t="s">
        <v>7279</v>
      </c>
      <c r="O2839" t="s">
        <v>7311</v>
      </c>
      <c r="Q2839" t="s">
        <v>7322</v>
      </c>
      <c r="R2839" t="s">
        <v>6074</v>
      </c>
      <c r="S2839" t="s">
        <v>7324</v>
      </c>
      <c r="U2839" t="s">
        <v>457</v>
      </c>
      <c r="V2839">
        <v>692.1</v>
      </c>
      <c r="W2839" t="s">
        <v>7363</v>
      </c>
      <c r="X2839" t="s">
        <v>7376</v>
      </c>
      <c r="Z2839" t="s">
        <v>8709</v>
      </c>
      <c r="AB2839" t="s">
        <v>12183</v>
      </c>
      <c r="AC2839">
        <v>167</v>
      </c>
      <c r="AD2839" t="s">
        <v>12422</v>
      </c>
      <c r="AE2839" t="s">
        <v>12441</v>
      </c>
      <c r="AF2839">
        <v>30</v>
      </c>
      <c r="AG2839">
        <v>1</v>
      </c>
      <c r="AH2839">
        <v>0</v>
      </c>
      <c r="AI2839">
        <v>255.8</v>
      </c>
      <c r="AL2839" t="s">
        <v>12460</v>
      </c>
      <c r="AM2839">
        <v>31950</v>
      </c>
      <c r="AS2839">
        <v>0</v>
      </c>
      <c r="AU2839" t="s">
        <v>13092</v>
      </c>
    </row>
    <row r="2840" spans="1:47">
      <c r="A2840" s="1">
        <f>HYPERLINK("https://cms.ls-nyc.org/matter/dynamic-profile/view/1889981","19-1889981")</f>
        <v>0</v>
      </c>
      <c r="B2840" t="s">
        <v>96</v>
      </c>
      <c r="C2840" t="s">
        <v>351</v>
      </c>
      <c r="E2840" t="s">
        <v>1364</v>
      </c>
      <c r="F2840" t="s">
        <v>2121</v>
      </c>
      <c r="G2840" t="s">
        <v>3792</v>
      </c>
      <c r="H2840" t="s">
        <v>5630</v>
      </c>
      <c r="I2840" t="s">
        <v>6047</v>
      </c>
      <c r="J2840">
        <v>10453</v>
      </c>
      <c r="K2840" t="s">
        <v>6074</v>
      </c>
      <c r="L2840" t="s">
        <v>6074</v>
      </c>
      <c r="M2840" t="s">
        <v>6259</v>
      </c>
      <c r="N2840" t="s">
        <v>7273</v>
      </c>
      <c r="O2840" t="s">
        <v>7308</v>
      </c>
      <c r="Q2840" t="s">
        <v>7322</v>
      </c>
      <c r="R2840" t="s">
        <v>6074</v>
      </c>
      <c r="S2840" t="s">
        <v>7324</v>
      </c>
      <c r="U2840" t="s">
        <v>457</v>
      </c>
      <c r="V2840">
        <v>692.1</v>
      </c>
      <c r="W2840" t="s">
        <v>7363</v>
      </c>
      <c r="X2840" t="s">
        <v>7376</v>
      </c>
      <c r="Z2840" t="s">
        <v>8709</v>
      </c>
      <c r="AB2840" t="s">
        <v>12183</v>
      </c>
      <c r="AC2840">
        <v>167</v>
      </c>
      <c r="AD2840" t="s">
        <v>12422</v>
      </c>
      <c r="AE2840" t="s">
        <v>12441</v>
      </c>
      <c r="AF2840">
        <v>30</v>
      </c>
      <c r="AG2840">
        <v>1</v>
      </c>
      <c r="AH2840">
        <v>0</v>
      </c>
      <c r="AI2840">
        <v>255.84</v>
      </c>
      <c r="AL2840" t="s">
        <v>12460</v>
      </c>
      <c r="AM2840">
        <v>31954</v>
      </c>
      <c r="AS2840">
        <v>0</v>
      </c>
      <c r="AU2840" t="s">
        <v>13092</v>
      </c>
    </row>
    <row r="2841" spans="1:47">
      <c r="A2841" s="1">
        <f>HYPERLINK("https://cms.ls-nyc.org/matter/dynamic-profile/view/1897609","19-1897609")</f>
        <v>0</v>
      </c>
      <c r="B2841" t="s">
        <v>72</v>
      </c>
      <c r="C2841" t="s">
        <v>424</v>
      </c>
      <c r="E2841" t="s">
        <v>1350</v>
      </c>
      <c r="F2841" t="s">
        <v>3435</v>
      </c>
      <c r="G2841" t="s">
        <v>3700</v>
      </c>
      <c r="H2841" t="s">
        <v>5949</v>
      </c>
      <c r="I2841" t="s">
        <v>6043</v>
      </c>
      <c r="J2841">
        <v>11233</v>
      </c>
      <c r="K2841" t="s">
        <v>6074</v>
      </c>
      <c r="L2841" t="s">
        <v>6076</v>
      </c>
      <c r="N2841" t="s">
        <v>7279</v>
      </c>
      <c r="O2841" t="s">
        <v>7311</v>
      </c>
      <c r="Q2841" t="s">
        <v>7322</v>
      </c>
      <c r="R2841" t="s">
        <v>6074</v>
      </c>
      <c r="S2841" t="s">
        <v>7324</v>
      </c>
      <c r="T2841" t="s">
        <v>7336</v>
      </c>
      <c r="U2841" t="s">
        <v>330</v>
      </c>
      <c r="V2841">
        <v>865</v>
      </c>
      <c r="W2841" t="s">
        <v>7362</v>
      </c>
      <c r="X2841" t="s">
        <v>7372</v>
      </c>
      <c r="Z2841" t="s">
        <v>9535</v>
      </c>
      <c r="AC2841">
        <v>359</v>
      </c>
      <c r="AD2841" t="s">
        <v>12422</v>
      </c>
      <c r="AF2841">
        <v>26</v>
      </c>
      <c r="AG2841">
        <v>1</v>
      </c>
      <c r="AH2841">
        <v>0</v>
      </c>
      <c r="AI2841">
        <v>256.2</v>
      </c>
      <c r="AL2841" t="s">
        <v>12460</v>
      </c>
      <c r="AM2841">
        <v>32000</v>
      </c>
      <c r="AN2841" t="s">
        <v>12490</v>
      </c>
      <c r="AS2841">
        <v>0</v>
      </c>
      <c r="AU2841" t="s">
        <v>218</v>
      </c>
    </row>
    <row r="2842" spans="1:47">
      <c r="A2842" s="1">
        <f>HYPERLINK("https://cms.ls-nyc.org/matter/dynamic-profile/view/1897614","19-1897614")</f>
        <v>0</v>
      </c>
      <c r="B2842" t="s">
        <v>72</v>
      </c>
      <c r="C2842" t="s">
        <v>424</v>
      </c>
      <c r="E2842" t="s">
        <v>1350</v>
      </c>
      <c r="F2842" t="s">
        <v>3435</v>
      </c>
      <c r="G2842" t="s">
        <v>3700</v>
      </c>
      <c r="H2842" t="s">
        <v>5949</v>
      </c>
      <c r="I2842" t="s">
        <v>6043</v>
      </c>
      <c r="J2842">
        <v>11233</v>
      </c>
      <c r="K2842" t="s">
        <v>6074</v>
      </c>
      <c r="L2842" t="s">
        <v>6076</v>
      </c>
      <c r="N2842" t="s">
        <v>7275</v>
      </c>
      <c r="O2842" t="s">
        <v>7307</v>
      </c>
      <c r="Q2842" t="s">
        <v>7322</v>
      </c>
      <c r="R2842" t="s">
        <v>6074</v>
      </c>
      <c r="S2842" t="s">
        <v>7324</v>
      </c>
      <c r="T2842" t="s">
        <v>7336</v>
      </c>
      <c r="U2842" t="s">
        <v>287</v>
      </c>
      <c r="V2842">
        <v>865</v>
      </c>
      <c r="W2842" t="s">
        <v>7362</v>
      </c>
      <c r="X2842" t="s">
        <v>7372</v>
      </c>
      <c r="Z2842" t="s">
        <v>9535</v>
      </c>
      <c r="AC2842">
        <v>359</v>
      </c>
      <c r="AD2842" t="s">
        <v>12422</v>
      </c>
      <c r="AF2842">
        <v>26</v>
      </c>
      <c r="AG2842">
        <v>1</v>
      </c>
      <c r="AH2842">
        <v>0</v>
      </c>
      <c r="AI2842">
        <v>256.2</v>
      </c>
      <c r="AL2842" t="s">
        <v>12460</v>
      </c>
      <c r="AM2842">
        <v>32000</v>
      </c>
      <c r="AN2842" t="s">
        <v>12744</v>
      </c>
      <c r="AS2842">
        <v>0</v>
      </c>
      <c r="AU2842" t="s">
        <v>218</v>
      </c>
    </row>
    <row r="2843" spans="1:47">
      <c r="A2843" s="1">
        <f>HYPERLINK("https://cms.ls-nyc.org/matter/dynamic-profile/view/1876519","18-1876519")</f>
        <v>0</v>
      </c>
      <c r="B2843" t="s">
        <v>90</v>
      </c>
      <c r="C2843" t="s">
        <v>401</v>
      </c>
      <c r="D2843" t="s">
        <v>472</v>
      </c>
      <c r="E2843" t="s">
        <v>785</v>
      </c>
      <c r="F2843" t="s">
        <v>2054</v>
      </c>
      <c r="G2843" t="s">
        <v>3903</v>
      </c>
      <c r="H2843" t="s">
        <v>5438</v>
      </c>
      <c r="I2843" t="s">
        <v>6043</v>
      </c>
      <c r="J2843">
        <v>11212</v>
      </c>
      <c r="K2843" t="s">
        <v>6074</v>
      </c>
      <c r="L2843" t="s">
        <v>6074</v>
      </c>
      <c r="M2843" t="s">
        <v>6204</v>
      </c>
      <c r="N2843" t="s">
        <v>7281</v>
      </c>
      <c r="O2843" t="s">
        <v>7309</v>
      </c>
      <c r="P2843" t="s">
        <v>7319</v>
      </c>
      <c r="Q2843" t="s">
        <v>7322</v>
      </c>
      <c r="R2843" t="s">
        <v>6074</v>
      </c>
      <c r="S2843" t="s">
        <v>7331</v>
      </c>
      <c r="T2843" t="s">
        <v>7336</v>
      </c>
      <c r="U2843" t="s">
        <v>401</v>
      </c>
      <c r="V2843">
        <v>2152</v>
      </c>
      <c r="W2843" t="s">
        <v>7362</v>
      </c>
      <c r="X2843" t="s">
        <v>7368</v>
      </c>
      <c r="Y2843" t="s">
        <v>7396</v>
      </c>
      <c r="Z2843" t="s">
        <v>9536</v>
      </c>
      <c r="AB2843" t="s">
        <v>12184</v>
      </c>
      <c r="AC2843">
        <v>35</v>
      </c>
      <c r="AD2843" t="s">
        <v>12420</v>
      </c>
      <c r="AE2843" t="s">
        <v>12434</v>
      </c>
      <c r="AF2843">
        <v>16</v>
      </c>
      <c r="AG2843">
        <v>2</v>
      </c>
      <c r="AH2843">
        <v>0</v>
      </c>
      <c r="AI2843">
        <v>256.38</v>
      </c>
      <c r="AL2843" t="s">
        <v>12460</v>
      </c>
      <c r="AM2843">
        <v>42200</v>
      </c>
      <c r="AN2843" t="s">
        <v>12525</v>
      </c>
      <c r="AS2843">
        <v>23.8</v>
      </c>
      <c r="AT2843" t="s">
        <v>457</v>
      </c>
      <c r="AU2843" t="s">
        <v>90</v>
      </c>
    </row>
    <row r="2844" spans="1:47">
      <c r="A2844" s="1">
        <f>HYPERLINK("https://cms.ls-nyc.org/matter/dynamic-profile/view/1882830","18-1882830")</f>
        <v>0</v>
      </c>
      <c r="B2844" t="s">
        <v>92</v>
      </c>
      <c r="C2844" t="s">
        <v>246</v>
      </c>
      <c r="D2844" t="s">
        <v>395</v>
      </c>
      <c r="E2844" t="s">
        <v>1158</v>
      </c>
      <c r="F2844" t="s">
        <v>636</v>
      </c>
      <c r="G2844" t="s">
        <v>5036</v>
      </c>
      <c r="H2844">
        <v>25</v>
      </c>
      <c r="I2844" t="s">
        <v>6043</v>
      </c>
      <c r="J2844">
        <v>11213</v>
      </c>
      <c r="K2844" t="s">
        <v>6074</v>
      </c>
      <c r="L2844" t="s">
        <v>6074</v>
      </c>
      <c r="N2844" t="s">
        <v>7273</v>
      </c>
      <c r="O2844" t="s">
        <v>7306</v>
      </c>
      <c r="P2844" t="s">
        <v>7314</v>
      </c>
      <c r="Q2844" t="s">
        <v>7322</v>
      </c>
      <c r="R2844" t="s">
        <v>6074</v>
      </c>
      <c r="S2844" t="s">
        <v>7324</v>
      </c>
      <c r="T2844" t="s">
        <v>7336</v>
      </c>
      <c r="U2844" t="s">
        <v>283</v>
      </c>
      <c r="V2844">
        <v>1103.14</v>
      </c>
      <c r="W2844" t="s">
        <v>7362</v>
      </c>
      <c r="X2844" t="s">
        <v>7375</v>
      </c>
      <c r="Y2844" t="s">
        <v>7386</v>
      </c>
      <c r="Z2844" t="s">
        <v>9537</v>
      </c>
      <c r="AC2844">
        <v>34</v>
      </c>
      <c r="AD2844" t="s">
        <v>12422</v>
      </c>
      <c r="AF2844">
        <v>25</v>
      </c>
      <c r="AG2844">
        <v>1</v>
      </c>
      <c r="AH2844">
        <v>0</v>
      </c>
      <c r="AI2844">
        <v>257</v>
      </c>
      <c r="AJ2844" t="s">
        <v>492</v>
      </c>
      <c r="AK2844" t="s">
        <v>12456</v>
      </c>
      <c r="AL2844" t="s">
        <v>12460</v>
      </c>
      <c r="AM2844">
        <v>31200</v>
      </c>
      <c r="AS2844">
        <v>0.8</v>
      </c>
      <c r="AT2844" t="s">
        <v>395</v>
      </c>
      <c r="AU2844" t="s">
        <v>180</v>
      </c>
    </row>
    <row r="2845" spans="1:47">
      <c r="A2845" s="1">
        <f>HYPERLINK("https://cms.ls-nyc.org/matter/dynamic-profile/view/1886038","18-1886038")</f>
        <v>0</v>
      </c>
      <c r="B2845" t="s">
        <v>102</v>
      </c>
      <c r="C2845" t="s">
        <v>320</v>
      </c>
      <c r="E2845" t="s">
        <v>569</v>
      </c>
      <c r="F2845" t="s">
        <v>3436</v>
      </c>
      <c r="G2845" t="s">
        <v>3779</v>
      </c>
      <c r="H2845" t="s">
        <v>5950</v>
      </c>
      <c r="I2845" t="s">
        <v>6047</v>
      </c>
      <c r="J2845">
        <v>10460</v>
      </c>
      <c r="K2845" t="s">
        <v>6074</v>
      </c>
      <c r="L2845" t="s">
        <v>6074</v>
      </c>
      <c r="N2845" t="s">
        <v>7273</v>
      </c>
      <c r="O2845" t="s">
        <v>7308</v>
      </c>
      <c r="Q2845" t="s">
        <v>7322</v>
      </c>
      <c r="R2845" t="s">
        <v>6074</v>
      </c>
      <c r="S2845" t="s">
        <v>7324</v>
      </c>
      <c r="U2845" t="s">
        <v>320</v>
      </c>
      <c r="V2845">
        <v>955</v>
      </c>
      <c r="W2845" t="s">
        <v>7363</v>
      </c>
      <c r="X2845" t="s">
        <v>7376</v>
      </c>
      <c r="Z2845" t="s">
        <v>9538</v>
      </c>
      <c r="AB2845" t="s">
        <v>12185</v>
      </c>
      <c r="AC2845">
        <v>169</v>
      </c>
      <c r="AD2845" t="s">
        <v>12422</v>
      </c>
      <c r="AE2845" t="s">
        <v>12434</v>
      </c>
      <c r="AF2845">
        <v>34</v>
      </c>
      <c r="AG2845">
        <v>1</v>
      </c>
      <c r="AH2845">
        <v>0</v>
      </c>
      <c r="AI2845">
        <v>257</v>
      </c>
      <c r="AL2845" t="s">
        <v>12460</v>
      </c>
      <c r="AM2845">
        <v>31200</v>
      </c>
      <c r="AS2845">
        <v>0</v>
      </c>
      <c r="AU2845" t="s">
        <v>13113</v>
      </c>
    </row>
    <row r="2846" spans="1:47">
      <c r="A2846" s="1">
        <f>HYPERLINK("https://cms.ls-nyc.org/matter/dynamic-profile/view/1882809","18-1882809")</f>
        <v>0</v>
      </c>
      <c r="B2846" t="s">
        <v>104</v>
      </c>
      <c r="C2846" t="s">
        <v>246</v>
      </c>
      <c r="E2846" t="s">
        <v>725</v>
      </c>
      <c r="F2846" t="s">
        <v>2587</v>
      </c>
      <c r="G2846" t="s">
        <v>5227</v>
      </c>
      <c r="I2846" t="s">
        <v>6047</v>
      </c>
      <c r="J2846">
        <v>10466</v>
      </c>
      <c r="K2846" t="s">
        <v>6074</v>
      </c>
      <c r="L2846" t="s">
        <v>6074</v>
      </c>
      <c r="N2846" t="s">
        <v>7292</v>
      </c>
      <c r="O2846" t="s">
        <v>7311</v>
      </c>
      <c r="Q2846" t="s">
        <v>7322</v>
      </c>
      <c r="R2846" t="s">
        <v>6076</v>
      </c>
      <c r="S2846" t="s">
        <v>7331</v>
      </c>
      <c r="U2846" t="s">
        <v>246</v>
      </c>
      <c r="V2846">
        <v>1172</v>
      </c>
      <c r="W2846" t="s">
        <v>7363</v>
      </c>
      <c r="X2846" t="s">
        <v>7378</v>
      </c>
      <c r="AB2846" t="s">
        <v>12186</v>
      </c>
      <c r="AC2846">
        <v>0</v>
      </c>
      <c r="AD2846" t="s">
        <v>12419</v>
      </c>
      <c r="AE2846" t="s">
        <v>12434</v>
      </c>
      <c r="AF2846">
        <v>0</v>
      </c>
      <c r="AG2846">
        <v>1</v>
      </c>
      <c r="AH2846">
        <v>0</v>
      </c>
      <c r="AI2846">
        <v>257.03</v>
      </c>
      <c r="AJ2846" t="s">
        <v>329</v>
      </c>
      <c r="AK2846" t="s">
        <v>12456</v>
      </c>
      <c r="AL2846" t="s">
        <v>12460</v>
      </c>
      <c r="AM2846">
        <v>31204</v>
      </c>
      <c r="AS2846">
        <v>69.65000000000001</v>
      </c>
      <c r="AT2846" t="s">
        <v>381</v>
      </c>
      <c r="AU2846" t="s">
        <v>104</v>
      </c>
    </row>
    <row r="2847" spans="1:47">
      <c r="A2847" s="1">
        <f>HYPERLINK("https://cms.ls-nyc.org/matter/dynamic-profile/view/1870803","18-1870803")</f>
        <v>0</v>
      </c>
      <c r="B2847" t="s">
        <v>92</v>
      </c>
      <c r="C2847" t="s">
        <v>321</v>
      </c>
      <c r="D2847" t="s">
        <v>249</v>
      </c>
      <c r="E2847" t="s">
        <v>1206</v>
      </c>
      <c r="F2847" t="s">
        <v>1370</v>
      </c>
      <c r="G2847" t="s">
        <v>5228</v>
      </c>
      <c r="H2847" t="s">
        <v>5446</v>
      </c>
      <c r="I2847" t="s">
        <v>6043</v>
      </c>
      <c r="J2847">
        <v>11212</v>
      </c>
      <c r="K2847" t="s">
        <v>6074</v>
      </c>
      <c r="L2847" t="s">
        <v>6074</v>
      </c>
      <c r="M2847" t="s">
        <v>6104</v>
      </c>
      <c r="N2847" t="s">
        <v>7275</v>
      </c>
      <c r="O2847" t="s">
        <v>7307</v>
      </c>
      <c r="P2847" t="s">
        <v>7315</v>
      </c>
      <c r="Q2847" t="s">
        <v>7322</v>
      </c>
      <c r="R2847" t="s">
        <v>6074</v>
      </c>
      <c r="S2847" t="s">
        <v>7324</v>
      </c>
      <c r="T2847" t="s">
        <v>7336</v>
      </c>
      <c r="U2847" t="s">
        <v>7349</v>
      </c>
      <c r="V2847">
        <v>916</v>
      </c>
      <c r="W2847" t="s">
        <v>7362</v>
      </c>
      <c r="X2847" t="s">
        <v>7376</v>
      </c>
      <c r="Y2847" t="s">
        <v>7387</v>
      </c>
      <c r="Z2847" t="s">
        <v>9539</v>
      </c>
      <c r="AA2847" t="s">
        <v>6110</v>
      </c>
      <c r="AB2847" t="s">
        <v>12187</v>
      </c>
      <c r="AC2847">
        <v>12</v>
      </c>
      <c r="AD2847" t="s">
        <v>12420</v>
      </c>
      <c r="AE2847" t="s">
        <v>12434</v>
      </c>
      <c r="AF2847">
        <v>19</v>
      </c>
      <c r="AG2847">
        <v>2</v>
      </c>
      <c r="AH2847">
        <v>0</v>
      </c>
      <c r="AI2847">
        <v>258.2</v>
      </c>
      <c r="AJ2847" t="s">
        <v>413</v>
      </c>
      <c r="AK2847" t="s">
        <v>12456</v>
      </c>
      <c r="AL2847" t="s">
        <v>12460</v>
      </c>
      <c r="AM2847">
        <v>42500</v>
      </c>
      <c r="AS2847">
        <v>17.7</v>
      </c>
      <c r="AT2847" t="s">
        <v>249</v>
      </c>
      <c r="AU2847" t="s">
        <v>13080</v>
      </c>
    </row>
    <row r="2848" spans="1:47">
      <c r="A2848" s="1">
        <f>HYPERLINK("https://cms.ls-nyc.org/matter/dynamic-profile/view/1883006","18-1883006")</f>
        <v>0</v>
      </c>
      <c r="B2848" t="s">
        <v>83</v>
      </c>
      <c r="C2848" t="s">
        <v>416</v>
      </c>
      <c r="E2848" t="s">
        <v>643</v>
      </c>
      <c r="F2848" t="s">
        <v>3162</v>
      </c>
      <c r="G2848" t="s">
        <v>4434</v>
      </c>
      <c r="H2848" t="s">
        <v>5827</v>
      </c>
      <c r="I2848" t="s">
        <v>6043</v>
      </c>
      <c r="J2848">
        <v>11226</v>
      </c>
      <c r="K2848" t="s">
        <v>6074</v>
      </c>
      <c r="L2848" t="s">
        <v>6074</v>
      </c>
      <c r="N2848" t="s">
        <v>7275</v>
      </c>
      <c r="O2848" t="s">
        <v>7307</v>
      </c>
      <c r="Q2848" t="s">
        <v>7322</v>
      </c>
      <c r="R2848" t="s">
        <v>6076</v>
      </c>
      <c r="S2848" t="s">
        <v>7324</v>
      </c>
      <c r="U2848" t="s">
        <v>412</v>
      </c>
      <c r="V2848">
        <v>1822.5</v>
      </c>
      <c r="W2848" t="s">
        <v>7362</v>
      </c>
      <c r="X2848" t="s">
        <v>7376</v>
      </c>
      <c r="Z2848" t="s">
        <v>9057</v>
      </c>
      <c r="AB2848" t="s">
        <v>11753</v>
      </c>
      <c r="AC2848">
        <v>120</v>
      </c>
      <c r="AD2848" t="s">
        <v>12422</v>
      </c>
      <c r="AF2848">
        <v>0</v>
      </c>
      <c r="AG2848">
        <v>2</v>
      </c>
      <c r="AH2848">
        <v>0</v>
      </c>
      <c r="AI2848">
        <v>258.81</v>
      </c>
      <c r="AL2848" t="s">
        <v>12460</v>
      </c>
      <c r="AM2848">
        <v>42600</v>
      </c>
      <c r="AS2848">
        <v>9.5</v>
      </c>
      <c r="AT2848" t="s">
        <v>347</v>
      </c>
      <c r="AU2848" t="s">
        <v>69</v>
      </c>
    </row>
    <row r="2849" spans="1:48">
      <c r="A2849" s="1">
        <f>HYPERLINK("https://cms.ls-nyc.org/matter/dynamic-profile/view/1885631","18-1885631")</f>
        <v>0</v>
      </c>
      <c r="B2849" t="s">
        <v>102</v>
      </c>
      <c r="C2849" t="s">
        <v>320</v>
      </c>
      <c r="E2849" t="s">
        <v>1854</v>
      </c>
      <c r="F2849" t="s">
        <v>3437</v>
      </c>
      <c r="G2849" t="s">
        <v>3779</v>
      </c>
      <c r="H2849" t="s">
        <v>5951</v>
      </c>
      <c r="I2849" t="s">
        <v>6047</v>
      </c>
      <c r="J2849">
        <v>10460</v>
      </c>
      <c r="K2849" t="s">
        <v>6074</v>
      </c>
      <c r="L2849" t="s">
        <v>6074</v>
      </c>
      <c r="M2849" t="s">
        <v>6182</v>
      </c>
      <c r="N2849" t="s">
        <v>7273</v>
      </c>
      <c r="O2849" t="s">
        <v>7308</v>
      </c>
      <c r="Q2849" t="s">
        <v>7322</v>
      </c>
      <c r="R2849" t="s">
        <v>6074</v>
      </c>
      <c r="S2849" t="s">
        <v>7324</v>
      </c>
      <c r="U2849" t="s">
        <v>457</v>
      </c>
      <c r="V2849">
        <v>895</v>
      </c>
      <c r="W2849" t="s">
        <v>7363</v>
      </c>
      <c r="X2849" t="s">
        <v>7376</v>
      </c>
      <c r="Z2849" t="s">
        <v>9540</v>
      </c>
      <c r="AC2849">
        <v>168</v>
      </c>
      <c r="AD2849" t="s">
        <v>12420</v>
      </c>
      <c r="AE2849" t="s">
        <v>12434</v>
      </c>
      <c r="AF2849">
        <v>5</v>
      </c>
      <c r="AG2849">
        <v>1</v>
      </c>
      <c r="AH2849">
        <v>0</v>
      </c>
      <c r="AI2849">
        <v>259.47</v>
      </c>
      <c r="AL2849" t="s">
        <v>12460</v>
      </c>
      <c r="AM2849">
        <v>31500</v>
      </c>
      <c r="AS2849">
        <v>0</v>
      </c>
      <c r="AU2849" t="s">
        <v>13113</v>
      </c>
    </row>
    <row r="2850" spans="1:48">
      <c r="A2850" s="1">
        <f>HYPERLINK("https://cms.ls-nyc.org/matter/dynamic-profile/view/1873585","18-1873585")</f>
        <v>0</v>
      </c>
      <c r="B2850" t="s">
        <v>130</v>
      </c>
      <c r="C2850" t="s">
        <v>467</v>
      </c>
      <c r="E2850" t="s">
        <v>832</v>
      </c>
      <c r="F2850" t="s">
        <v>3219</v>
      </c>
      <c r="G2850" t="s">
        <v>3842</v>
      </c>
      <c r="H2850" t="s">
        <v>5380</v>
      </c>
      <c r="I2850" t="s">
        <v>6049</v>
      </c>
      <c r="J2850">
        <v>10033</v>
      </c>
      <c r="K2850" t="s">
        <v>6074</v>
      </c>
      <c r="L2850" t="s">
        <v>6074</v>
      </c>
      <c r="N2850" t="s">
        <v>7273</v>
      </c>
      <c r="O2850" t="s">
        <v>7306</v>
      </c>
      <c r="Q2850" t="s">
        <v>7322</v>
      </c>
      <c r="R2850" t="s">
        <v>6074</v>
      </c>
      <c r="S2850" t="s">
        <v>7324</v>
      </c>
      <c r="U2850" t="s">
        <v>467</v>
      </c>
      <c r="V2850">
        <v>1429.45</v>
      </c>
      <c r="W2850" t="s">
        <v>7365</v>
      </c>
      <c r="X2850" t="s">
        <v>7375</v>
      </c>
      <c r="Z2850" t="s">
        <v>8948</v>
      </c>
      <c r="AB2850" t="s">
        <v>12188</v>
      </c>
      <c r="AC2850">
        <v>232</v>
      </c>
      <c r="AD2850" t="s">
        <v>12422</v>
      </c>
      <c r="AE2850" t="s">
        <v>12434</v>
      </c>
      <c r="AF2850">
        <v>24</v>
      </c>
      <c r="AG2850">
        <v>1</v>
      </c>
      <c r="AH2850">
        <v>1</v>
      </c>
      <c r="AI2850">
        <v>260.47</v>
      </c>
      <c r="AL2850" t="s">
        <v>12461</v>
      </c>
      <c r="AM2850">
        <v>42873</v>
      </c>
      <c r="AS2850">
        <v>0.7</v>
      </c>
      <c r="AT2850" t="s">
        <v>496</v>
      </c>
      <c r="AU2850" t="s">
        <v>13106</v>
      </c>
    </row>
    <row r="2851" spans="1:48">
      <c r="A2851" s="1">
        <f>HYPERLINK("https://cms.ls-nyc.org/matter/dynamic-profile/view/1872526","18-1872526")</f>
        <v>0</v>
      </c>
      <c r="B2851" t="s">
        <v>133</v>
      </c>
      <c r="C2851" t="s">
        <v>376</v>
      </c>
      <c r="D2851" t="s">
        <v>376</v>
      </c>
      <c r="E2851" t="s">
        <v>1107</v>
      </c>
      <c r="F2851" t="s">
        <v>2313</v>
      </c>
      <c r="G2851" t="s">
        <v>5229</v>
      </c>
      <c r="H2851" t="s">
        <v>5952</v>
      </c>
      <c r="I2851" t="s">
        <v>6049</v>
      </c>
      <c r="J2851">
        <v>10032</v>
      </c>
      <c r="K2851" t="s">
        <v>6074</v>
      </c>
      <c r="L2851" t="s">
        <v>6075</v>
      </c>
      <c r="N2851" t="s">
        <v>6104</v>
      </c>
      <c r="O2851" t="s">
        <v>7306</v>
      </c>
      <c r="P2851" t="s">
        <v>7314</v>
      </c>
      <c r="Q2851" t="s">
        <v>7322</v>
      </c>
      <c r="R2851" t="s">
        <v>6076</v>
      </c>
      <c r="S2851" t="s">
        <v>7324</v>
      </c>
      <c r="U2851" t="s">
        <v>376</v>
      </c>
      <c r="V2851">
        <v>1021.57</v>
      </c>
      <c r="W2851" t="s">
        <v>7365</v>
      </c>
      <c r="X2851" t="s">
        <v>7367</v>
      </c>
      <c r="Y2851" t="s">
        <v>7386</v>
      </c>
      <c r="Z2851" t="s">
        <v>9541</v>
      </c>
      <c r="AB2851" t="s">
        <v>12189</v>
      </c>
      <c r="AC2851">
        <v>0</v>
      </c>
      <c r="AF2851">
        <v>37</v>
      </c>
      <c r="AG2851">
        <v>2</v>
      </c>
      <c r="AH2851">
        <v>0</v>
      </c>
      <c r="AI2851">
        <v>261.28</v>
      </c>
      <c r="AJ2851" t="s">
        <v>354</v>
      </c>
      <c r="AK2851" t="s">
        <v>12456</v>
      </c>
      <c r="AL2851" t="s">
        <v>12461</v>
      </c>
      <c r="AM2851">
        <v>43007.22</v>
      </c>
      <c r="AS2851">
        <v>1.5</v>
      </c>
      <c r="AT2851" t="s">
        <v>376</v>
      </c>
      <c r="AU2851" t="s">
        <v>133</v>
      </c>
    </row>
    <row r="2852" spans="1:48">
      <c r="A2852" s="1">
        <f>HYPERLINK("https://cms.ls-nyc.org/matter/dynamic-profile/view/1894918","19-1894918")</f>
        <v>0</v>
      </c>
      <c r="B2852" t="s">
        <v>81</v>
      </c>
      <c r="C2852" t="s">
        <v>361</v>
      </c>
      <c r="E2852" t="s">
        <v>1267</v>
      </c>
      <c r="F2852" t="s">
        <v>3438</v>
      </c>
      <c r="G2852" t="s">
        <v>3874</v>
      </c>
      <c r="H2852" t="s">
        <v>5465</v>
      </c>
      <c r="I2852" t="s">
        <v>6043</v>
      </c>
      <c r="J2852">
        <v>11225</v>
      </c>
      <c r="K2852" t="s">
        <v>6074</v>
      </c>
      <c r="L2852" t="s">
        <v>6074</v>
      </c>
      <c r="N2852" t="s">
        <v>7282</v>
      </c>
      <c r="O2852" t="s">
        <v>7308</v>
      </c>
      <c r="Q2852" t="s">
        <v>7322</v>
      </c>
      <c r="R2852" t="s">
        <v>6074</v>
      </c>
      <c r="S2852" t="s">
        <v>7324</v>
      </c>
      <c r="U2852" t="s">
        <v>386</v>
      </c>
      <c r="V2852">
        <v>1093.84</v>
      </c>
      <c r="W2852" t="s">
        <v>7362</v>
      </c>
      <c r="Z2852" t="s">
        <v>9542</v>
      </c>
      <c r="AC2852">
        <v>0</v>
      </c>
      <c r="AF2852">
        <v>13</v>
      </c>
      <c r="AG2852">
        <v>2</v>
      </c>
      <c r="AH2852">
        <v>0</v>
      </c>
      <c r="AI2852">
        <v>261.38</v>
      </c>
      <c r="AL2852" t="s">
        <v>12460</v>
      </c>
      <c r="AM2852">
        <v>44200</v>
      </c>
      <c r="AS2852">
        <v>0</v>
      </c>
      <c r="AU2852" t="s">
        <v>88</v>
      </c>
    </row>
    <row r="2853" spans="1:48">
      <c r="A2853" s="1">
        <f>HYPERLINK("https://cms.ls-nyc.org/matter/dynamic-profile/view/1871500","18-1871500")</f>
        <v>0</v>
      </c>
      <c r="B2853" t="s">
        <v>96</v>
      </c>
      <c r="C2853" t="s">
        <v>374</v>
      </c>
      <c r="D2853" t="s">
        <v>389</v>
      </c>
      <c r="E2853" t="s">
        <v>1047</v>
      </c>
      <c r="F2853" t="s">
        <v>2582</v>
      </c>
      <c r="G2853" t="s">
        <v>4267</v>
      </c>
      <c r="H2853" t="s">
        <v>5455</v>
      </c>
      <c r="I2853" t="s">
        <v>6047</v>
      </c>
      <c r="J2853">
        <v>10468</v>
      </c>
      <c r="K2853" t="s">
        <v>6074</v>
      </c>
      <c r="L2853" t="s">
        <v>6076</v>
      </c>
      <c r="N2853" t="s">
        <v>7285</v>
      </c>
      <c r="O2853" t="s">
        <v>7309</v>
      </c>
      <c r="P2853" t="s">
        <v>7314</v>
      </c>
      <c r="Q2853" t="s">
        <v>7322</v>
      </c>
      <c r="R2853" t="s">
        <v>6074</v>
      </c>
      <c r="S2853" t="s">
        <v>7324</v>
      </c>
      <c r="U2853" t="s">
        <v>374</v>
      </c>
      <c r="V2853">
        <v>1427</v>
      </c>
      <c r="W2853" t="s">
        <v>7363</v>
      </c>
      <c r="X2853" t="s">
        <v>7376</v>
      </c>
      <c r="Y2853" t="s">
        <v>7386</v>
      </c>
      <c r="Z2853" t="s">
        <v>9543</v>
      </c>
      <c r="AB2853" t="s">
        <v>12190</v>
      </c>
      <c r="AC2853">
        <v>58</v>
      </c>
      <c r="AD2853" t="s">
        <v>12422</v>
      </c>
      <c r="AE2853" t="s">
        <v>6110</v>
      </c>
      <c r="AF2853">
        <v>3</v>
      </c>
      <c r="AG2853">
        <v>2</v>
      </c>
      <c r="AH2853">
        <v>0</v>
      </c>
      <c r="AI2853">
        <v>261.85</v>
      </c>
      <c r="AL2853" t="s">
        <v>12461</v>
      </c>
      <c r="AM2853">
        <v>43100</v>
      </c>
      <c r="AS2853">
        <v>0.5</v>
      </c>
      <c r="AT2853" t="s">
        <v>374</v>
      </c>
      <c r="AU2853" t="s">
        <v>13092</v>
      </c>
    </row>
    <row r="2854" spans="1:48">
      <c r="A2854" s="1">
        <f>HYPERLINK("https://cms.ls-nyc.org/matter/dynamic-profile/view/1871490","18-1871490")</f>
        <v>0</v>
      </c>
      <c r="B2854" t="s">
        <v>96</v>
      </c>
      <c r="C2854" t="s">
        <v>374</v>
      </c>
      <c r="D2854" t="s">
        <v>389</v>
      </c>
      <c r="E2854" t="s">
        <v>1047</v>
      </c>
      <c r="F2854" t="s">
        <v>2582</v>
      </c>
      <c r="G2854" t="s">
        <v>4267</v>
      </c>
      <c r="H2854" t="s">
        <v>5455</v>
      </c>
      <c r="I2854" t="s">
        <v>6047</v>
      </c>
      <c r="J2854">
        <v>10468</v>
      </c>
      <c r="K2854" t="s">
        <v>6074</v>
      </c>
      <c r="L2854" t="s">
        <v>6074</v>
      </c>
      <c r="N2854" t="s">
        <v>6104</v>
      </c>
      <c r="O2854" t="s">
        <v>7306</v>
      </c>
      <c r="P2854" t="s">
        <v>7314</v>
      </c>
      <c r="Q2854" t="s">
        <v>7322</v>
      </c>
      <c r="S2854" t="s">
        <v>7324</v>
      </c>
      <c r="U2854" t="s">
        <v>374</v>
      </c>
      <c r="V2854">
        <v>1427</v>
      </c>
      <c r="W2854" t="s">
        <v>7363</v>
      </c>
      <c r="X2854" t="s">
        <v>7376</v>
      </c>
      <c r="Y2854" t="s">
        <v>7386</v>
      </c>
      <c r="Z2854" t="s">
        <v>9543</v>
      </c>
      <c r="AB2854" t="s">
        <v>12190</v>
      </c>
      <c r="AC2854">
        <v>58</v>
      </c>
      <c r="AD2854" t="s">
        <v>12422</v>
      </c>
      <c r="AE2854" t="s">
        <v>6110</v>
      </c>
      <c r="AF2854">
        <v>3</v>
      </c>
      <c r="AG2854">
        <v>2</v>
      </c>
      <c r="AH2854">
        <v>0</v>
      </c>
      <c r="AI2854">
        <v>261.85</v>
      </c>
      <c r="AL2854" t="s">
        <v>12461</v>
      </c>
      <c r="AM2854">
        <v>43100</v>
      </c>
      <c r="AS2854">
        <v>0.5</v>
      </c>
      <c r="AT2854" t="s">
        <v>374</v>
      </c>
      <c r="AU2854" t="s">
        <v>13092</v>
      </c>
    </row>
    <row r="2855" spans="1:48">
      <c r="A2855" s="1">
        <f>HYPERLINK("https://cms.ls-nyc.org/matter/dynamic-profile/view/1890995","19-1890995")</f>
        <v>0</v>
      </c>
      <c r="B2855" t="s">
        <v>96</v>
      </c>
      <c r="C2855" t="s">
        <v>393</v>
      </c>
      <c r="E2855" t="s">
        <v>823</v>
      </c>
      <c r="F2855" t="s">
        <v>2295</v>
      </c>
      <c r="G2855" t="s">
        <v>3792</v>
      </c>
      <c r="H2855" t="s">
        <v>5379</v>
      </c>
      <c r="I2855" t="s">
        <v>6047</v>
      </c>
      <c r="J2855">
        <v>10453</v>
      </c>
      <c r="K2855" t="s">
        <v>6074</v>
      </c>
      <c r="L2855" t="s">
        <v>6074</v>
      </c>
      <c r="N2855" t="s">
        <v>7279</v>
      </c>
      <c r="O2855" t="s">
        <v>7311</v>
      </c>
      <c r="Q2855" t="s">
        <v>7322</v>
      </c>
      <c r="R2855" t="s">
        <v>6074</v>
      </c>
      <c r="S2855" t="s">
        <v>7324</v>
      </c>
      <c r="U2855" t="s">
        <v>457</v>
      </c>
      <c r="V2855">
        <v>685.95</v>
      </c>
      <c r="W2855" t="s">
        <v>7363</v>
      </c>
      <c r="X2855" t="s">
        <v>7376</v>
      </c>
      <c r="Z2855" t="s">
        <v>7686</v>
      </c>
      <c r="AB2855" t="s">
        <v>10508</v>
      </c>
      <c r="AC2855">
        <v>167</v>
      </c>
      <c r="AD2855" t="s">
        <v>12422</v>
      </c>
      <c r="AE2855" t="s">
        <v>6110</v>
      </c>
      <c r="AF2855">
        <v>26</v>
      </c>
      <c r="AG2855">
        <v>1</v>
      </c>
      <c r="AH2855">
        <v>0</v>
      </c>
      <c r="AI2855">
        <v>262.29</v>
      </c>
      <c r="AL2855" t="s">
        <v>12460</v>
      </c>
      <c r="AM2855">
        <v>32760</v>
      </c>
      <c r="AS2855">
        <v>0</v>
      </c>
      <c r="AU2855" t="s">
        <v>13092</v>
      </c>
    </row>
    <row r="2856" spans="1:48">
      <c r="A2856" s="1">
        <f>HYPERLINK("https://cms.ls-nyc.org/matter/dynamic-profile/view/1897205","19-1897205")</f>
        <v>0</v>
      </c>
      <c r="B2856" t="s">
        <v>72</v>
      </c>
      <c r="C2856" t="s">
        <v>279</v>
      </c>
      <c r="E2856" t="s">
        <v>637</v>
      </c>
      <c r="F2856" t="s">
        <v>2113</v>
      </c>
      <c r="G2856" t="s">
        <v>4324</v>
      </c>
      <c r="H2856" t="s">
        <v>5387</v>
      </c>
      <c r="I2856" t="s">
        <v>6043</v>
      </c>
      <c r="J2856">
        <v>11233</v>
      </c>
      <c r="K2856" t="s">
        <v>6074</v>
      </c>
      <c r="L2856" t="s">
        <v>6076</v>
      </c>
      <c r="N2856" t="s">
        <v>7279</v>
      </c>
      <c r="O2856" t="s">
        <v>7311</v>
      </c>
      <c r="Q2856" t="s">
        <v>7322</v>
      </c>
      <c r="R2856" t="s">
        <v>6074</v>
      </c>
      <c r="S2856" t="s">
        <v>7324</v>
      </c>
      <c r="T2856" t="s">
        <v>7336</v>
      </c>
      <c r="U2856" t="s">
        <v>330</v>
      </c>
      <c r="V2856">
        <v>651.8</v>
      </c>
      <c r="W2856" t="s">
        <v>7362</v>
      </c>
      <c r="X2856" t="s">
        <v>7305</v>
      </c>
      <c r="Z2856" t="s">
        <v>7476</v>
      </c>
      <c r="AC2856">
        <v>359</v>
      </c>
      <c r="AD2856" t="s">
        <v>12422</v>
      </c>
      <c r="AF2856">
        <v>40</v>
      </c>
      <c r="AG2856">
        <v>1</v>
      </c>
      <c r="AH2856">
        <v>2</v>
      </c>
      <c r="AI2856">
        <v>262.54</v>
      </c>
      <c r="AL2856" t="s">
        <v>12461</v>
      </c>
      <c r="AM2856">
        <v>56000</v>
      </c>
      <c r="AN2856" t="s">
        <v>12745</v>
      </c>
      <c r="AS2856">
        <v>0</v>
      </c>
      <c r="AU2856" t="s">
        <v>180</v>
      </c>
    </row>
    <row r="2857" spans="1:48">
      <c r="A2857" s="1">
        <f>HYPERLINK("https://cms.ls-nyc.org/matter/dynamic-profile/view/1897206","19-1897206")</f>
        <v>0</v>
      </c>
      <c r="B2857" t="s">
        <v>72</v>
      </c>
      <c r="C2857" t="s">
        <v>279</v>
      </c>
      <c r="E2857" t="s">
        <v>637</v>
      </c>
      <c r="F2857" t="s">
        <v>2113</v>
      </c>
      <c r="G2857" t="s">
        <v>4324</v>
      </c>
      <c r="H2857" t="s">
        <v>5387</v>
      </c>
      <c r="I2857" t="s">
        <v>6043</v>
      </c>
      <c r="J2857">
        <v>11233</v>
      </c>
      <c r="K2857" t="s">
        <v>6074</v>
      </c>
      <c r="L2857" t="s">
        <v>6076</v>
      </c>
      <c r="N2857" t="s">
        <v>7275</v>
      </c>
      <c r="O2857" t="s">
        <v>7307</v>
      </c>
      <c r="Q2857" t="s">
        <v>7322</v>
      </c>
      <c r="R2857" t="s">
        <v>6074</v>
      </c>
      <c r="S2857" t="s">
        <v>7324</v>
      </c>
      <c r="T2857" t="s">
        <v>7336</v>
      </c>
      <c r="U2857" t="s">
        <v>287</v>
      </c>
      <c r="V2857">
        <v>651</v>
      </c>
      <c r="W2857" t="s">
        <v>7362</v>
      </c>
      <c r="X2857" t="s">
        <v>7305</v>
      </c>
      <c r="Z2857" t="s">
        <v>7476</v>
      </c>
      <c r="AC2857">
        <v>359</v>
      </c>
      <c r="AD2857" t="s">
        <v>12422</v>
      </c>
      <c r="AF2857">
        <v>40</v>
      </c>
      <c r="AG2857">
        <v>1</v>
      </c>
      <c r="AH2857">
        <v>2</v>
      </c>
      <c r="AI2857">
        <v>262.54</v>
      </c>
      <c r="AL2857" t="s">
        <v>12461</v>
      </c>
      <c r="AM2857">
        <v>56000</v>
      </c>
      <c r="AN2857" t="s">
        <v>12746</v>
      </c>
      <c r="AS2857">
        <v>0</v>
      </c>
      <c r="AU2857" t="s">
        <v>180</v>
      </c>
    </row>
    <row r="2858" spans="1:48">
      <c r="A2858" s="1">
        <f>HYPERLINK("https://cms.ls-nyc.org/matter/dynamic-profile/view/1886133","18-1886133")</f>
        <v>0</v>
      </c>
      <c r="B2858" t="s">
        <v>101</v>
      </c>
      <c r="C2858" t="s">
        <v>326</v>
      </c>
      <c r="E2858" t="s">
        <v>1894</v>
      </c>
      <c r="F2858" t="s">
        <v>3439</v>
      </c>
      <c r="G2858" t="s">
        <v>3939</v>
      </c>
      <c r="H2858" t="s">
        <v>5609</v>
      </c>
      <c r="I2858" t="s">
        <v>6047</v>
      </c>
      <c r="J2858">
        <v>10456</v>
      </c>
      <c r="K2858" t="s">
        <v>6074</v>
      </c>
      <c r="L2858" t="s">
        <v>6074</v>
      </c>
      <c r="M2858" t="s">
        <v>6303</v>
      </c>
      <c r="N2858" t="s">
        <v>7279</v>
      </c>
      <c r="O2858" t="s">
        <v>7311</v>
      </c>
      <c r="Q2858" t="s">
        <v>7322</v>
      </c>
      <c r="R2858" t="s">
        <v>6074</v>
      </c>
      <c r="S2858" t="s">
        <v>7324</v>
      </c>
      <c r="U2858" t="s">
        <v>472</v>
      </c>
      <c r="V2858">
        <v>889.6</v>
      </c>
      <c r="W2858" t="s">
        <v>7363</v>
      </c>
      <c r="X2858" t="s">
        <v>7376</v>
      </c>
      <c r="Z2858" t="s">
        <v>9544</v>
      </c>
      <c r="AB2858" t="s">
        <v>12191</v>
      </c>
      <c r="AC2858">
        <v>131</v>
      </c>
      <c r="AD2858" t="s">
        <v>12422</v>
      </c>
      <c r="AE2858" t="s">
        <v>6110</v>
      </c>
      <c r="AF2858">
        <v>26</v>
      </c>
      <c r="AG2858">
        <v>1</v>
      </c>
      <c r="AH2858">
        <v>0</v>
      </c>
      <c r="AI2858">
        <v>263.59</v>
      </c>
      <c r="AL2858" t="s">
        <v>12460</v>
      </c>
      <c r="AM2858">
        <v>32000</v>
      </c>
      <c r="AS2858">
        <v>0</v>
      </c>
      <c r="AU2858" t="s">
        <v>13095</v>
      </c>
    </row>
    <row r="2859" spans="1:48">
      <c r="A2859" s="1">
        <f>HYPERLINK("https://cms.ls-nyc.org/matter/dynamic-profile/view/1874347","18-1874347")</f>
        <v>0</v>
      </c>
      <c r="B2859" t="s">
        <v>131</v>
      </c>
      <c r="C2859" t="s">
        <v>471</v>
      </c>
      <c r="D2859" t="s">
        <v>471</v>
      </c>
      <c r="E2859" t="s">
        <v>1346</v>
      </c>
      <c r="F2859" t="s">
        <v>2300</v>
      </c>
      <c r="G2859" t="s">
        <v>5230</v>
      </c>
      <c r="H2859">
        <v>55</v>
      </c>
      <c r="I2859" t="s">
        <v>6049</v>
      </c>
      <c r="J2859">
        <v>10034</v>
      </c>
      <c r="K2859" t="s">
        <v>6074</v>
      </c>
      <c r="L2859" t="s">
        <v>6074</v>
      </c>
      <c r="N2859" t="s">
        <v>7276</v>
      </c>
      <c r="O2859" t="s">
        <v>7307</v>
      </c>
      <c r="P2859" t="s">
        <v>7315</v>
      </c>
      <c r="Q2859" t="s">
        <v>7322</v>
      </c>
      <c r="R2859" t="s">
        <v>6076</v>
      </c>
      <c r="S2859" t="s">
        <v>7324</v>
      </c>
      <c r="U2859" t="s">
        <v>471</v>
      </c>
      <c r="V2859">
        <v>0</v>
      </c>
      <c r="W2859" t="s">
        <v>7365</v>
      </c>
      <c r="X2859" t="s">
        <v>7367</v>
      </c>
      <c r="Y2859" t="s">
        <v>7386</v>
      </c>
      <c r="Z2859" t="s">
        <v>9545</v>
      </c>
      <c r="AB2859" t="s">
        <v>12192</v>
      </c>
      <c r="AC2859">
        <v>70</v>
      </c>
      <c r="AD2859" t="s">
        <v>12422</v>
      </c>
      <c r="AE2859" t="s">
        <v>6110</v>
      </c>
      <c r="AF2859">
        <v>8</v>
      </c>
      <c r="AG2859">
        <v>1</v>
      </c>
      <c r="AH2859">
        <v>0</v>
      </c>
      <c r="AI2859">
        <v>263.59</v>
      </c>
      <c r="AJ2859" t="s">
        <v>354</v>
      </c>
      <c r="AK2859" t="s">
        <v>12456</v>
      </c>
      <c r="AL2859" t="s">
        <v>12461</v>
      </c>
      <c r="AM2859">
        <v>32000</v>
      </c>
      <c r="AS2859">
        <v>0.2</v>
      </c>
      <c r="AT2859" t="s">
        <v>471</v>
      </c>
      <c r="AU2859" t="s">
        <v>13106</v>
      </c>
    </row>
    <row r="2860" spans="1:48">
      <c r="A2860" s="1">
        <f>HYPERLINK("https://cms.ls-nyc.org/matter/dynamic-profile/view/1897404","19-1897404")</f>
        <v>0</v>
      </c>
      <c r="B2860" t="s">
        <v>72</v>
      </c>
      <c r="C2860" t="s">
        <v>347</v>
      </c>
      <c r="E2860" t="s">
        <v>1892</v>
      </c>
      <c r="F2860" t="s">
        <v>3440</v>
      </c>
      <c r="G2860" t="s">
        <v>3700</v>
      </c>
      <c r="H2860" t="s">
        <v>5953</v>
      </c>
      <c r="I2860" t="s">
        <v>6043</v>
      </c>
      <c r="J2860">
        <v>11233</v>
      </c>
      <c r="K2860" t="s">
        <v>6074</v>
      </c>
      <c r="L2860" t="s">
        <v>6076</v>
      </c>
      <c r="N2860" t="s">
        <v>7279</v>
      </c>
      <c r="O2860" t="s">
        <v>7311</v>
      </c>
      <c r="Q2860" t="s">
        <v>7322</v>
      </c>
      <c r="R2860" t="s">
        <v>6074</v>
      </c>
      <c r="S2860" t="s">
        <v>7324</v>
      </c>
      <c r="T2860" t="s">
        <v>7336</v>
      </c>
      <c r="U2860" t="s">
        <v>330</v>
      </c>
      <c r="V2860">
        <v>601</v>
      </c>
      <c r="W2860" t="s">
        <v>7362</v>
      </c>
      <c r="X2860" t="s">
        <v>7372</v>
      </c>
      <c r="Z2860" t="s">
        <v>9546</v>
      </c>
      <c r="AC2860">
        <v>359</v>
      </c>
      <c r="AD2860" t="s">
        <v>12422</v>
      </c>
      <c r="AF2860">
        <v>7</v>
      </c>
      <c r="AG2860">
        <v>1</v>
      </c>
      <c r="AH2860">
        <v>0</v>
      </c>
      <c r="AI2860">
        <v>264.21</v>
      </c>
      <c r="AL2860" t="s">
        <v>12460</v>
      </c>
      <c r="AM2860">
        <v>33000</v>
      </c>
      <c r="AN2860" t="s">
        <v>12747</v>
      </c>
      <c r="AS2860">
        <v>0</v>
      </c>
      <c r="AU2860" t="s">
        <v>218</v>
      </c>
    </row>
    <row r="2861" spans="1:48">
      <c r="A2861" s="1">
        <f>HYPERLINK("https://cms.ls-nyc.org/matter/dynamic-profile/view/1897534","19-1897534")</f>
        <v>0</v>
      </c>
      <c r="B2861" t="s">
        <v>72</v>
      </c>
      <c r="C2861" t="s">
        <v>280</v>
      </c>
      <c r="E2861" t="s">
        <v>659</v>
      </c>
      <c r="F2861" t="s">
        <v>3441</v>
      </c>
      <c r="G2861" t="s">
        <v>3701</v>
      </c>
      <c r="H2861" t="s">
        <v>5954</v>
      </c>
      <c r="I2861" t="s">
        <v>6043</v>
      </c>
      <c r="J2861">
        <v>11233</v>
      </c>
      <c r="K2861" t="s">
        <v>6074</v>
      </c>
      <c r="L2861" t="s">
        <v>6076</v>
      </c>
      <c r="N2861" t="s">
        <v>7279</v>
      </c>
      <c r="O2861" t="s">
        <v>7311</v>
      </c>
      <c r="Q2861" t="s">
        <v>7322</v>
      </c>
      <c r="R2861" t="s">
        <v>6074</v>
      </c>
      <c r="S2861" t="s">
        <v>7324</v>
      </c>
      <c r="T2861" t="s">
        <v>7336</v>
      </c>
      <c r="U2861" t="s">
        <v>330</v>
      </c>
      <c r="V2861">
        <v>0</v>
      </c>
      <c r="W2861" t="s">
        <v>7362</v>
      </c>
      <c r="X2861" t="s">
        <v>7372</v>
      </c>
      <c r="Z2861" t="s">
        <v>9547</v>
      </c>
      <c r="AC2861">
        <v>359</v>
      </c>
      <c r="AD2861" t="s">
        <v>12422</v>
      </c>
      <c r="AF2861">
        <v>40</v>
      </c>
      <c r="AG2861">
        <v>1</v>
      </c>
      <c r="AH2861">
        <v>0</v>
      </c>
      <c r="AI2861">
        <v>264.21</v>
      </c>
      <c r="AL2861" t="s">
        <v>12460</v>
      </c>
      <c r="AM2861">
        <v>33000</v>
      </c>
      <c r="AN2861" t="s">
        <v>12490</v>
      </c>
      <c r="AS2861">
        <v>0</v>
      </c>
      <c r="AU2861" t="s">
        <v>218</v>
      </c>
    </row>
    <row r="2862" spans="1:48">
      <c r="A2862" s="1">
        <f>HYPERLINK("https://cms.ls-nyc.org/matter/dynamic-profile/view/1898966","19-1898966")</f>
        <v>0</v>
      </c>
      <c r="B2862" t="s">
        <v>72</v>
      </c>
      <c r="C2862" t="s">
        <v>276</v>
      </c>
      <c r="E2862" t="s">
        <v>636</v>
      </c>
      <c r="F2862" t="s">
        <v>2257</v>
      </c>
      <c r="G2862" t="s">
        <v>4324</v>
      </c>
      <c r="H2862" t="s">
        <v>5955</v>
      </c>
      <c r="I2862" t="s">
        <v>6043</v>
      </c>
      <c r="J2862">
        <v>11233</v>
      </c>
      <c r="K2862" t="s">
        <v>6074</v>
      </c>
      <c r="L2862" t="s">
        <v>6075</v>
      </c>
      <c r="N2862" t="s">
        <v>7279</v>
      </c>
      <c r="O2862" t="s">
        <v>7311</v>
      </c>
      <c r="Q2862" t="s">
        <v>7322</v>
      </c>
      <c r="R2862" t="s">
        <v>6074</v>
      </c>
      <c r="S2862" t="s">
        <v>7324</v>
      </c>
      <c r="T2862" t="s">
        <v>7336</v>
      </c>
      <c r="U2862" t="s">
        <v>330</v>
      </c>
      <c r="V2862">
        <v>913</v>
      </c>
      <c r="W2862" t="s">
        <v>7362</v>
      </c>
      <c r="X2862" t="s">
        <v>7305</v>
      </c>
      <c r="Z2862" t="s">
        <v>9548</v>
      </c>
      <c r="AC2862">
        <v>359</v>
      </c>
      <c r="AD2862" t="s">
        <v>12422</v>
      </c>
      <c r="AF2862">
        <v>20</v>
      </c>
      <c r="AG2862">
        <v>1</v>
      </c>
      <c r="AH2862">
        <v>0</v>
      </c>
      <c r="AI2862">
        <v>264.21</v>
      </c>
      <c r="AL2862" t="s">
        <v>12460</v>
      </c>
      <c r="AM2862">
        <v>33000</v>
      </c>
      <c r="AN2862" t="s">
        <v>12488</v>
      </c>
      <c r="AS2862">
        <v>0</v>
      </c>
      <c r="AU2862" t="s">
        <v>180</v>
      </c>
      <c r="AV2862" t="s">
        <v>6110</v>
      </c>
    </row>
    <row r="2863" spans="1:48">
      <c r="A2863" s="1">
        <f>HYPERLINK("https://cms.ls-nyc.org/matter/dynamic-profile/view/1897535","19-1897535")</f>
        <v>0</v>
      </c>
      <c r="B2863" t="s">
        <v>72</v>
      </c>
      <c r="C2863" t="s">
        <v>280</v>
      </c>
      <c r="E2863" t="s">
        <v>659</v>
      </c>
      <c r="F2863" t="s">
        <v>3441</v>
      </c>
      <c r="G2863" t="s">
        <v>3701</v>
      </c>
      <c r="H2863" t="s">
        <v>5954</v>
      </c>
      <c r="I2863" t="s">
        <v>6043</v>
      </c>
      <c r="J2863">
        <v>11233</v>
      </c>
      <c r="K2863" t="s">
        <v>6074</v>
      </c>
      <c r="L2863" t="s">
        <v>6076</v>
      </c>
      <c r="N2863" t="s">
        <v>7275</v>
      </c>
      <c r="O2863" t="s">
        <v>7307</v>
      </c>
      <c r="Q2863" t="s">
        <v>7322</v>
      </c>
      <c r="R2863" t="s">
        <v>6074</v>
      </c>
      <c r="S2863" t="s">
        <v>7324</v>
      </c>
      <c r="T2863" t="s">
        <v>7336</v>
      </c>
      <c r="U2863" t="s">
        <v>287</v>
      </c>
      <c r="V2863">
        <v>0</v>
      </c>
      <c r="W2863" t="s">
        <v>7362</v>
      </c>
      <c r="X2863" t="s">
        <v>7372</v>
      </c>
      <c r="Z2863" t="s">
        <v>9547</v>
      </c>
      <c r="AC2863">
        <v>359</v>
      </c>
      <c r="AD2863" t="s">
        <v>12422</v>
      </c>
      <c r="AF2863">
        <v>40</v>
      </c>
      <c r="AG2863">
        <v>1</v>
      </c>
      <c r="AH2863">
        <v>0</v>
      </c>
      <c r="AI2863">
        <v>264.21</v>
      </c>
      <c r="AL2863" t="s">
        <v>12460</v>
      </c>
      <c r="AM2863">
        <v>33000</v>
      </c>
      <c r="AN2863" t="s">
        <v>12748</v>
      </c>
      <c r="AS2863">
        <v>0</v>
      </c>
      <c r="AU2863" t="s">
        <v>218</v>
      </c>
    </row>
    <row r="2864" spans="1:48">
      <c r="A2864" s="1">
        <f>HYPERLINK("https://cms.ls-nyc.org/matter/dynamic-profile/view/1898972","19-1898972")</f>
        <v>0</v>
      </c>
      <c r="B2864" t="s">
        <v>72</v>
      </c>
      <c r="C2864" t="s">
        <v>276</v>
      </c>
      <c r="E2864" t="s">
        <v>636</v>
      </c>
      <c r="F2864" t="s">
        <v>2257</v>
      </c>
      <c r="G2864" t="s">
        <v>4324</v>
      </c>
      <c r="H2864" t="s">
        <v>5955</v>
      </c>
      <c r="I2864" t="s">
        <v>6043</v>
      </c>
      <c r="J2864">
        <v>11233</v>
      </c>
      <c r="K2864" t="s">
        <v>6074</v>
      </c>
      <c r="L2864" t="s">
        <v>6075</v>
      </c>
      <c r="N2864" t="s">
        <v>7275</v>
      </c>
      <c r="O2864" t="s">
        <v>7307</v>
      </c>
      <c r="Q2864" t="s">
        <v>7322</v>
      </c>
      <c r="R2864" t="s">
        <v>6074</v>
      </c>
      <c r="S2864" t="s">
        <v>7324</v>
      </c>
      <c r="T2864" t="s">
        <v>7336</v>
      </c>
      <c r="U2864" t="s">
        <v>287</v>
      </c>
      <c r="V2864">
        <v>913</v>
      </c>
      <c r="W2864" t="s">
        <v>7362</v>
      </c>
      <c r="X2864" t="s">
        <v>7305</v>
      </c>
      <c r="Z2864" t="s">
        <v>9548</v>
      </c>
      <c r="AC2864">
        <v>359</v>
      </c>
      <c r="AD2864" t="s">
        <v>12422</v>
      </c>
      <c r="AF2864">
        <v>20</v>
      </c>
      <c r="AG2864">
        <v>1</v>
      </c>
      <c r="AH2864">
        <v>0</v>
      </c>
      <c r="AI2864">
        <v>264.21</v>
      </c>
      <c r="AL2864" t="s">
        <v>12460</v>
      </c>
      <c r="AM2864">
        <v>33000</v>
      </c>
      <c r="AN2864" t="s">
        <v>12749</v>
      </c>
      <c r="AS2864">
        <v>0</v>
      </c>
      <c r="AU2864" t="s">
        <v>180</v>
      </c>
      <c r="AV2864" t="s">
        <v>6110</v>
      </c>
    </row>
    <row r="2865" spans="1:48">
      <c r="A2865" s="1">
        <f>HYPERLINK("https://cms.ls-nyc.org/matter/dynamic-profile/view/1897406","19-1897406")</f>
        <v>0</v>
      </c>
      <c r="B2865" t="s">
        <v>72</v>
      </c>
      <c r="C2865" t="s">
        <v>347</v>
      </c>
      <c r="E2865" t="s">
        <v>1892</v>
      </c>
      <c r="F2865" t="s">
        <v>3440</v>
      </c>
      <c r="G2865" t="s">
        <v>3700</v>
      </c>
      <c r="H2865" t="s">
        <v>5953</v>
      </c>
      <c r="I2865" t="s">
        <v>6043</v>
      </c>
      <c r="J2865">
        <v>11233</v>
      </c>
      <c r="K2865" t="s">
        <v>6074</v>
      </c>
      <c r="L2865" t="s">
        <v>6076</v>
      </c>
      <c r="O2865" t="s">
        <v>7307</v>
      </c>
      <c r="Q2865" t="s">
        <v>7322</v>
      </c>
      <c r="R2865" t="s">
        <v>6074</v>
      </c>
      <c r="S2865" t="s">
        <v>7324</v>
      </c>
      <c r="T2865" t="s">
        <v>7336</v>
      </c>
      <c r="U2865" t="s">
        <v>287</v>
      </c>
      <c r="V2865">
        <v>601</v>
      </c>
      <c r="W2865" t="s">
        <v>7362</v>
      </c>
      <c r="X2865" t="s">
        <v>7372</v>
      </c>
      <c r="Z2865" t="s">
        <v>9546</v>
      </c>
      <c r="AC2865">
        <v>359</v>
      </c>
      <c r="AD2865" t="s">
        <v>12422</v>
      </c>
      <c r="AF2865">
        <v>7</v>
      </c>
      <c r="AG2865">
        <v>1</v>
      </c>
      <c r="AH2865">
        <v>0</v>
      </c>
      <c r="AI2865">
        <v>264.21</v>
      </c>
      <c r="AL2865" t="s">
        <v>12460</v>
      </c>
      <c r="AM2865">
        <v>33000</v>
      </c>
      <c r="AN2865" t="s">
        <v>12490</v>
      </c>
      <c r="AS2865">
        <v>0</v>
      </c>
      <c r="AU2865" t="s">
        <v>218</v>
      </c>
    </row>
    <row r="2866" spans="1:48">
      <c r="A2866" s="1">
        <f>HYPERLINK("https://cms.ls-nyc.org/matter/dynamic-profile/view/1895326","19-1895326")</f>
        <v>0</v>
      </c>
      <c r="B2866" t="s">
        <v>174</v>
      </c>
      <c r="C2866" t="s">
        <v>247</v>
      </c>
      <c r="E2866" t="s">
        <v>1139</v>
      </c>
      <c r="F2866" t="s">
        <v>3442</v>
      </c>
      <c r="G2866" t="s">
        <v>4938</v>
      </c>
      <c r="H2866" t="s">
        <v>5418</v>
      </c>
      <c r="I2866" t="s">
        <v>6043</v>
      </c>
      <c r="J2866">
        <v>11221</v>
      </c>
      <c r="K2866" t="s">
        <v>6076</v>
      </c>
      <c r="L2866" t="s">
        <v>6076</v>
      </c>
      <c r="N2866" t="s">
        <v>7287</v>
      </c>
      <c r="O2866" t="s">
        <v>7308</v>
      </c>
      <c r="Q2866" t="s">
        <v>7322</v>
      </c>
      <c r="R2866" t="s">
        <v>6074</v>
      </c>
      <c r="S2866" t="s">
        <v>7324</v>
      </c>
      <c r="U2866" t="s">
        <v>247</v>
      </c>
      <c r="V2866">
        <v>732</v>
      </c>
      <c r="W2866" t="s">
        <v>7362</v>
      </c>
      <c r="X2866" t="s">
        <v>7376</v>
      </c>
      <c r="Z2866" t="s">
        <v>9549</v>
      </c>
      <c r="AB2866" t="s">
        <v>12193</v>
      </c>
      <c r="AC2866">
        <v>13</v>
      </c>
      <c r="AD2866" t="s">
        <v>12422</v>
      </c>
      <c r="AE2866" t="s">
        <v>6110</v>
      </c>
      <c r="AF2866">
        <v>25</v>
      </c>
      <c r="AG2866">
        <v>3</v>
      </c>
      <c r="AH2866">
        <v>2</v>
      </c>
      <c r="AI2866">
        <v>265.16</v>
      </c>
      <c r="AL2866" t="s">
        <v>12460</v>
      </c>
      <c r="AM2866">
        <v>80000</v>
      </c>
      <c r="AS2866">
        <v>0</v>
      </c>
      <c r="AU2866" t="s">
        <v>218</v>
      </c>
    </row>
    <row r="2867" spans="1:48">
      <c r="A2867" s="1">
        <f>HYPERLINK("https://cms.ls-nyc.org/matter/dynamic-profile/view/1884623","18-1884623")</f>
        <v>0</v>
      </c>
      <c r="B2867" t="s">
        <v>131</v>
      </c>
      <c r="C2867" t="s">
        <v>504</v>
      </c>
      <c r="D2867" t="s">
        <v>365</v>
      </c>
      <c r="E2867" t="s">
        <v>1043</v>
      </c>
      <c r="F2867" t="s">
        <v>3443</v>
      </c>
      <c r="G2867" t="s">
        <v>5231</v>
      </c>
      <c r="H2867" t="s">
        <v>5446</v>
      </c>
      <c r="I2867" t="s">
        <v>6049</v>
      </c>
      <c r="J2867">
        <v>10034</v>
      </c>
      <c r="K2867" t="s">
        <v>6074</v>
      </c>
      <c r="L2867" t="s">
        <v>6074</v>
      </c>
      <c r="O2867" t="s">
        <v>7307</v>
      </c>
      <c r="P2867" t="s">
        <v>7315</v>
      </c>
      <c r="Q2867" t="s">
        <v>7322</v>
      </c>
      <c r="R2867" t="s">
        <v>6076</v>
      </c>
      <c r="S2867" t="s">
        <v>7324</v>
      </c>
      <c r="U2867" t="s">
        <v>413</v>
      </c>
      <c r="V2867">
        <v>1050</v>
      </c>
      <c r="W2867" t="s">
        <v>7365</v>
      </c>
      <c r="X2867" t="s">
        <v>7367</v>
      </c>
      <c r="Y2867" t="s">
        <v>7387</v>
      </c>
      <c r="Z2867" t="s">
        <v>9550</v>
      </c>
      <c r="AC2867">
        <v>0</v>
      </c>
      <c r="AD2867" t="s">
        <v>12424</v>
      </c>
      <c r="AE2867" t="s">
        <v>6110</v>
      </c>
      <c r="AF2867">
        <v>20</v>
      </c>
      <c r="AG2867">
        <v>1</v>
      </c>
      <c r="AH2867">
        <v>0</v>
      </c>
      <c r="AI2867">
        <v>266</v>
      </c>
      <c r="AL2867" t="s">
        <v>12460</v>
      </c>
      <c r="AM2867">
        <v>32292</v>
      </c>
      <c r="AS2867">
        <v>0.1</v>
      </c>
      <c r="AT2867" t="s">
        <v>365</v>
      </c>
      <c r="AU2867" t="s">
        <v>13106</v>
      </c>
    </row>
    <row r="2868" spans="1:48">
      <c r="A2868" s="1">
        <f>HYPERLINK("https://cms.ls-nyc.org/matter/dynamic-profile/view/1897345","19-1897345")</f>
        <v>0</v>
      </c>
      <c r="B2868" t="s">
        <v>72</v>
      </c>
      <c r="C2868" t="s">
        <v>347</v>
      </c>
      <c r="E2868" t="s">
        <v>679</v>
      </c>
      <c r="F2868" t="s">
        <v>3444</v>
      </c>
      <c r="G2868" t="s">
        <v>3701</v>
      </c>
      <c r="H2868" t="s">
        <v>5766</v>
      </c>
      <c r="I2868" t="s">
        <v>6043</v>
      </c>
      <c r="J2868">
        <v>11233</v>
      </c>
      <c r="K2868" t="s">
        <v>6074</v>
      </c>
      <c r="L2868" t="s">
        <v>6076</v>
      </c>
      <c r="N2868" t="s">
        <v>7279</v>
      </c>
      <c r="O2868" t="s">
        <v>7311</v>
      </c>
      <c r="Q2868" t="s">
        <v>7322</v>
      </c>
      <c r="R2868" t="s">
        <v>6074</v>
      </c>
      <c r="S2868" t="s">
        <v>7324</v>
      </c>
      <c r="T2868" t="s">
        <v>7336</v>
      </c>
      <c r="U2868" t="s">
        <v>330</v>
      </c>
      <c r="V2868">
        <v>780</v>
      </c>
      <c r="W2868" t="s">
        <v>7362</v>
      </c>
      <c r="X2868" t="s">
        <v>7372</v>
      </c>
      <c r="Z2868" t="s">
        <v>9551</v>
      </c>
      <c r="AC2868">
        <v>359</v>
      </c>
      <c r="AD2868" t="s">
        <v>12422</v>
      </c>
      <c r="AF2868">
        <v>21</v>
      </c>
      <c r="AG2868">
        <v>2</v>
      </c>
      <c r="AH2868">
        <v>0</v>
      </c>
      <c r="AI2868">
        <v>266.11</v>
      </c>
      <c r="AL2868" t="s">
        <v>12460</v>
      </c>
      <c r="AM2868">
        <v>45000</v>
      </c>
      <c r="AN2868" t="s">
        <v>12750</v>
      </c>
      <c r="AS2868">
        <v>0</v>
      </c>
      <c r="AU2868" t="s">
        <v>218</v>
      </c>
    </row>
    <row r="2869" spans="1:48">
      <c r="A2869" s="1">
        <f>HYPERLINK("https://cms.ls-nyc.org/matter/dynamic-profile/view/1897349","19-1897349")</f>
        <v>0</v>
      </c>
      <c r="B2869" t="s">
        <v>72</v>
      </c>
      <c r="C2869" t="s">
        <v>347</v>
      </c>
      <c r="E2869" t="s">
        <v>679</v>
      </c>
      <c r="F2869" t="s">
        <v>3444</v>
      </c>
      <c r="G2869" t="s">
        <v>3701</v>
      </c>
      <c r="H2869" t="s">
        <v>5766</v>
      </c>
      <c r="I2869" t="s">
        <v>6043</v>
      </c>
      <c r="J2869">
        <v>11233</v>
      </c>
      <c r="K2869" t="s">
        <v>6074</v>
      </c>
      <c r="L2869" t="s">
        <v>6076</v>
      </c>
      <c r="N2869" t="s">
        <v>7275</v>
      </c>
      <c r="O2869" t="s">
        <v>7307</v>
      </c>
      <c r="Q2869" t="s">
        <v>7322</v>
      </c>
      <c r="R2869" t="s">
        <v>6074</v>
      </c>
      <c r="S2869" t="s">
        <v>7324</v>
      </c>
      <c r="T2869" t="s">
        <v>7336</v>
      </c>
      <c r="U2869" t="s">
        <v>287</v>
      </c>
      <c r="V2869">
        <v>780</v>
      </c>
      <c r="W2869" t="s">
        <v>7362</v>
      </c>
      <c r="X2869" t="s">
        <v>7372</v>
      </c>
      <c r="Z2869" t="s">
        <v>9551</v>
      </c>
      <c r="AC2869">
        <v>359</v>
      </c>
      <c r="AD2869" t="s">
        <v>12422</v>
      </c>
      <c r="AF2869">
        <v>21</v>
      </c>
      <c r="AG2869">
        <v>2</v>
      </c>
      <c r="AH2869">
        <v>0</v>
      </c>
      <c r="AI2869">
        <v>266.11</v>
      </c>
      <c r="AL2869" t="s">
        <v>12460</v>
      </c>
      <c r="AM2869">
        <v>45000</v>
      </c>
      <c r="AS2869">
        <v>0</v>
      </c>
      <c r="AU2869" t="s">
        <v>218</v>
      </c>
    </row>
    <row r="2870" spans="1:48">
      <c r="A2870" s="1">
        <f>HYPERLINK("https://cms.ls-nyc.org/matter/dynamic-profile/view/1891244","19-1891244")</f>
        <v>0</v>
      </c>
      <c r="B2870" t="s">
        <v>99</v>
      </c>
      <c r="C2870" t="s">
        <v>371</v>
      </c>
      <c r="E2870" t="s">
        <v>639</v>
      </c>
      <c r="F2870" t="s">
        <v>3445</v>
      </c>
      <c r="G2870" t="s">
        <v>5232</v>
      </c>
      <c r="H2870" t="s">
        <v>5400</v>
      </c>
      <c r="I2870" t="s">
        <v>6047</v>
      </c>
      <c r="J2870">
        <v>10467</v>
      </c>
      <c r="K2870" t="s">
        <v>6074</v>
      </c>
      <c r="L2870" t="s">
        <v>6074</v>
      </c>
      <c r="N2870" t="s">
        <v>7279</v>
      </c>
      <c r="O2870" t="s">
        <v>7306</v>
      </c>
      <c r="Q2870" t="s">
        <v>7322</v>
      </c>
      <c r="R2870" t="s">
        <v>6076</v>
      </c>
      <c r="S2870" t="s">
        <v>7324</v>
      </c>
      <c r="U2870" t="s">
        <v>392</v>
      </c>
      <c r="V2870">
        <v>573.76</v>
      </c>
      <c r="W2870" t="s">
        <v>7363</v>
      </c>
      <c r="X2870" t="s">
        <v>7371</v>
      </c>
      <c r="Z2870" t="s">
        <v>9552</v>
      </c>
      <c r="AB2870" t="s">
        <v>12194</v>
      </c>
      <c r="AC2870">
        <v>71</v>
      </c>
      <c r="AD2870" t="s">
        <v>12425</v>
      </c>
      <c r="AE2870" t="s">
        <v>6110</v>
      </c>
      <c r="AF2870">
        <v>50</v>
      </c>
      <c r="AG2870">
        <v>2</v>
      </c>
      <c r="AH2870">
        <v>0</v>
      </c>
      <c r="AI2870">
        <v>266.11</v>
      </c>
      <c r="AM2870">
        <v>45000</v>
      </c>
      <c r="AS2870">
        <v>1.4</v>
      </c>
      <c r="AT2870" t="s">
        <v>392</v>
      </c>
      <c r="AU2870" t="s">
        <v>13092</v>
      </c>
    </row>
    <row r="2871" spans="1:48">
      <c r="A2871" s="1">
        <f>HYPERLINK("https://cms.ls-nyc.org/matter/dynamic-profile/view/1889324","19-1889324")</f>
        <v>0</v>
      </c>
      <c r="B2871" t="s">
        <v>125</v>
      </c>
      <c r="C2871" t="s">
        <v>261</v>
      </c>
      <c r="D2871" t="s">
        <v>381</v>
      </c>
      <c r="E2871" t="s">
        <v>1387</v>
      </c>
      <c r="F2871" t="s">
        <v>3446</v>
      </c>
      <c r="G2871" t="s">
        <v>5233</v>
      </c>
      <c r="H2871" t="s">
        <v>5956</v>
      </c>
      <c r="I2871" t="s">
        <v>6047</v>
      </c>
      <c r="J2871">
        <v>10463</v>
      </c>
      <c r="K2871" t="s">
        <v>6074</v>
      </c>
      <c r="L2871" t="s">
        <v>6074</v>
      </c>
      <c r="M2871" t="s">
        <v>7195</v>
      </c>
      <c r="N2871" t="s">
        <v>7276</v>
      </c>
      <c r="O2871" t="s">
        <v>7308</v>
      </c>
      <c r="P2871" t="s">
        <v>7316</v>
      </c>
      <c r="Q2871" t="s">
        <v>7322</v>
      </c>
      <c r="R2871" t="s">
        <v>6076</v>
      </c>
      <c r="S2871" t="s">
        <v>7324</v>
      </c>
      <c r="U2871" t="s">
        <v>261</v>
      </c>
      <c r="V2871">
        <v>1250</v>
      </c>
      <c r="W2871" t="s">
        <v>7365</v>
      </c>
      <c r="X2871" t="s">
        <v>7368</v>
      </c>
      <c r="Y2871" t="s">
        <v>7406</v>
      </c>
      <c r="Z2871" t="s">
        <v>9553</v>
      </c>
      <c r="AB2871" t="s">
        <v>12195</v>
      </c>
      <c r="AC2871">
        <v>84</v>
      </c>
      <c r="AD2871" t="s">
        <v>12422</v>
      </c>
      <c r="AE2871" t="s">
        <v>6110</v>
      </c>
      <c r="AF2871">
        <v>4</v>
      </c>
      <c r="AG2871">
        <v>2</v>
      </c>
      <c r="AH2871">
        <v>0</v>
      </c>
      <c r="AI2871">
        <v>266.11</v>
      </c>
      <c r="AL2871" t="s">
        <v>12460</v>
      </c>
      <c r="AM2871">
        <v>45000</v>
      </c>
      <c r="AS2871">
        <v>33</v>
      </c>
      <c r="AT2871" t="s">
        <v>501</v>
      </c>
      <c r="AU2871" t="s">
        <v>13106</v>
      </c>
      <c r="AV2871" t="s">
        <v>13145</v>
      </c>
    </row>
    <row r="2872" spans="1:48">
      <c r="A2872" s="1">
        <f>HYPERLINK("https://cms.ls-nyc.org/matter/dynamic-profile/view/1881890","18-1881890")</f>
        <v>0</v>
      </c>
      <c r="B2872" t="s">
        <v>60</v>
      </c>
      <c r="C2872" t="s">
        <v>258</v>
      </c>
      <c r="D2872" t="s">
        <v>350</v>
      </c>
      <c r="E2872" t="s">
        <v>1895</v>
      </c>
      <c r="F2872" t="s">
        <v>3447</v>
      </c>
      <c r="G2872" t="s">
        <v>5234</v>
      </c>
      <c r="H2872" t="s">
        <v>5857</v>
      </c>
      <c r="I2872" t="s">
        <v>6072</v>
      </c>
      <c r="J2872">
        <v>11694</v>
      </c>
      <c r="K2872" t="s">
        <v>6074</v>
      </c>
      <c r="L2872" t="s">
        <v>6074</v>
      </c>
      <c r="M2872" t="s">
        <v>6101</v>
      </c>
      <c r="N2872" t="s">
        <v>6104</v>
      </c>
      <c r="O2872" t="s">
        <v>7306</v>
      </c>
      <c r="P2872" t="s">
        <v>7314</v>
      </c>
      <c r="Q2872" t="s">
        <v>7323</v>
      </c>
      <c r="R2872" t="s">
        <v>6076</v>
      </c>
      <c r="S2872" t="s">
        <v>7324</v>
      </c>
      <c r="T2872" t="s">
        <v>7336</v>
      </c>
      <c r="U2872" t="s">
        <v>258</v>
      </c>
      <c r="V2872">
        <v>1695</v>
      </c>
      <c r="W2872" t="s">
        <v>7361</v>
      </c>
      <c r="X2872" t="s">
        <v>7369</v>
      </c>
      <c r="Y2872" t="s">
        <v>7386</v>
      </c>
      <c r="Z2872" t="s">
        <v>9554</v>
      </c>
      <c r="AB2872" t="s">
        <v>12196</v>
      </c>
      <c r="AC2872">
        <v>72</v>
      </c>
      <c r="AD2872" t="s">
        <v>6322</v>
      </c>
      <c r="AE2872" t="s">
        <v>6110</v>
      </c>
      <c r="AF2872">
        <v>1</v>
      </c>
      <c r="AG2872">
        <v>1</v>
      </c>
      <c r="AH2872">
        <v>1</v>
      </c>
      <c r="AI2872">
        <v>267.31</v>
      </c>
      <c r="AJ2872" t="s">
        <v>12443</v>
      </c>
      <c r="AK2872" t="s">
        <v>12455</v>
      </c>
      <c r="AL2872" t="s">
        <v>12460</v>
      </c>
      <c r="AM2872">
        <v>44000</v>
      </c>
      <c r="AS2872">
        <v>1.02</v>
      </c>
      <c r="AT2872" t="s">
        <v>350</v>
      </c>
      <c r="AU2872" t="s">
        <v>60</v>
      </c>
    </row>
    <row r="2873" spans="1:48">
      <c r="A2873" s="1">
        <f>HYPERLINK("https://cms.ls-nyc.org/matter/dynamic-profile/view/1872266","18-1872266")</f>
        <v>0</v>
      </c>
      <c r="B2873" t="s">
        <v>147</v>
      </c>
      <c r="C2873" t="s">
        <v>497</v>
      </c>
      <c r="D2873" t="s">
        <v>231</v>
      </c>
      <c r="E2873" t="s">
        <v>593</v>
      </c>
      <c r="F2873" t="s">
        <v>3448</v>
      </c>
      <c r="G2873" t="s">
        <v>5235</v>
      </c>
      <c r="H2873" t="s">
        <v>5596</v>
      </c>
      <c r="I2873" t="s">
        <v>6049</v>
      </c>
      <c r="J2873">
        <v>10011</v>
      </c>
      <c r="K2873" t="s">
        <v>6074</v>
      </c>
      <c r="L2873" t="s">
        <v>6074</v>
      </c>
      <c r="M2873" t="s">
        <v>7196</v>
      </c>
      <c r="N2873" t="s">
        <v>7274</v>
      </c>
      <c r="O2873" t="s">
        <v>7306</v>
      </c>
      <c r="P2873" t="s">
        <v>7314</v>
      </c>
      <c r="Q2873" t="s">
        <v>7322</v>
      </c>
      <c r="R2873" t="s">
        <v>6076</v>
      </c>
      <c r="S2873" t="s">
        <v>7324</v>
      </c>
      <c r="U2873" t="s">
        <v>497</v>
      </c>
      <c r="V2873">
        <v>1733</v>
      </c>
      <c r="W2873" t="s">
        <v>7365</v>
      </c>
      <c r="X2873" t="s">
        <v>7368</v>
      </c>
      <c r="Y2873" t="s">
        <v>7386</v>
      </c>
      <c r="Z2873" t="s">
        <v>9555</v>
      </c>
      <c r="AB2873" t="s">
        <v>12197</v>
      </c>
      <c r="AC2873">
        <v>0</v>
      </c>
      <c r="AD2873" t="s">
        <v>12422</v>
      </c>
      <c r="AE2873" t="s">
        <v>6110</v>
      </c>
      <c r="AF2873">
        <v>4</v>
      </c>
      <c r="AG2873">
        <v>1</v>
      </c>
      <c r="AH2873">
        <v>0</v>
      </c>
      <c r="AI2873">
        <v>267.71</v>
      </c>
      <c r="AJ2873" t="s">
        <v>354</v>
      </c>
      <c r="AK2873" t="s">
        <v>12456</v>
      </c>
      <c r="AL2873" t="s">
        <v>12460</v>
      </c>
      <c r="AM2873">
        <v>32500</v>
      </c>
      <c r="AS2873">
        <v>4.65</v>
      </c>
      <c r="AT2873" t="s">
        <v>354</v>
      </c>
      <c r="AU2873" t="s">
        <v>13111</v>
      </c>
    </row>
    <row r="2874" spans="1:48">
      <c r="A2874" s="1">
        <f>HYPERLINK("https://cms.ls-nyc.org/matter/dynamic-profile/view/1873426","18-1873426")</f>
        <v>0</v>
      </c>
      <c r="B2874" t="s">
        <v>133</v>
      </c>
      <c r="C2874" t="s">
        <v>232</v>
      </c>
      <c r="D2874" t="s">
        <v>333</v>
      </c>
      <c r="E2874" t="s">
        <v>689</v>
      </c>
      <c r="F2874" t="s">
        <v>3449</v>
      </c>
      <c r="G2874" t="s">
        <v>5236</v>
      </c>
      <c r="H2874" t="s">
        <v>5446</v>
      </c>
      <c r="I2874" t="s">
        <v>6049</v>
      </c>
      <c r="J2874">
        <v>10034</v>
      </c>
      <c r="K2874" t="s">
        <v>6074</v>
      </c>
      <c r="L2874" t="s">
        <v>6076</v>
      </c>
      <c r="N2874" t="s">
        <v>7274</v>
      </c>
      <c r="O2874" t="s">
        <v>7308</v>
      </c>
      <c r="P2874" t="s">
        <v>7316</v>
      </c>
      <c r="Q2874" t="s">
        <v>7322</v>
      </c>
      <c r="R2874" t="s">
        <v>6076</v>
      </c>
      <c r="S2874" t="s">
        <v>7324</v>
      </c>
      <c r="U2874" t="s">
        <v>232</v>
      </c>
      <c r="V2874">
        <v>1286</v>
      </c>
      <c r="W2874" t="s">
        <v>7365</v>
      </c>
      <c r="X2874" t="s">
        <v>7371</v>
      </c>
      <c r="Y2874" t="s">
        <v>7388</v>
      </c>
      <c r="Z2874" t="s">
        <v>9556</v>
      </c>
      <c r="AC2874">
        <v>0</v>
      </c>
      <c r="AD2874" t="s">
        <v>12422</v>
      </c>
      <c r="AF2874">
        <v>23</v>
      </c>
      <c r="AG2874">
        <v>3</v>
      </c>
      <c r="AH2874">
        <v>1</v>
      </c>
      <c r="AI2874">
        <v>269.32</v>
      </c>
      <c r="AJ2874" t="s">
        <v>354</v>
      </c>
      <c r="AK2874" t="s">
        <v>12456</v>
      </c>
      <c r="AL2874" t="s">
        <v>12461</v>
      </c>
      <c r="AM2874">
        <v>67600</v>
      </c>
      <c r="AS2874">
        <v>9.050000000000001</v>
      </c>
      <c r="AT2874" t="s">
        <v>333</v>
      </c>
      <c r="AU2874" t="s">
        <v>133</v>
      </c>
    </row>
    <row r="2875" spans="1:48">
      <c r="A2875" s="1">
        <f>HYPERLINK("https://cms.ls-nyc.org/matter/dynamic-profile/view/1878069","18-1878069")</f>
        <v>0</v>
      </c>
      <c r="B2875" t="s">
        <v>85</v>
      </c>
      <c r="C2875" t="s">
        <v>255</v>
      </c>
      <c r="E2875" t="s">
        <v>1145</v>
      </c>
      <c r="F2875" t="s">
        <v>2174</v>
      </c>
      <c r="G2875" t="s">
        <v>5237</v>
      </c>
      <c r="H2875" t="s">
        <v>5372</v>
      </c>
      <c r="I2875" t="s">
        <v>6043</v>
      </c>
      <c r="J2875">
        <v>11217</v>
      </c>
      <c r="K2875" t="s">
        <v>6074</v>
      </c>
      <c r="L2875" t="s">
        <v>6074</v>
      </c>
      <c r="M2875" t="s">
        <v>7197</v>
      </c>
      <c r="N2875" t="s">
        <v>7276</v>
      </c>
      <c r="O2875" t="s">
        <v>7308</v>
      </c>
      <c r="Q2875" t="s">
        <v>7322</v>
      </c>
      <c r="S2875" t="s">
        <v>7324</v>
      </c>
      <c r="U2875" t="s">
        <v>483</v>
      </c>
      <c r="V2875">
        <v>0</v>
      </c>
      <c r="W2875" t="s">
        <v>7362</v>
      </c>
      <c r="Z2875" t="s">
        <v>9557</v>
      </c>
      <c r="AB2875" t="s">
        <v>12198</v>
      </c>
      <c r="AC2875">
        <v>8</v>
      </c>
      <c r="AD2875" t="s">
        <v>12422</v>
      </c>
      <c r="AF2875">
        <v>0</v>
      </c>
      <c r="AG2875">
        <v>2</v>
      </c>
      <c r="AH2875">
        <v>0</v>
      </c>
      <c r="AI2875">
        <v>269.74</v>
      </c>
      <c r="AJ2875" t="s">
        <v>354</v>
      </c>
      <c r="AK2875" t="s">
        <v>12456</v>
      </c>
      <c r="AL2875" t="s">
        <v>12460</v>
      </c>
      <c r="AM2875">
        <v>44400</v>
      </c>
      <c r="AS2875">
        <v>31.45</v>
      </c>
      <c r="AT2875" t="s">
        <v>292</v>
      </c>
      <c r="AU2875" t="s">
        <v>69</v>
      </c>
      <c r="AV2875" t="s">
        <v>13145</v>
      </c>
    </row>
    <row r="2876" spans="1:48">
      <c r="A2876" s="1">
        <f>HYPERLINK("https://cms.ls-nyc.org/matter/dynamic-profile/view/1899122","19-1899122")</f>
        <v>0</v>
      </c>
      <c r="B2876" t="s">
        <v>109</v>
      </c>
      <c r="C2876" t="s">
        <v>254</v>
      </c>
      <c r="E2876" t="s">
        <v>1896</v>
      </c>
      <c r="F2876" t="s">
        <v>2193</v>
      </c>
      <c r="G2876" t="s">
        <v>3927</v>
      </c>
      <c r="H2876" t="s">
        <v>5465</v>
      </c>
      <c r="I2876" t="s">
        <v>6047</v>
      </c>
      <c r="J2876">
        <v>10452</v>
      </c>
      <c r="K2876" t="s">
        <v>6074</v>
      </c>
      <c r="L2876" t="s">
        <v>6075</v>
      </c>
      <c r="N2876" t="s">
        <v>7279</v>
      </c>
      <c r="O2876" t="s">
        <v>7307</v>
      </c>
      <c r="Q2876" t="s">
        <v>7322</v>
      </c>
      <c r="R2876" t="s">
        <v>6074</v>
      </c>
      <c r="S2876" t="s">
        <v>7324</v>
      </c>
      <c r="U2876" t="s">
        <v>257</v>
      </c>
      <c r="V2876">
        <v>1800</v>
      </c>
      <c r="W2876" t="s">
        <v>7363</v>
      </c>
      <c r="X2876" t="s">
        <v>7375</v>
      </c>
      <c r="Z2876" t="s">
        <v>9558</v>
      </c>
      <c r="AB2876" t="s">
        <v>12199</v>
      </c>
      <c r="AC2876">
        <v>41</v>
      </c>
      <c r="AD2876" t="s">
        <v>6322</v>
      </c>
      <c r="AE2876" t="s">
        <v>6110</v>
      </c>
      <c r="AF2876">
        <v>6</v>
      </c>
      <c r="AG2876">
        <v>3</v>
      </c>
      <c r="AH2876">
        <v>0</v>
      </c>
      <c r="AI2876">
        <v>270.04</v>
      </c>
      <c r="AL2876" t="s">
        <v>12461</v>
      </c>
      <c r="AM2876">
        <v>57600</v>
      </c>
      <c r="AS2876">
        <v>0</v>
      </c>
      <c r="AU2876" t="s">
        <v>13092</v>
      </c>
      <c r="AV2876" t="s">
        <v>13145</v>
      </c>
    </row>
    <row r="2877" spans="1:48">
      <c r="A2877" s="1">
        <f>HYPERLINK("https://cms.ls-nyc.org/matter/dynamic-profile/view/1896439","19-1896439")</f>
        <v>0</v>
      </c>
      <c r="B2877" t="s">
        <v>181</v>
      </c>
      <c r="C2877" t="s">
        <v>302</v>
      </c>
      <c r="E2877" t="s">
        <v>1290</v>
      </c>
      <c r="F2877" t="s">
        <v>3450</v>
      </c>
      <c r="G2877" t="s">
        <v>4207</v>
      </c>
      <c r="H2877">
        <v>33</v>
      </c>
      <c r="I2877" t="s">
        <v>6049</v>
      </c>
      <c r="J2877">
        <v>10034</v>
      </c>
      <c r="K2877" t="s">
        <v>6074</v>
      </c>
      <c r="L2877" t="s">
        <v>6074</v>
      </c>
      <c r="O2877" t="s">
        <v>7306</v>
      </c>
      <c r="Q2877" t="s">
        <v>7323</v>
      </c>
      <c r="S2877" t="s">
        <v>7324</v>
      </c>
      <c r="U2877" t="s">
        <v>268</v>
      </c>
      <c r="V2877">
        <v>905.47</v>
      </c>
      <c r="W2877" t="s">
        <v>7365</v>
      </c>
      <c r="X2877" t="s">
        <v>7367</v>
      </c>
      <c r="Z2877" t="s">
        <v>9559</v>
      </c>
      <c r="AB2877" t="s">
        <v>12200</v>
      </c>
      <c r="AC2877">
        <v>20</v>
      </c>
      <c r="AD2877" t="s">
        <v>12422</v>
      </c>
      <c r="AF2877">
        <v>48</v>
      </c>
      <c r="AG2877">
        <v>3</v>
      </c>
      <c r="AH2877">
        <v>0</v>
      </c>
      <c r="AI2877">
        <v>270.04</v>
      </c>
      <c r="AJ2877" t="s">
        <v>12443</v>
      </c>
      <c r="AK2877" t="s">
        <v>12455</v>
      </c>
      <c r="AL2877" t="s">
        <v>12460</v>
      </c>
      <c r="AM2877">
        <v>57600</v>
      </c>
      <c r="AS2877">
        <v>0</v>
      </c>
      <c r="AU2877" t="s">
        <v>13108</v>
      </c>
    </row>
    <row r="2878" spans="1:48">
      <c r="A2878" s="1">
        <f>HYPERLINK("https://cms.ls-nyc.org/matter/dynamic-profile/view/1879014","18-1879014")</f>
        <v>0</v>
      </c>
      <c r="B2878" t="s">
        <v>207</v>
      </c>
      <c r="C2878" t="s">
        <v>407</v>
      </c>
      <c r="D2878" t="s">
        <v>462</v>
      </c>
      <c r="E2878" t="s">
        <v>586</v>
      </c>
      <c r="F2878" t="s">
        <v>3451</v>
      </c>
      <c r="G2878" t="s">
        <v>5238</v>
      </c>
      <c r="H2878" t="s">
        <v>5595</v>
      </c>
      <c r="I2878" t="s">
        <v>6049</v>
      </c>
      <c r="J2878">
        <v>10031</v>
      </c>
      <c r="K2878" t="s">
        <v>6074</v>
      </c>
      <c r="L2878" t="s">
        <v>6074</v>
      </c>
      <c r="M2878" t="s">
        <v>7198</v>
      </c>
      <c r="N2878" t="s">
        <v>7275</v>
      </c>
      <c r="O2878" t="s">
        <v>7306</v>
      </c>
      <c r="P2878" t="s">
        <v>7314</v>
      </c>
      <c r="Q2878" t="s">
        <v>7322</v>
      </c>
      <c r="R2878" t="s">
        <v>6076</v>
      </c>
      <c r="S2878" t="s">
        <v>7324</v>
      </c>
      <c r="U2878" t="s">
        <v>407</v>
      </c>
      <c r="V2878">
        <v>2318</v>
      </c>
      <c r="W2878" t="s">
        <v>7365</v>
      </c>
      <c r="X2878" t="s">
        <v>7367</v>
      </c>
      <c r="Y2878" t="s">
        <v>7386</v>
      </c>
      <c r="Z2878" t="s">
        <v>9560</v>
      </c>
      <c r="AB2878" t="s">
        <v>12201</v>
      </c>
      <c r="AC2878">
        <v>0</v>
      </c>
      <c r="AD2878" t="s">
        <v>6322</v>
      </c>
      <c r="AF2878">
        <v>13</v>
      </c>
      <c r="AG2878">
        <v>5</v>
      </c>
      <c r="AH2878">
        <v>2</v>
      </c>
      <c r="AI2878">
        <v>270.52</v>
      </c>
      <c r="AL2878" t="s">
        <v>12461</v>
      </c>
      <c r="AM2878">
        <v>102960</v>
      </c>
      <c r="AS2878">
        <v>0.1</v>
      </c>
      <c r="AT2878" t="s">
        <v>462</v>
      </c>
      <c r="AU2878" t="s">
        <v>13107</v>
      </c>
    </row>
    <row r="2879" spans="1:48">
      <c r="A2879" s="1">
        <f>HYPERLINK("https://cms.ls-nyc.org/matter/dynamic-profile/view/1893470","19-1893470")</f>
        <v>0</v>
      </c>
      <c r="B2879" t="s">
        <v>60</v>
      </c>
      <c r="C2879" t="s">
        <v>367</v>
      </c>
      <c r="D2879" t="s">
        <v>367</v>
      </c>
      <c r="E2879" t="s">
        <v>1897</v>
      </c>
      <c r="F2879" t="s">
        <v>2083</v>
      </c>
      <c r="G2879" t="s">
        <v>5239</v>
      </c>
      <c r="H2879" t="s">
        <v>5373</v>
      </c>
      <c r="I2879" t="s">
        <v>6026</v>
      </c>
      <c r="J2879">
        <v>11435</v>
      </c>
      <c r="K2879" t="s">
        <v>6074</v>
      </c>
      <c r="L2879" t="s">
        <v>6074</v>
      </c>
      <c r="M2879" t="s">
        <v>6329</v>
      </c>
      <c r="N2879" t="s">
        <v>7274</v>
      </c>
      <c r="O2879" t="s">
        <v>7306</v>
      </c>
      <c r="P2879" t="s">
        <v>7314</v>
      </c>
      <c r="Q2879" t="s">
        <v>7323</v>
      </c>
      <c r="R2879" t="s">
        <v>6076</v>
      </c>
      <c r="S2879" t="s">
        <v>7324</v>
      </c>
      <c r="T2879" t="s">
        <v>7336</v>
      </c>
      <c r="U2879" t="s">
        <v>367</v>
      </c>
      <c r="V2879">
        <v>1600</v>
      </c>
      <c r="W2879" t="s">
        <v>7361</v>
      </c>
      <c r="X2879" t="s">
        <v>7369</v>
      </c>
      <c r="Y2879" t="s">
        <v>7386</v>
      </c>
      <c r="Z2879" t="s">
        <v>9561</v>
      </c>
      <c r="AA2879" t="s">
        <v>9856</v>
      </c>
      <c r="AB2879" t="s">
        <v>12202</v>
      </c>
      <c r="AC2879">
        <v>252</v>
      </c>
      <c r="AD2879" t="s">
        <v>12422</v>
      </c>
      <c r="AE2879" t="s">
        <v>6110</v>
      </c>
      <c r="AF2879">
        <v>1</v>
      </c>
      <c r="AG2879">
        <v>1</v>
      </c>
      <c r="AH2879">
        <v>0</v>
      </c>
      <c r="AI2879">
        <v>270.62</v>
      </c>
      <c r="AJ2879" t="s">
        <v>12443</v>
      </c>
      <c r="AK2879" t="s">
        <v>12455</v>
      </c>
      <c r="AL2879" t="s">
        <v>12460</v>
      </c>
      <c r="AM2879">
        <v>33800</v>
      </c>
      <c r="AS2879">
        <v>2.1</v>
      </c>
      <c r="AT2879" t="s">
        <v>445</v>
      </c>
      <c r="AU2879" t="s">
        <v>60</v>
      </c>
    </row>
    <row r="2880" spans="1:48">
      <c r="A2880" s="1">
        <f>HYPERLINK("https://cms.ls-nyc.org/matter/dynamic-profile/view/1891580","19-1891580")</f>
        <v>0</v>
      </c>
      <c r="B2880" t="s">
        <v>72</v>
      </c>
      <c r="C2880" t="s">
        <v>364</v>
      </c>
      <c r="E2880" t="s">
        <v>1014</v>
      </c>
      <c r="F2880" t="s">
        <v>3452</v>
      </c>
      <c r="G2880" t="s">
        <v>3701</v>
      </c>
      <c r="H2880" t="s">
        <v>5728</v>
      </c>
      <c r="I2880" t="s">
        <v>6043</v>
      </c>
      <c r="J2880">
        <v>11233</v>
      </c>
      <c r="K2880" t="s">
        <v>6074</v>
      </c>
      <c r="L2880" t="s">
        <v>6076</v>
      </c>
      <c r="N2880" t="s">
        <v>7279</v>
      </c>
      <c r="O2880" t="s">
        <v>7311</v>
      </c>
      <c r="Q2880" t="s">
        <v>7322</v>
      </c>
      <c r="R2880" t="s">
        <v>6074</v>
      </c>
      <c r="S2880" t="s">
        <v>7324</v>
      </c>
      <c r="T2880" t="s">
        <v>7336</v>
      </c>
      <c r="U2880" t="s">
        <v>330</v>
      </c>
      <c r="V2880">
        <v>811.37</v>
      </c>
      <c r="W2880" t="s">
        <v>7362</v>
      </c>
      <c r="Z2880" t="s">
        <v>9562</v>
      </c>
      <c r="AC2880">
        <v>359</v>
      </c>
      <c r="AD2880" t="s">
        <v>12422</v>
      </c>
      <c r="AF2880">
        <v>20</v>
      </c>
      <c r="AG2880">
        <v>2</v>
      </c>
      <c r="AH2880">
        <v>0</v>
      </c>
      <c r="AI2880">
        <v>271.41</v>
      </c>
      <c r="AJ2880" t="s">
        <v>459</v>
      </c>
      <c r="AK2880" t="s">
        <v>12456</v>
      </c>
      <c r="AL2880" t="s">
        <v>12460</v>
      </c>
      <c r="AM2880">
        <v>45895</v>
      </c>
      <c r="AN2880" t="s">
        <v>12486</v>
      </c>
      <c r="AS2880">
        <v>0</v>
      </c>
      <c r="AU2880" t="s">
        <v>218</v>
      </c>
    </row>
    <row r="2881" spans="1:48">
      <c r="A2881" s="1">
        <f>HYPERLINK("https://cms.ls-nyc.org/matter/dynamic-profile/view/1891583","19-1891583")</f>
        <v>0</v>
      </c>
      <c r="B2881" t="s">
        <v>72</v>
      </c>
      <c r="C2881" t="s">
        <v>364</v>
      </c>
      <c r="E2881" t="s">
        <v>1014</v>
      </c>
      <c r="F2881" t="s">
        <v>3452</v>
      </c>
      <c r="G2881" t="s">
        <v>3701</v>
      </c>
      <c r="H2881" t="s">
        <v>5728</v>
      </c>
      <c r="I2881" t="s">
        <v>6043</v>
      </c>
      <c r="J2881">
        <v>11233</v>
      </c>
      <c r="K2881" t="s">
        <v>6074</v>
      </c>
      <c r="L2881" t="s">
        <v>6076</v>
      </c>
      <c r="M2881" t="s">
        <v>6110</v>
      </c>
      <c r="N2881" t="s">
        <v>7275</v>
      </c>
      <c r="O2881" t="s">
        <v>7307</v>
      </c>
      <c r="Q2881" t="s">
        <v>7322</v>
      </c>
      <c r="R2881" t="s">
        <v>6074</v>
      </c>
      <c r="S2881" t="s">
        <v>7324</v>
      </c>
      <c r="T2881" t="s">
        <v>7336</v>
      </c>
      <c r="U2881" t="s">
        <v>287</v>
      </c>
      <c r="V2881">
        <v>811.37</v>
      </c>
      <c r="W2881" t="s">
        <v>7362</v>
      </c>
      <c r="Z2881" t="s">
        <v>9562</v>
      </c>
      <c r="AC2881">
        <v>359</v>
      </c>
      <c r="AD2881" t="s">
        <v>12422</v>
      </c>
      <c r="AF2881">
        <v>20</v>
      </c>
      <c r="AG2881">
        <v>2</v>
      </c>
      <c r="AH2881">
        <v>0</v>
      </c>
      <c r="AI2881">
        <v>271.41</v>
      </c>
      <c r="AJ2881" t="s">
        <v>459</v>
      </c>
      <c r="AK2881" t="s">
        <v>12456</v>
      </c>
      <c r="AL2881" t="s">
        <v>12460</v>
      </c>
      <c r="AM2881">
        <v>45895</v>
      </c>
      <c r="AN2881" t="s">
        <v>12751</v>
      </c>
      <c r="AS2881">
        <v>0</v>
      </c>
      <c r="AU2881" t="s">
        <v>218</v>
      </c>
    </row>
    <row r="2882" spans="1:48">
      <c r="A2882" s="1">
        <f>HYPERLINK("https://cms.ls-nyc.org/matter/dynamic-profile/view/1897696","19-1897696")</f>
        <v>0</v>
      </c>
      <c r="B2882" t="s">
        <v>130</v>
      </c>
      <c r="C2882" t="s">
        <v>263</v>
      </c>
      <c r="E2882" t="s">
        <v>1898</v>
      </c>
      <c r="F2882" t="s">
        <v>3453</v>
      </c>
      <c r="G2882" t="s">
        <v>5240</v>
      </c>
      <c r="H2882">
        <v>402</v>
      </c>
      <c r="I2882" t="s">
        <v>6049</v>
      </c>
      <c r="J2882">
        <v>10033</v>
      </c>
      <c r="K2882" t="s">
        <v>6074</v>
      </c>
      <c r="L2882" t="s">
        <v>6074</v>
      </c>
      <c r="M2882" t="s">
        <v>7199</v>
      </c>
      <c r="N2882" t="s">
        <v>7278</v>
      </c>
      <c r="O2882" t="s">
        <v>7306</v>
      </c>
      <c r="Q2882" t="s">
        <v>7322</v>
      </c>
      <c r="R2882" t="s">
        <v>6076</v>
      </c>
      <c r="S2882" t="s">
        <v>7324</v>
      </c>
      <c r="U2882" t="s">
        <v>263</v>
      </c>
      <c r="V2882">
        <v>877.1</v>
      </c>
      <c r="W2882" t="s">
        <v>7365</v>
      </c>
      <c r="X2882" t="s">
        <v>7367</v>
      </c>
      <c r="Z2882" t="s">
        <v>9563</v>
      </c>
      <c r="AC2882">
        <v>52</v>
      </c>
      <c r="AD2882" t="s">
        <v>12422</v>
      </c>
      <c r="AE2882" t="s">
        <v>12441</v>
      </c>
      <c r="AF2882">
        <v>9</v>
      </c>
      <c r="AG2882">
        <v>5</v>
      </c>
      <c r="AH2882">
        <v>1</v>
      </c>
      <c r="AI2882">
        <v>271.75</v>
      </c>
      <c r="AL2882" t="s">
        <v>12461</v>
      </c>
      <c r="AM2882">
        <v>94000</v>
      </c>
      <c r="AS2882">
        <v>4.4</v>
      </c>
      <c r="AT2882" t="s">
        <v>446</v>
      </c>
      <c r="AU2882" t="s">
        <v>13106</v>
      </c>
    </row>
    <row r="2883" spans="1:48">
      <c r="A2883" s="1">
        <f>HYPERLINK("https://cms.ls-nyc.org/matter/dynamic-profile/view/1889297","19-1889297")</f>
        <v>0</v>
      </c>
      <c r="B2883" t="s">
        <v>128</v>
      </c>
      <c r="C2883" t="s">
        <v>261</v>
      </c>
      <c r="E2883" t="s">
        <v>737</v>
      </c>
      <c r="F2883" t="s">
        <v>3321</v>
      </c>
      <c r="G2883" t="s">
        <v>3934</v>
      </c>
      <c r="H2883">
        <v>34</v>
      </c>
      <c r="I2883" t="s">
        <v>6049</v>
      </c>
      <c r="J2883">
        <v>10034</v>
      </c>
      <c r="K2883" t="s">
        <v>6074</v>
      </c>
      <c r="L2883" t="s">
        <v>6074</v>
      </c>
      <c r="M2883" t="s">
        <v>6500</v>
      </c>
      <c r="N2883" t="s">
        <v>7273</v>
      </c>
      <c r="O2883" t="s">
        <v>7308</v>
      </c>
      <c r="Q2883" t="s">
        <v>7322</v>
      </c>
      <c r="R2883" t="s">
        <v>6074</v>
      </c>
      <c r="S2883" t="s">
        <v>7324</v>
      </c>
      <c r="U2883" t="s">
        <v>261</v>
      </c>
      <c r="V2883">
        <v>967.59</v>
      </c>
      <c r="W2883" t="s">
        <v>7365</v>
      </c>
      <c r="X2883" t="s">
        <v>7367</v>
      </c>
      <c r="Z2883" t="s">
        <v>8653</v>
      </c>
      <c r="AB2883" t="s">
        <v>12203</v>
      </c>
      <c r="AC2883">
        <v>25</v>
      </c>
      <c r="AD2883" t="s">
        <v>12422</v>
      </c>
      <c r="AE2883" t="s">
        <v>6110</v>
      </c>
      <c r="AF2883">
        <v>35</v>
      </c>
      <c r="AG2883">
        <v>3</v>
      </c>
      <c r="AH2883">
        <v>0</v>
      </c>
      <c r="AI2883">
        <v>271.8</v>
      </c>
      <c r="AL2883" t="s">
        <v>12461</v>
      </c>
      <c r="AM2883">
        <v>57975.48</v>
      </c>
      <c r="AS2883">
        <v>0</v>
      </c>
      <c r="AU2883" t="s">
        <v>13106</v>
      </c>
    </row>
    <row r="2884" spans="1:48">
      <c r="A2884" s="1">
        <f>HYPERLINK("https://cms.ls-nyc.org/matter/dynamic-profile/view/1871282","18-1871282")</f>
        <v>0</v>
      </c>
      <c r="B2884" t="s">
        <v>121</v>
      </c>
      <c r="C2884" t="s">
        <v>342</v>
      </c>
      <c r="D2884" t="s">
        <v>550</v>
      </c>
      <c r="E2884" t="s">
        <v>1899</v>
      </c>
      <c r="F2884" t="s">
        <v>3454</v>
      </c>
      <c r="G2884" t="s">
        <v>5241</v>
      </c>
      <c r="H2884" t="s">
        <v>5957</v>
      </c>
      <c r="I2884" t="s">
        <v>6048</v>
      </c>
      <c r="J2884">
        <v>10305</v>
      </c>
      <c r="K2884" t="s">
        <v>6074</v>
      </c>
      <c r="L2884" t="s">
        <v>6074</v>
      </c>
      <c r="M2884" t="s">
        <v>7200</v>
      </c>
      <c r="N2884" t="s">
        <v>7276</v>
      </c>
      <c r="O2884" t="s">
        <v>7308</v>
      </c>
      <c r="P2884" t="s">
        <v>7316</v>
      </c>
      <c r="Q2884" t="s">
        <v>7322</v>
      </c>
      <c r="R2884" t="s">
        <v>6076</v>
      </c>
      <c r="S2884" t="s">
        <v>7324</v>
      </c>
      <c r="T2884" t="s">
        <v>7336</v>
      </c>
      <c r="U2884" t="s">
        <v>342</v>
      </c>
      <c r="V2884">
        <v>1245</v>
      </c>
      <c r="W2884" t="s">
        <v>7364</v>
      </c>
      <c r="X2884" t="s">
        <v>7305</v>
      </c>
      <c r="Y2884" t="s">
        <v>7388</v>
      </c>
      <c r="Z2884" t="s">
        <v>9564</v>
      </c>
      <c r="AA2884" t="s">
        <v>6110</v>
      </c>
      <c r="AB2884" t="s">
        <v>12204</v>
      </c>
      <c r="AC2884">
        <v>136</v>
      </c>
      <c r="AD2884" t="s">
        <v>12422</v>
      </c>
      <c r="AE2884" t="s">
        <v>6110</v>
      </c>
      <c r="AF2884">
        <v>11</v>
      </c>
      <c r="AG2884">
        <v>1</v>
      </c>
      <c r="AH2884">
        <v>0</v>
      </c>
      <c r="AI2884">
        <v>271.83</v>
      </c>
      <c r="AJ2884" t="s">
        <v>342</v>
      </c>
      <c r="AK2884" t="s">
        <v>12456</v>
      </c>
      <c r="AL2884" t="s">
        <v>12460</v>
      </c>
      <c r="AM2884">
        <v>33000</v>
      </c>
      <c r="AO2884" t="s">
        <v>12846</v>
      </c>
      <c r="AP2884" t="s">
        <v>12858</v>
      </c>
      <c r="AQ2884" t="s">
        <v>12909</v>
      </c>
      <c r="AR2884" t="s">
        <v>13048</v>
      </c>
      <c r="AS2884">
        <v>8.9</v>
      </c>
      <c r="AT2884" t="s">
        <v>383</v>
      </c>
      <c r="AU2884" t="s">
        <v>210</v>
      </c>
    </row>
    <row r="2885" spans="1:48">
      <c r="A2885" s="1">
        <f>HYPERLINK("https://cms.ls-nyc.org/matter/dynamic-profile/view/1898243","19-1898243")</f>
        <v>0</v>
      </c>
      <c r="B2885" t="s">
        <v>72</v>
      </c>
      <c r="C2885" t="s">
        <v>343</v>
      </c>
      <c r="E2885" t="s">
        <v>1900</v>
      </c>
      <c r="F2885" t="s">
        <v>3455</v>
      </c>
      <c r="G2885" t="s">
        <v>3700</v>
      </c>
      <c r="H2885" t="s">
        <v>5958</v>
      </c>
      <c r="I2885" t="s">
        <v>6043</v>
      </c>
      <c r="J2885">
        <v>11233</v>
      </c>
      <c r="K2885" t="s">
        <v>6074</v>
      </c>
      <c r="L2885" t="s">
        <v>6076</v>
      </c>
      <c r="N2885" t="s">
        <v>7279</v>
      </c>
      <c r="O2885" t="s">
        <v>7311</v>
      </c>
      <c r="Q2885" t="s">
        <v>7322</v>
      </c>
      <c r="R2885" t="s">
        <v>6074</v>
      </c>
      <c r="S2885" t="s">
        <v>7324</v>
      </c>
      <c r="T2885" t="s">
        <v>7336</v>
      </c>
      <c r="U2885" t="s">
        <v>330</v>
      </c>
      <c r="V2885">
        <v>1024</v>
      </c>
      <c r="W2885" t="s">
        <v>7362</v>
      </c>
      <c r="X2885" t="s">
        <v>7305</v>
      </c>
      <c r="Z2885" t="s">
        <v>9565</v>
      </c>
      <c r="AC2885">
        <v>359</v>
      </c>
      <c r="AD2885" t="s">
        <v>12422</v>
      </c>
      <c r="AF2885">
        <v>24</v>
      </c>
      <c r="AG2885">
        <v>3</v>
      </c>
      <c r="AH2885">
        <v>1</v>
      </c>
      <c r="AI2885">
        <v>271.84</v>
      </c>
      <c r="AL2885" t="s">
        <v>12460</v>
      </c>
      <c r="AM2885">
        <v>70000</v>
      </c>
      <c r="AN2885" t="s">
        <v>12488</v>
      </c>
      <c r="AS2885">
        <v>0</v>
      </c>
      <c r="AU2885" t="s">
        <v>180</v>
      </c>
    </row>
    <row r="2886" spans="1:48">
      <c r="A2886" s="1">
        <f>HYPERLINK("https://cms.ls-nyc.org/matter/dynamic-profile/view/1898244","19-1898244")</f>
        <v>0</v>
      </c>
      <c r="B2886" t="s">
        <v>72</v>
      </c>
      <c r="C2886" t="s">
        <v>343</v>
      </c>
      <c r="E2886" t="s">
        <v>1900</v>
      </c>
      <c r="F2886" t="s">
        <v>3455</v>
      </c>
      <c r="G2886" t="s">
        <v>3700</v>
      </c>
      <c r="H2886" t="s">
        <v>5958</v>
      </c>
      <c r="I2886" t="s">
        <v>6043</v>
      </c>
      <c r="J2886">
        <v>11233</v>
      </c>
      <c r="K2886" t="s">
        <v>6074</v>
      </c>
      <c r="L2886" t="s">
        <v>6076</v>
      </c>
      <c r="N2886" t="s">
        <v>7275</v>
      </c>
      <c r="O2886" t="s">
        <v>7307</v>
      </c>
      <c r="Q2886" t="s">
        <v>7322</v>
      </c>
      <c r="R2886" t="s">
        <v>6074</v>
      </c>
      <c r="S2886" t="s">
        <v>7324</v>
      </c>
      <c r="T2886" t="s">
        <v>7336</v>
      </c>
      <c r="U2886" t="s">
        <v>287</v>
      </c>
      <c r="V2886">
        <v>1024</v>
      </c>
      <c r="W2886" t="s">
        <v>7362</v>
      </c>
      <c r="X2886" t="s">
        <v>7305</v>
      </c>
      <c r="Z2886" t="s">
        <v>9565</v>
      </c>
      <c r="AC2886">
        <v>359</v>
      </c>
      <c r="AD2886" t="s">
        <v>12422</v>
      </c>
      <c r="AF2886">
        <v>24</v>
      </c>
      <c r="AG2886">
        <v>3</v>
      </c>
      <c r="AH2886">
        <v>1</v>
      </c>
      <c r="AI2886">
        <v>271.84</v>
      </c>
      <c r="AL2886" t="s">
        <v>12460</v>
      </c>
      <c r="AM2886">
        <v>70000</v>
      </c>
      <c r="AN2886" t="s">
        <v>12752</v>
      </c>
      <c r="AS2886">
        <v>0</v>
      </c>
      <c r="AU2886" t="s">
        <v>180</v>
      </c>
    </row>
    <row r="2887" spans="1:48">
      <c r="A2887" s="1">
        <f>HYPERLINK("https://cms.ls-nyc.org/matter/dynamic-profile/view/1894029","19-1894029")</f>
        <v>0</v>
      </c>
      <c r="B2887" t="s">
        <v>148</v>
      </c>
      <c r="C2887" t="s">
        <v>275</v>
      </c>
      <c r="E2887" t="s">
        <v>1901</v>
      </c>
      <c r="F2887" t="s">
        <v>3456</v>
      </c>
      <c r="G2887" t="s">
        <v>5190</v>
      </c>
      <c r="H2887" t="s">
        <v>5749</v>
      </c>
      <c r="I2887" t="s">
        <v>6043</v>
      </c>
      <c r="J2887">
        <v>11212</v>
      </c>
      <c r="K2887" t="s">
        <v>6074</v>
      </c>
      <c r="L2887" t="s">
        <v>6074</v>
      </c>
      <c r="O2887" t="s">
        <v>7306</v>
      </c>
      <c r="Q2887" t="s">
        <v>7322</v>
      </c>
      <c r="R2887" t="s">
        <v>6074</v>
      </c>
      <c r="S2887" t="s">
        <v>7324</v>
      </c>
      <c r="U2887" t="s">
        <v>275</v>
      </c>
      <c r="V2887">
        <v>1151</v>
      </c>
      <c r="W2887" t="s">
        <v>7362</v>
      </c>
      <c r="X2887" t="s">
        <v>7376</v>
      </c>
      <c r="Z2887" t="s">
        <v>9566</v>
      </c>
      <c r="AB2887" t="s">
        <v>12205</v>
      </c>
      <c r="AC2887">
        <v>73</v>
      </c>
      <c r="AD2887" t="s">
        <v>12422</v>
      </c>
      <c r="AE2887" t="s">
        <v>6110</v>
      </c>
      <c r="AF2887">
        <v>20</v>
      </c>
      <c r="AG2887">
        <v>3</v>
      </c>
      <c r="AH2887">
        <v>1</v>
      </c>
      <c r="AI2887">
        <v>271.84</v>
      </c>
      <c r="AL2887" t="s">
        <v>12460</v>
      </c>
      <c r="AM2887">
        <v>70000</v>
      </c>
      <c r="AS2887">
        <v>8</v>
      </c>
      <c r="AT2887" t="s">
        <v>334</v>
      </c>
      <c r="AU2887" t="s">
        <v>148</v>
      </c>
    </row>
    <row r="2888" spans="1:48">
      <c r="A2888" s="1">
        <f>HYPERLINK("https://cms.ls-nyc.org/matter/dynamic-profile/view/1898606","19-1898606")</f>
        <v>0</v>
      </c>
      <c r="B2888" t="s">
        <v>129</v>
      </c>
      <c r="C2888" t="s">
        <v>505</v>
      </c>
      <c r="E2888" t="s">
        <v>1154</v>
      </c>
      <c r="F2888" t="s">
        <v>3457</v>
      </c>
      <c r="G2888" t="s">
        <v>4244</v>
      </c>
      <c r="H2888" t="s">
        <v>5395</v>
      </c>
      <c r="I2888" t="s">
        <v>6049</v>
      </c>
      <c r="J2888">
        <v>10034</v>
      </c>
      <c r="K2888" t="s">
        <v>6074</v>
      </c>
      <c r="L2888" t="s">
        <v>6074</v>
      </c>
      <c r="O2888" t="s">
        <v>7306</v>
      </c>
      <c r="Q2888" t="s">
        <v>7322</v>
      </c>
      <c r="R2888" t="s">
        <v>6076</v>
      </c>
      <c r="S2888" t="s">
        <v>7324</v>
      </c>
      <c r="U2888" t="s">
        <v>505</v>
      </c>
      <c r="V2888">
        <v>4200</v>
      </c>
      <c r="W2888" t="s">
        <v>7365</v>
      </c>
      <c r="X2888" t="s">
        <v>7367</v>
      </c>
      <c r="Z2888" t="s">
        <v>9508</v>
      </c>
      <c r="AB2888" t="s">
        <v>12206</v>
      </c>
      <c r="AC2888">
        <v>0</v>
      </c>
      <c r="AD2888" t="s">
        <v>12422</v>
      </c>
      <c r="AE2888" t="s">
        <v>6110</v>
      </c>
      <c r="AF2888">
        <v>1</v>
      </c>
      <c r="AG2888">
        <v>1</v>
      </c>
      <c r="AH2888">
        <v>3</v>
      </c>
      <c r="AI2888">
        <v>271.84</v>
      </c>
      <c r="AL2888" t="s">
        <v>12460</v>
      </c>
      <c r="AM2888">
        <v>70000</v>
      </c>
      <c r="AS2888">
        <v>2.65</v>
      </c>
      <c r="AT2888" t="s">
        <v>265</v>
      </c>
      <c r="AU2888" t="s">
        <v>13106</v>
      </c>
    </row>
    <row r="2889" spans="1:48">
      <c r="A2889" s="1">
        <f>HYPERLINK("https://cms.ls-nyc.org/matter/dynamic-profile/view/1879059","18-1879059")</f>
        <v>0</v>
      </c>
      <c r="B2889" t="s">
        <v>80</v>
      </c>
      <c r="C2889" t="s">
        <v>407</v>
      </c>
      <c r="E2889" t="s">
        <v>1139</v>
      </c>
      <c r="F2889" t="s">
        <v>3442</v>
      </c>
      <c r="G2889" t="s">
        <v>4938</v>
      </c>
      <c r="H2889" t="s">
        <v>5418</v>
      </c>
      <c r="I2889" t="s">
        <v>6043</v>
      </c>
      <c r="J2889">
        <v>11221</v>
      </c>
      <c r="K2889" t="s">
        <v>6074</v>
      </c>
      <c r="L2889" t="s">
        <v>6074</v>
      </c>
      <c r="N2889" t="s">
        <v>7279</v>
      </c>
      <c r="O2889" t="s">
        <v>7311</v>
      </c>
      <c r="Q2889" t="s">
        <v>7322</v>
      </c>
      <c r="R2889" t="s">
        <v>6074</v>
      </c>
      <c r="S2889" t="s">
        <v>7324</v>
      </c>
      <c r="U2889" t="s">
        <v>281</v>
      </c>
      <c r="V2889">
        <v>732</v>
      </c>
      <c r="W2889" t="s">
        <v>7362</v>
      </c>
      <c r="X2889" t="s">
        <v>7376</v>
      </c>
      <c r="Z2889" t="s">
        <v>9549</v>
      </c>
      <c r="AB2889" t="s">
        <v>12193</v>
      </c>
      <c r="AC2889">
        <v>13</v>
      </c>
      <c r="AD2889" t="s">
        <v>12422</v>
      </c>
      <c r="AE2889" t="s">
        <v>6110</v>
      </c>
      <c r="AF2889">
        <v>25</v>
      </c>
      <c r="AG2889">
        <v>3</v>
      </c>
      <c r="AH2889">
        <v>2</v>
      </c>
      <c r="AI2889">
        <v>271.92</v>
      </c>
      <c r="AL2889" t="s">
        <v>12460</v>
      </c>
      <c r="AM2889">
        <v>80000</v>
      </c>
      <c r="AN2889" t="s">
        <v>12753</v>
      </c>
      <c r="AS2889">
        <v>0</v>
      </c>
      <c r="AU2889" t="s">
        <v>218</v>
      </c>
    </row>
    <row r="2890" spans="1:48">
      <c r="A2890" s="1">
        <f>HYPERLINK("https://cms.ls-nyc.org/matter/dynamic-profile/view/1879060","18-1879060")</f>
        <v>0</v>
      </c>
      <c r="B2890" t="s">
        <v>80</v>
      </c>
      <c r="C2890" t="s">
        <v>407</v>
      </c>
      <c r="E2890" t="s">
        <v>1139</v>
      </c>
      <c r="F2890" t="s">
        <v>3442</v>
      </c>
      <c r="G2890" t="s">
        <v>4938</v>
      </c>
      <c r="H2890" t="s">
        <v>5418</v>
      </c>
      <c r="I2890" t="s">
        <v>6043</v>
      </c>
      <c r="J2890">
        <v>11221</v>
      </c>
      <c r="K2890" t="s">
        <v>6074</v>
      </c>
      <c r="L2890" t="s">
        <v>6074</v>
      </c>
      <c r="N2890" t="s">
        <v>7273</v>
      </c>
      <c r="O2890" t="s">
        <v>7308</v>
      </c>
      <c r="Q2890" t="s">
        <v>7322</v>
      </c>
      <c r="R2890" t="s">
        <v>6074</v>
      </c>
      <c r="S2890" t="s">
        <v>7324</v>
      </c>
      <c r="U2890" t="s">
        <v>281</v>
      </c>
      <c r="V2890">
        <v>732</v>
      </c>
      <c r="W2890" t="s">
        <v>7362</v>
      </c>
      <c r="X2890" t="s">
        <v>7376</v>
      </c>
      <c r="Z2890" t="s">
        <v>9549</v>
      </c>
      <c r="AB2890" t="s">
        <v>12193</v>
      </c>
      <c r="AC2890">
        <v>13</v>
      </c>
      <c r="AD2890" t="s">
        <v>12422</v>
      </c>
      <c r="AE2890" t="s">
        <v>6110</v>
      </c>
      <c r="AF2890">
        <v>25</v>
      </c>
      <c r="AG2890">
        <v>3</v>
      </c>
      <c r="AH2890">
        <v>2</v>
      </c>
      <c r="AI2890">
        <v>271.92</v>
      </c>
      <c r="AL2890" t="s">
        <v>12460</v>
      </c>
      <c r="AM2890">
        <v>80000</v>
      </c>
      <c r="AN2890" t="s">
        <v>12753</v>
      </c>
      <c r="AS2890">
        <v>0</v>
      </c>
      <c r="AU2890" t="s">
        <v>218</v>
      </c>
    </row>
    <row r="2891" spans="1:48">
      <c r="A2891" s="1">
        <f>HYPERLINK("https://cms.ls-nyc.org/matter/dynamic-profile/view/1879056","18-1879056")</f>
        <v>0</v>
      </c>
      <c r="B2891" t="s">
        <v>80</v>
      </c>
      <c r="C2891" t="s">
        <v>407</v>
      </c>
      <c r="D2891" t="s">
        <v>396</v>
      </c>
      <c r="E2891" t="s">
        <v>1139</v>
      </c>
      <c r="F2891" t="s">
        <v>3442</v>
      </c>
      <c r="G2891" t="s">
        <v>4938</v>
      </c>
      <c r="H2891" t="s">
        <v>5418</v>
      </c>
      <c r="I2891" t="s">
        <v>6043</v>
      </c>
      <c r="J2891">
        <v>11221</v>
      </c>
      <c r="K2891" t="s">
        <v>6074</v>
      </c>
      <c r="L2891" t="s">
        <v>6074</v>
      </c>
      <c r="N2891" t="s">
        <v>7275</v>
      </c>
      <c r="O2891" t="s">
        <v>7307</v>
      </c>
      <c r="P2891" t="s">
        <v>7315</v>
      </c>
      <c r="Q2891" t="s">
        <v>7322</v>
      </c>
      <c r="R2891" t="s">
        <v>6074</v>
      </c>
      <c r="S2891" t="s">
        <v>7324</v>
      </c>
      <c r="U2891" t="s">
        <v>281</v>
      </c>
      <c r="V2891">
        <v>732</v>
      </c>
      <c r="W2891" t="s">
        <v>7362</v>
      </c>
      <c r="X2891" t="s">
        <v>7376</v>
      </c>
      <c r="Y2891" t="s">
        <v>7394</v>
      </c>
      <c r="Z2891" t="s">
        <v>9549</v>
      </c>
      <c r="AB2891" t="s">
        <v>12193</v>
      </c>
      <c r="AC2891">
        <v>13</v>
      </c>
      <c r="AD2891" t="s">
        <v>12422</v>
      </c>
      <c r="AE2891" t="s">
        <v>6110</v>
      </c>
      <c r="AF2891">
        <v>25</v>
      </c>
      <c r="AG2891">
        <v>3</v>
      </c>
      <c r="AH2891">
        <v>2</v>
      </c>
      <c r="AI2891">
        <v>271.92</v>
      </c>
      <c r="AL2891" t="s">
        <v>12460</v>
      </c>
      <c r="AM2891">
        <v>80000</v>
      </c>
      <c r="AN2891" t="s">
        <v>12491</v>
      </c>
      <c r="AS2891">
        <v>0.08</v>
      </c>
      <c r="AT2891" t="s">
        <v>466</v>
      </c>
      <c r="AU2891" t="s">
        <v>218</v>
      </c>
    </row>
    <row r="2892" spans="1:48">
      <c r="A2892" s="1">
        <f>HYPERLINK("https://cms.ls-nyc.org/matter/dynamic-profile/view/1879176","18-1879176")</f>
        <v>0</v>
      </c>
      <c r="B2892" t="s">
        <v>96</v>
      </c>
      <c r="C2892" t="s">
        <v>355</v>
      </c>
      <c r="D2892" t="s">
        <v>326</v>
      </c>
      <c r="E2892" t="s">
        <v>1902</v>
      </c>
      <c r="F2892" t="s">
        <v>3458</v>
      </c>
      <c r="G2892" t="s">
        <v>5242</v>
      </c>
      <c r="H2892" t="s">
        <v>5918</v>
      </c>
      <c r="I2892" t="s">
        <v>6047</v>
      </c>
      <c r="J2892">
        <v>10453</v>
      </c>
      <c r="K2892" t="s">
        <v>6074</v>
      </c>
      <c r="L2892" t="s">
        <v>6074</v>
      </c>
      <c r="N2892" t="s">
        <v>7273</v>
      </c>
      <c r="O2892" t="s">
        <v>7307</v>
      </c>
      <c r="P2892" t="s">
        <v>7315</v>
      </c>
      <c r="Q2892" t="s">
        <v>7322</v>
      </c>
      <c r="R2892" t="s">
        <v>6076</v>
      </c>
      <c r="S2892" t="s">
        <v>7324</v>
      </c>
      <c r="U2892" t="s">
        <v>355</v>
      </c>
      <c r="V2892">
        <v>1043</v>
      </c>
      <c r="W2892" t="s">
        <v>7363</v>
      </c>
      <c r="Y2892" t="s">
        <v>7387</v>
      </c>
      <c r="Z2892" t="s">
        <v>9567</v>
      </c>
      <c r="AB2892" t="s">
        <v>12207</v>
      </c>
      <c r="AC2892">
        <v>44</v>
      </c>
      <c r="AD2892" t="s">
        <v>12422</v>
      </c>
      <c r="AE2892" t="s">
        <v>12441</v>
      </c>
      <c r="AF2892">
        <v>28</v>
      </c>
      <c r="AG2892">
        <v>3</v>
      </c>
      <c r="AH2892">
        <v>0</v>
      </c>
      <c r="AI2892">
        <v>272.17</v>
      </c>
      <c r="AL2892" t="s">
        <v>12461</v>
      </c>
      <c r="AM2892">
        <v>56556</v>
      </c>
      <c r="AS2892">
        <v>0.3</v>
      </c>
      <c r="AT2892" t="s">
        <v>326</v>
      </c>
      <c r="AU2892" t="s">
        <v>13092</v>
      </c>
    </row>
    <row r="2893" spans="1:48">
      <c r="A2893" s="1">
        <f>HYPERLINK("https://cms.ls-nyc.org/matter/dynamic-profile/view/1901171","19-1901171")</f>
        <v>0</v>
      </c>
      <c r="B2893" t="s">
        <v>131</v>
      </c>
      <c r="C2893" t="s">
        <v>324</v>
      </c>
      <c r="E2893" t="s">
        <v>693</v>
      </c>
      <c r="F2893" t="s">
        <v>2573</v>
      </c>
      <c r="G2893" t="s">
        <v>5243</v>
      </c>
      <c r="H2893" t="s">
        <v>5354</v>
      </c>
      <c r="I2893" t="s">
        <v>6049</v>
      </c>
      <c r="J2893">
        <v>10033</v>
      </c>
      <c r="K2893" t="s">
        <v>6074</v>
      </c>
      <c r="L2893" t="s">
        <v>6075</v>
      </c>
      <c r="N2893" t="s">
        <v>7279</v>
      </c>
      <c r="O2893" t="s">
        <v>7306</v>
      </c>
      <c r="Q2893" t="s">
        <v>7322</v>
      </c>
      <c r="R2893" t="s">
        <v>6076</v>
      </c>
      <c r="S2893" t="s">
        <v>7324</v>
      </c>
      <c r="U2893" t="s">
        <v>324</v>
      </c>
      <c r="V2893">
        <v>1800</v>
      </c>
      <c r="W2893" t="s">
        <v>7365</v>
      </c>
      <c r="X2893" t="s">
        <v>7367</v>
      </c>
      <c r="Z2893" t="s">
        <v>9568</v>
      </c>
      <c r="AB2893" t="s">
        <v>12208</v>
      </c>
      <c r="AC2893">
        <v>95</v>
      </c>
      <c r="AD2893" t="s">
        <v>12422</v>
      </c>
      <c r="AE2893" t="s">
        <v>6110</v>
      </c>
      <c r="AF2893">
        <v>9</v>
      </c>
      <c r="AG2893">
        <v>1</v>
      </c>
      <c r="AH2893">
        <v>0</v>
      </c>
      <c r="AI2893">
        <v>272.22</v>
      </c>
      <c r="AL2893" t="s">
        <v>12460</v>
      </c>
      <c r="AM2893">
        <v>34000</v>
      </c>
      <c r="AS2893">
        <v>0</v>
      </c>
      <c r="AU2893" t="s">
        <v>13106</v>
      </c>
      <c r="AV2893" t="s">
        <v>13145</v>
      </c>
    </row>
    <row r="2894" spans="1:48">
      <c r="A2894" s="1">
        <f>HYPERLINK("https://cms.ls-nyc.org/matter/dynamic-profile/view/1872236","18-1872236")</f>
        <v>0</v>
      </c>
      <c r="B2894" t="s">
        <v>127</v>
      </c>
      <c r="C2894" t="s">
        <v>497</v>
      </c>
      <c r="D2894" t="s">
        <v>428</v>
      </c>
      <c r="E2894" t="s">
        <v>820</v>
      </c>
      <c r="F2894" t="s">
        <v>3459</v>
      </c>
      <c r="G2894" t="s">
        <v>5244</v>
      </c>
      <c r="H2894">
        <v>36</v>
      </c>
      <c r="I2894" t="s">
        <v>6049</v>
      </c>
      <c r="J2894">
        <v>10031</v>
      </c>
      <c r="K2894" t="s">
        <v>6074</v>
      </c>
      <c r="L2894" t="s">
        <v>6074</v>
      </c>
      <c r="M2894" t="s">
        <v>7201</v>
      </c>
      <c r="N2894" t="s">
        <v>7274</v>
      </c>
      <c r="O2894" t="s">
        <v>7306</v>
      </c>
      <c r="P2894" t="s">
        <v>7314</v>
      </c>
      <c r="Q2894" t="s">
        <v>7322</v>
      </c>
      <c r="R2894" t="s">
        <v>6076</v>
      </c>
      <c r="S2894" t="s">
        <v>7324</v>
      </c>
      <c r="T2894" t="s">
        <v>7336</v>
      </c>
      <c r="U2894" t="s">
        <v>497</v>
      </c>
      <c r="V2894">
        <v>1514.5</v>
      </c>
      <c r="W2894" t="s">
        <v>7365</v>
      </c>
      <c r="X2894" t="s">
        <v>7367</v>
      </c>
      <c r="Y2894" t="s">
        <v>7386</v>
      </c>
      <c r="Z2894" t="s">
        <v>9569</v>
      </c>
      <c r="AC2894">
        <v>39</v>
      </c>
      <c r="AD2894" t="s">
        <v>12422</v>
      </c>
      <c r="AE2894" t="s">
        <v>6110</v>
      </c>
      <c r="AF2894">
        <v>14</v>
      </c>
      <c r="AG2894">
        <v>2</v>
      </c>
      <c r="AH2894">
        <v>0</v>
      </c>
      <c r="AI2894">
        <v>273.15</v>
      </c>
      <c r="AL2894" t="s">
        <v>12461</v>
      </c>
      <c r="AM2894">
        <v>44960.04</v>
      </c>
      <c r="AS2894">
        <v>0.1</v>
      </c>
      <c r="AT2894" t="s">
        <v>428</v>
      </c>
      <c r="AU2894" t="s">
        <v>13111</v>
      </c>
    </row>
    <row r="2895" spans="1:48">
      <c r="A2895" s="1">
        <f>HYPERLINK("https://cms.ls-nyc.org/matter/dynamic-profile/view/1883016","18-1883016")</f>
        <v>0</v>
      </c>
      <c r="B2895" t="s">
        <v>60</v>
      </c>
      <c r="C2895" t="s">
        <v>416</v>
      </c>
      <c r="D2895" t="s">
        <v>277</v>
      </c>
      <c r="E2895" t="s">
        <v>1903</v>
      </c>
      <c r="F2895" t="s">
        <v>2395</v>
      </c>
      <c r="G2895" t="s">
        <v>5245</v>
      </c>
      <c r="H2895" t="s">
        <v>5483</v>
      </c>
      <c r="I2895" t="s">
        <v>6045</v>
      </c>
      <c r="J2895">
        <v>11101</v>
      </c>
      <c r="K2895" t="s">
        <v>6074</v>
      </c>
      <c r="L2895" t="s">
        <v>6074</v>
      </c>
      <c r="M2895" t="s">
        <v>7202</v>
      </c>
      <c r="N2895" t="s">
        <v>7276</v>
      </c>
      <c r="O2895" t="s">
        <v>7308</v>
      </c>
      <c r="P2895" t="s">
        <v>7316</v>
      </c>
      <c r="Q2895" t="s">
        <v>7323</v>
      </c>
      <c r="R2895" t="s">
        <v>6076</v>
      </c>
      <c r="S2895" t="s">
        <v>7330</v>
      </c>
      <c r="T2895" t="s">
        <v>7336</v>
      </c>
      <c r="U2895" t="s">
        <v>416</v>
      </c>
      <c r="V2895">
        <v>562</v>
      </c>
      <c r="W2895" t="s">
        <v>7361</v>
      </c>
      <c r="X2895" t="s">
        <v>7369</v>
      </c>
      <c r="Y2895" t="s">
        <v>7399</v>
      </c>
      <c r="Z2895" t="s">
        <v>7519</v>
      </c>
      <c r="AB2895" t="s">
        <v>12209</v>
      </c>
      <c r="AC2895">
        <v>525</v>
      </c>
      <c r="AD2895" t="s">
        <v>12427</v>
      </c>
      <c r="AE2895" t="s">
        <v>12434</v>
      </c>
      <c r="AF2895">
        <v>2</v>
      </c>
      <c r="AG2895">
        <v>1</v>
      </c>
      <c r="AH2895">
        <v>1</v>
      </c>
      <c r="AI2895">
        <v>273.39</v>
      </c>
      <c r="AJ2895" t="s">
        <v>12443</v>
      </c>
      <c r="AK2895" t="s">
        <v>12455</v>
      </c>
      <c r="AL2895" t="s">
        <v>12460</v>
      </c>
      <c r="AM2895">
        <v>45000</v>
      </c>
      <c r="AO2895" t="s">
        <v>12845</v>
      </c>
      <c r="AP2895" t="s">
        <v>12868</v>
      </c>
      <c r="AQ2895" t="s">
        <v>12909</v>
      </c>
      <c r="AR2895" t="s">
        <v>13057</v>
      </c>
      <c r="AS2895">
        <v>13.85</v>
      </c>
      <c r="AT2895" t="s">
        <v>318</v>
      </c>
      <c r="AU2895" t="s">
        <v>60</v>
      </c>
    </row>
    <row r="2896" spans="1:48">
      <c r="A2896" s="1">
        <f>HYPERLINK("https://cms.ls-nyc.org/matter/dynamic-profile/view/1886811","19-1886811")</f>
        <v>0</v>
      </c>
      <c r="B2896" t="s">
        <v>117</v>
      </c>
      <c r="C2896" t="s">
        <v>422</v>
      </c>
      <c r="E2896" t="s">
        <v>1904</v>
      </c>
      <c r="F2896" t="s">
        <v>3460</v>
      </c>
      <c r="G2896" t="s">
        <v>4765</v>
      </c>
      <c r="H2896" t="s">
        <v>5959</v>
      </c>
      <c r="I2896" t="s">
        <v>6048</v>
      </c>
      <c r="J2896">
        <v>10304</v>
      </c>
      <c r="K2896" t="s">
        <v>6074</v>
      </c>
      <c r="L2896" t="s">
        <v>6074</v>
      </c>
      <c r="M2896" t="s">
        <v>6204</v>
      </c>
      <c r="N2896" t="s">
        <v>7273</v>
      </c>
      <c r="O2896" t="s">
        <v>7307</v>
      </c>
      <c r="Q2896" t="s">
        <v>7322</v>
      </c>
      <c r="R2896" t="s">
        <v>6076</v>
      </c>
      <c r="S2896" t="s">
        <v>7324</v>
      </c>
      <c r="T2896" t="s">
        <v>7336</v>
      </c>
      <c r="U2896" t="s">
        <v>422</v>
      </c>
      <c r="V2896">
        <v>1400</v>
      </c>
      <c r="W2896" t="s">
        <v>7364</v>
      </c>
      <c r="X2896" t="s">
        <v>7368</v>
      </c>
      <c r="Z2896" t="s">
        <v>9570</v>
      </c>
      <c r="AB2896" t="s">
        <v>12210</v>
      </c>
      <c r="AC2896">
        <v>137</v>
      </c>
      <c r="AD2896" t="s">
        <v>12420</v>
      </c>
      <c r="AE2896" t="s">
        <v>12434</v>
      </c>
      <c r="AF2896">
        <v>9</v>
      </c>
      <c r="AG2896">
        <v>1</v>
      </c>
      <c r="AH2896">
        <v>1</v>
      </c>
      <c r="AI2896">
        <v>273.39</v>
      </c>
      <c r="AL2896" t="s">
        <v>12460</v>
      </c>
      <c r="AM2896">
        <v>45000</v>
      </c>
      <c r="AS2896">
        <v>2.5</v>
      </c>
      <c r="AT2896" t="s">
        <v>418</v>
      </c>
      <c r="AU2896" t="s">
        <v>117</v>
      </c>
    </row>
    <row r="2897" spans="1:48">
      <c r="A2897" s="1">
        <f>HYPERLINK("https://cms.ls-nyc.org/matter/dynamic-profile/view/1883427","18-1883427")</f>
        <v>0</v>
      </c>
      <c r="B2897" t="s">
        <v>109</v>
      </c>
      <c r="C2897" t="s">
        <v>411</v>
      </c>
      <c r="E2897" t="s">
        <v>1896</v>
      </c>
      <c r="F2897" t="s">
        <v>2193</v>
      </c>
      <c r="G2897" t="s">
        <v>3927</v>
      </c>
      <c r="H2897" t="s">
        <v>5465</v>
      </c>
      <c r="I2897" t="s">
        <v>6047</v>
      </c>
      <c r="J2897">
        <v>10452</v>
      </c>
      <c r="K2897" t="s">
        <v>6074</v>
      </c>
      <c r="L2897" t="s">
        <v>6074</v>
      </c>
      <c r="M2897" t="s">
        <v>6658</v>
      </c>
      <c r="N2897" t="s">
        <v>7273</v>
      </c>
      <c r="O2897" t="s">
        <v>7308</v>
      </c>
      <c r="Q2897" t="s">
        <v>7322</v>
      </c>
      <c r="R2897" t="s">
        <v>6074</v>
      </c>
      <c r="S2897" t="s">
        <v>7324</v>
      </c>
      <c r="U2897" t="s">
        <v>472</v>
      </c>
      <c r="V2897">
        <v>1800</v>
      </c>
      <c r="W2897" t="s">
        <v>7363</v>
      </c>
      <c r="X2897" t="s">
        <v>7375</v>
      </c>
      <c r="Z2897" t="s">
        <v>9558</v>
      </c>
      <c r="AB2897" t="s">
        <v>12199</v>
      </c>
      <c r="AC2897">
        <v>41</v>
      </c>
      <c r="AD2897" t="s">
        <v>6322</v>
      </c>
      <c r="AE2897" t="s">
        <v>6110</v>
      </c>
      <c r="AF2897">
        <v>6</v>
      </c>
      <c r="AG2897">
        <v>3</v>
      </c>
      <c r="AH2897">
        <v>0</v>
      </c>
      <c r="AI2897">
        <v>277.19</v>
      </c>
      <c r="AL2897" t="s">
        <v>12461</v>
      </c>
      <c r="AM2897">
        <v>57600</v>
      </c>
      <c r="AS2897">
        <v>0</v>
      </c>
      <c r="AU2897" t="s">
        <v>13092</v>
      </c>
    </row>
    <row r="2898" spans="1:48">
      <c r="A2898" s="1">
        <f>HYPERLINK("https://cms.ls-nyc.org/matter/dynamic-profile/view/1894926","19-1894926")</f>
        <v>0</v>
      </c>
      <c r="B2898" t="s">
        <v>120</v>
      </c>
      <c r="C2898" t="s">
        <v>264</v>
      </c>
      <c r="E2898" t="s">
        <v>1905</v>
      </c>
      <c r="F2898" t="s">
        <v>2879</v>
      </c>
      <c r="G2898" t="s">
        <v>5103</v>
      </c>
      <c r="H2898" t="s">
        <v>5960</v>
      </c>
      <c r="I2898" t="s">
        <v>6048</v>
      </c>
      <c r="J2898">
        <v>10304</v>
      </c>
      <c r="K2898" t="s">
        <v>6074</v>
      </c>
      <c r="L2898" t="s">
        <v>6074</v>
      </c>
      <c r="M2898" t="s">
        <v>7203</v>
      </c>
      <c r="N2898" t="s">
        <v>7276</v>
      </c>
      <c r="O2898" t="s">
        <v>7308</v>
      </c>
      <c r="Q2898" t="s">
        <v>7322</v>
      </c>
      <c r="R2898" t="s">
        <v>6076</v>
      </c>
      <c r="S2898" t="s">
        <v>7324</v>
      </c>
      <c r="T2898" t="s">
        <v>7336</v>
      </c>
      <c r="U2898" t="s">
        <v>264</v>
      </c>
      <c r="V2898">
        <v>843</v>
      </c>
      <c r="W2898" t="s">
        <v>7364</v>
      </c>
      <c r="X2898" t="s">
        <v>7373</v>
      </c>
      <c r="Z2898" t="s">
        <v>9571</v>
      </c>
      <c r="AB2898" t="s">
        <v>12211</v>
      </c>
      <c r="AC2898">
        <v>72</v>
      </c>
      <c r="AE2898" t="s">
        <v>12434</v>
      </c>
      <c r="AF2898">
        <v>2</v>
      </c>
      <c r="AG2898">
        <v>1</v>
      </c>
      <c r="AH2898">
        <v>0</v>
      </c>
      <c r="AI2898">
        <v>277.28</v>
      </c>
      <c r="AJ2898" t="s">
        <v>457</v>
      </c>
      <c r="AK2898" t="s">
        <v>12456</v>
      </c>
      <c r="AL2898" t="s">
        <v>12460</v>
      </c>
      <c r="AM2898">
        <v>34632</v>
      </c>
      <c r="AS2898">
        <v>6.3</v>
      </c>
      <c r="AT2898" t="s">
        <v>343</v>
      </c>
      <c r="AU2898" t="s">
        <v>13101</v>
      </c>
    </row>
    <row r="2899" spans="1:48">
      <c r="A2899" s="1">
        <f>HYPERLINK("https://cms.ls-nyc.org/matter/dynamic-profile/view/1879724","18-1879724")</f>
        <v>0</v>
      </c>
      <c r="B2899" t="s">
        <v>69</v>
      </c>
      <c r="C2899" t="s">
        <v>483</v>
      </c>
      <c r="D2899" t="s">
        <v>413</v>
      </c>
      <c r="E2899" t="s">
        <v>1906</v>
      </c>
      <c r="F2899" t="s">
        <v>2169</v>
      </c>
      <c r="G2899" t="s">
        <v>4434</v>
      </c>
      <c r="H2899" t="s">
        <v>5961</v>
      </c>
      <c r="I2899" t="s">
        <v>6043</v>
      </c>
      <c r="J2899">
        <v>11226</v>
      </c>
      <c r="K2899" t="s">
        <v>6074</v>
      </c>
      <c r="L2899" t="s">
        <v>6075</v>
      </c>
      <c r="N2899" t="s">
        <v>6104</v>
      </c>
      <c r="O2899" t="s">
        <v>7307</v>
      </c>
      <c r="P2899" t="s">
        <v>7314</v>
      </c>
      <c r="Q2899" t="s">
        <v>7322</v>
      </c>
      <c r="S2899" t="s">
        <v>7326</v>
      </c>
      <c r="U2899" t="s">
        <v>355</v>
      </c>
      <c r="V2899">
        <v>914</v>
      </c>
      <c r="W2899" t="s">
        <v>7362</v>
      </c>
      <c r="X2899" t="s">
        <v>7376</v>
      </c>
      <c r="Y2899" t="s">
        <v>7386</v>
      </c>
      <c r="Z2899" t="s">
        <v>9572</v>
      </c>
      <c r="AC2899">
        <v>125</v>
      </c>
      <c r="AD2899" t="s">
        <v>12422</v>
      </c>
      <c r="AE2899" t="s">
        <v>6110</v>
      </c>
      <c r="AF2899">
        <v>35</v>
      </c>
      <c r="AG2899">
        <v>1</v>
      </c>
      <c r="AH2899">
        <v>0</v>
      </c>
      <c r="AI2899">
        <v>277.36</v>
      </c>
      <c r="AL2899" t="s">
        <v>12460</v>
      </c>
      <c r="AM2899">
        <v>33672</v>
      </c>
      <c r="AS2899">
        <v>1.7</v>
      </c>
      <c r="AT2899" t="s">
        <v>413</v>
      </c>
      <c r="AU2899" t="s">
        <v>13085</v>
      </c>
      <c r="AV2899" t="s">
        <v>13145</v>
      </c>
    </row>
    <row r="2900" spans="1:48">
      <c r="A2900" s="1">
        <f>HYPERLINK("https://cms.ls-nyc.org/matter/dynamic-profile/view/1891284","19-1891284")</f>
        <v>0</v>
      </c>
      <c r="B2900" t="s">
        <v>75</v>
      </c>
      <c r="C2900" t="s">
        <v>371</v>
      </c>
      <c r="E2900" t="s">
        <v>1907</v>
      </c>
      <c r="F2900" t="s">
        <v>3461</v>
      </c>
      <c r="G2900" t="s">
        <v>5246</v>
      </c>
      <c r="H2900" t="s">
        <v>5471</v>
      </c>
      <c r="I2900" t="s">
        <v>6043</v>
      </c>
      <c r="J2900">
        <v>11220</v>
      </c>
      <c r="K2900" t="s">
        <v>6074</v>
      </c>
      <c r="L2900" t="s">
        <v>6074</v>
      </c>
      <c r="M2900" t="s">
        <v>7204</v>
      </c>
      <c r="N2900" t="s">
        <v>7274</v>
      </c>
      <c r="O2900" t="s">
        <v>7308</v>
      </c>
      <c r="Q2900" t="s">
        <v>7322</v>
      </c>
      <c r="S2900" t="s">
        <v>7324</v>
      </c>
      <c r="U2900" t="s">
        <v>371</v>
      </c>
      <c r="V2900">
        <v>425.19</v>
      </c>
      <c r="W2900" t="s">
        <v>7362</v>
      </c>
      <c r="Z2900" t="s">
        <v>9573</v>
      </c>
      <c r="AC2900">
        <v>0</v>
      </c>
      <c r="AF2900">
        <v>50</v>
      </c>
      <c r="AG2900">
        <v>2</v>
      </c>
      <c r="AH2900">
        <v>0</v>
      </c>
      <c r="AI2900">
        <v>277.94</v>
      </c>
      <c r="AL2900" t="s">
        <v>12461</v>
      </c>
      <c r="AM2900">
        <v>47000</v>
      </c>
      <c r="AS2900">
        <v>1</v>
      </c>
      <c r="AT2900" t="s">
        <v>371</v>
      </c>
      <c r="AU2900" t="s">
        <v>88</v>
      </c>
    </row>
    <row r="2901" spans="1:48">
      <c r="A2901" s="1">
        <f>HYPERLINK("https://cms.ls-nyc.org/matter/dynamic-profile/view/1884268","18-1884268")</f>
        <v>0</v>
      </c>
      <c r="B2901" t="s">
        <v>68</v>
      </c>
      <c r="C2901" t="s">
        <v>297</v>
      </c>
      <c r="E2901" t="s">
        <v>1567</v>
      </c>
      <c r="F2901" t="s">
        <v>1676</v>
      </c>
      <c r="G2901" t="s">
        <v>5247</v>
      </c>
      <c r="I2901" t="s">
        <v>6043</v>
      </c>
      <c r="J2901">
        <v>11239</v>
      </c>
      <c r="K2901" t="s">
        <v>6074</v>
      </c>
      <c r="L2901" t="s">
        <v>6074</v>
      </c>
      <c r="M2901" t="s">
        <v>7205</v>
      </c>
      <c r="N2901" t="s">
        <v>7276</v>
      </c>
      <c r="O2901" t="s">
        <v>7308</v>
      </c>
      <c r="Q2901" t="s">
        <v>7322</v>
      </c>
      <c r="R2901" t="s">
        <v>6076</v>
      </c>
      <c r="S2901" t="s">
        <v>7324</v>
      </c>
      <c r="T2901" t="s">
        <v>7340</v>
      </c>
      <c r="U2901" t="s">
        <v>412</v>
      </c>
      <c r="V2901">
        <v>793</v>
      </c>
      <c r="W2901" t="s">
        <v>7362</v>
      </c>
      <c r="X2901" t="s">
        <v>7374</v>
      </c>
      <c r="Z2901" t="s">
        <v>9196</v>
      </c>
      <c r="AA2901" t="s">
        <v>6101</v>
      </c>
      <c r="AC2901">
        <v>1092</v>
      </c>
      <c r="AD2901" t="s">
        <v>6322</v>
      </c>
      <c r="AE2901" t="s">
        <v>12434</v>
      </c>
      <c r="AF2901">
        <v>30</v>
      </c>
      <c r="AG2901">
        <v>1</v>
      </c>
      <c r="AH2901">
        <v>0</v>
      </c>
      <c r="AI2901">
        <v>280.07</v>
      </c>
      <c r="AJ2901" t="s">
        <v>329</v>
      </c>
      <c r="AK2901" t="s">
        <v>12456</v>
      </c>
      <c r="AM2901">
        <v>34000</v>
      </c>
      <c r="AS2901">
        <v>7.31</v>
      </c>
      <c r="AT2901" t="s">
        <v>265</v>
      </c>
      <c r="AU2901" t="s">
        <v>74</v>
      </c>
    </row>
    <row r="2902" spans="1:48">
      <c r="A2902" s="1">
        <f>HYPERLINK("https://cms.ls-nyc.org/matter/dynamic-profile/view/1870821","18-1870821")</f>
        <v>0</v>
      </c>
      <c r="B2902" t="s">
        <v>146</v>
      </c>
      <c r="C2902" t="s">
        <v>321</v>
      </c>
      <c r="E2902" t="s">
        <v>1908</v>
      </c>
      <c r="F2902" t="s">
        <v>3462</v>
      </c>
      <c r="G2902" t="s">
        <v>5248</v>
      </c>
      <c r="H2902" t="s">
        <v>5354</v>
      </c>
      <c r="I2902" t="s">
        <v>6049</v>
      </c>
      <c r="J2902">
        <v>10029</v>
      </c>
      <c r="K2902" t="s">
        <v>6074</v>
      </c>
      <c r="L2902" t="s">
        <v>6074</v>
      </c>
      <c r="M2902" t="s">
        <v>7206</v>
      </c>
      <c r="N2902" t="s">
        <v>7274</v>
      </c>
      <c r="O2902" t="s">
        <v>7308</v>
      </c>
      <c r="Q2902" t="s">
        <v>7322</v>
      </c>
      <c r="R2902" t="s">
        <v>6076</v>
      </c>
      <c r="S2902" t="s">
        <v>7324</v>
      </c>
      <c r="T2902" t="s">
        <v>7336</v>
      </c>
      <c r="U2902" t="s">
        <v>483</v>
      </c>
      <c r="V2902">
        <v>101</v>
      </c>
      <c r="W2902" t="s">
        <v>7365</v>
      </c>
      <c r="X2902" t="s">
        <v>7380</v>
      </c>
      <c r="Y2902" t="s">
        <v>7393</v>
      </c>
      <c r="Z2902" t="s">
        <v>9574</v>
      </c>
      <c r="AB2902" t="s">
        <v>12212</v>
      </c>
      <c r="AC2902">
        <v>23</v>
      </c>
      <c r="AD2902" t="s">
        <v>12425</v>
      </c>
      <c r="AE2902" t="s">
        <v>6110</v>
      </c>
      <c r="AF2902">
        <v>36</v>
      </c>
      <c r="AG2902">
        <v>1</v>
      </c>
      <c r="AH2902">
        <v>0</v>
      </c>
      <c r="AI2902">
        <v>280.07</v>
      </c>
      <c r="AJ2902" t="s">
        <v>492</v>
      </c>
      <c r="AK2902" t="s">
        <v>12456</v>
      </c>
      <c r="AL2902" t="s">
        <v>12460</v>
      </c>
      <c r="AM2902">
        <v>34000</v>
      </c>
      <c r="AS2902">
        <v>16.4</v>
      </c>
      <c r="AT2902" t="s">
        <v>241</v>
      </c>
      <c r="AU2902" t="s">
        <v>13104</v>
      </c>
    </row>
    <row r="2903" spans="1:48">
      <c r="A2903" s="1">
        <f>HYPERLINK("https://cms.ls-nyc.org/matter/dynamic-profile/view/1892521","19-1892521")</f>
        <v>0</v>
      </c>
      <c r="B2903" t="s">
        <v>72</v>
      </c>
      <c r="C2903" t="s">
        <v>277</v>
      </c>
      <c r="E2903" t="s">
        <v>966</v>
      </c>
      <c r="F2903" t="s">
        <v>1778</v>
      </c>
      <c r="G2903" t="s">
        <v>3700</v>
      </c>
      <c r="H2903" t="s">
        <v>5827</v>
      </c>
      <c r="I2903" t="s">
        <v>6043</v>
      </c>
      <c r="J2903">
        <v>11233</v>
      </c>
      <c r="K2903" t="s">
        <v>6074</v>
      </c>
      <c r="L2903" t="s">
        <v>6076</v>
      </c>
      <c r="N2903" t="s">
        <v>7279</v>
      </c>
      <c r="O2903" t="s">
        <v>7311</v>
      </c>
      <c r="Q2903" t="s">
        <v>7322</v>
      </c>
      <c r="R2903" t="s">
        <v>6074</v>
      </c>
      <c r="S2903" t="s">
        <v>7324</v>
      </c>
      <c r="T2903" t="s">
        <v>7336</v>
      </c>
      <c r="U2903" t="s">
        <v>330</v>
      </c>
      <c r="V2903">
        <v>2500</v>
      </c>
      <c r="W2903" t="s">
        <v>7362</v>
      </c>
      <c r="X2903" t="s">
        <v>7305</v>
      </c>
      <c r="Z2903" t="s">
        <v>9575</v>
      </c>
      <c r="AC2903">
        <v>359</v>
      </c>
      <c r="AD2903" t="s">
        <v>12422</v>
      </c>
      <c r="AF2903">
        <v>51</v>
      </c>
      <c r="AG2903">
        <v>1</v>
      </c>
      <c r="AH2903">
        <v>0</v>
      </c>
      <c r="AI2903">
        <v>280.22</v>
      </c>
      <c r="AL2903" t="s">
        <v>12460</v>
      </c>
      <c r="AM2903">
        <v>35000</v>
      </c>
      <c r="AN2903" t="s">
        <v>12601</v>
      </c>
      <c r="AS2903">
        <v>0</v>
      </c>
      <c r="AU2903" t="s">
        <v>180</v>
      </c>
    </row>
    <row r="2904" spans="1:48">
      <c r="A2904" s="1">
        <f>HYPERLINK("https://cms.ls-nyc.org/matter/dynamic-profile/view/1892522","19-1892522")</f>
        <v>0</v>
      </c>
      <c r="B2904" t="s">
        <v>72</v>
      </c>
      <c r="C2904" t="s">
        <v>277</v>
      </c>
      <c r="E2904" t="s">
        <v>966</v>
      </c>
      <c r="F2904" t="s">
        <v>1778</v>
      </c>
      <c r="G2904" t="s">
        <v>3700</v>
      </c>
      <c r="H2904" t="s">
        <v>5827</v>
      </c>
      <c r="I2904" t="s">
        <v>6043</v>
      </c>
      <c r="J2904">
        <v>11233</v>
      </c>
      <c r="K2904" t="s">
        <v>6074</v>
      </c>
      <c r="L2904" t="s">
        <v>6076</v>
      </c>
      <c r="N2904" t="s">
        <v>7275</v>
      </c>
      <c r="O2904" t="s">
        <v>7307</v>
      </c>
      <c r="Q2904" t="s">
        <v>7322</v>
      </c>
      <c r="R2904" t="s">
        <v>6074</v>
      </c>
      <c r="S2904" t="s">
        <v>7324</v>
      </c>
      <c r="T2904" t="s">
        <v>7336</v>
      </c>
      <c r="U2904" t="s">
        <v>287</v>
      </c>
      <c r="V2904">
        <v>2500</v>
      </c>
      <c r="W2904" t="s">
        <v>7362</v>
      </c>
      <c r="X2904" t="s">
        <v>7305</v>
      </c>
      <c r="Z2904" t="s">
        <v>9575</v>
      </c>
      <c r="AC2904">
        <v>359</v>
      </c>
      <c r="AD2904" t="s">
        <v>12422</v>
      </c>
      <c r="AF2904">
        <v>51</v>
      </c>
      <c r="AG2904">
        <v>1</v>
      </c>
      <c r="AH2904">
        <v>0</v>
      </c>
      <c r="AI2904">
        <v>280.22</v>
      </c>
      <c r="AL2904" t="s">
        <v>12460</v>
      </c>
      <c r="AM2904">
        <v>35000</v>
      </c>
      <c r="AN2904" t="s">
        <v>12754</v>
      </c>
      <c r="AS2904">
        <v>0</v>
      </c>
      <c r="AU2904" t="s">
        <v>180</v>
      </c>
    </row>
    <row r="2905" spans="1:48">
      <c r="A2905" s="1">
        <f>HYPERLINK("https://cms.ls-nyc.org/matter/dynamic-profile/view/1893454","19-1893454")</f>
        <v>0</v>
      </c>
      <c r="B2905" t="s">
        <v>171</v>
      </c>
      <c r="C2905" t="s">
        <v>313</v>
      </c>
      <c r="E2905" t="s">
        <v>1909</v>
      </c>
      <c r="F2905" t="s">
        <v>2309</v>
      </c>
      <c r="G2905" t="s">
        <v>4491</v>
      </c>
      <c r="I2905" t="s">
        <v>6043</v>
      </c>
      <c r="J2905">
        <v>11208</v>
      </c>
      <c r="K2905" t="s">
        <v>6074</v>
      </c>
      <c r="L2905" t="s">
        <v>6074</v>
      </c>
      <c r="N2905" t="s">
        <v>7275</v>
      </c>
      <c r="O2905" t="s">
        <v>7307</v>
      </c>
      <c r="Q2905" t="s">
        <v>7322</v>
      </c>
      <c r="R2905" t="s">
        <v>6074</v>
      </c>
      <c r="S2905" t="s">
        <v>7324</v>
      </c>
      <c r="T2905" t="s">
        <v>7336</v>
      </c>
      <c r="U2905" t="s">
        <v>416</v>
      </c>
      <c r="V2905">
        <v>400</v>
      </c>
      <c r="W2905" t="s">
        <v>7362</v>
      </c>
      <c r="Z2905" t="s">
        <v>9576</v>
      </c>
      <c r="AC2905">
        <v>0</v>
      </c>
      <c r="AF2905">
        <v>3</v>
      </c>
      <c r="AG2905">
        <v>1</v>
      </c>
      <c r="AH2905">
        <v>0</v>
      </c>
      <c r="AI2905">
        <v>280.22</v>
      </c>
      <c r="AJ2905" t="s">
        <v>427</v>
      </c>
      <c r="AK2905" t="s">
        <v>12456</v>
      </c>
      <c r="AM2905">
        <v>35000</v>
      </c>
      <c r="AN2905" t="s">
        <v>12755</v>
      </c>
      <c r="AS2905">
        <v>0</v>
      </c>
      <c r="AU2905" t="s">
        <v>218</v>
      </c>
    </row>
    <row r="2906" spans="1:48">
      <c r="A2906" s="1">
        <f>HYPERLINK("https://cms.ls-nyc.org/matter/dynamic-profile/view/1895969","19-1895969")</f>
        <v>0</v>
      </c>
      <c r="B2906" t="s">
        <v>119</v>
      </c>
      <c r="C2906" t="s">
        <v>270</v>
      </c>
      <c r="E2906" t="s">
        <v>1910</v>
      </c>
      <c r="F2906" t="s">
        <v>3463</v>
      </c>
      <c r="G2906" t="s">
        <v>5249</v>
      </c>
      <c r="H2906" t="s">
        <v>5485</v>
      </c>
      <c r="I2906" t="s">
        <v>6048</v>
      </c>
      <c r="J2906">
        <v>10301</v>
      </c>
      <c r="K2906" t="s">
        <v>6074</v>
      </c>
      <c r="L2906" t="s">
        <v>6074</v>
      </c>
      <c r="O2906" t="s">
        <v>7306</v>
      </c>
      <c r="Q2906" t="s">
        <v>7322</v>
      </c>
      <c r="S2906" t="s">
        <v>7324</v>
      </c>
      <c r="U2906" t="s">
        <v>338</v>
      </c>
      <c r="V2906">
        <v>0</v>
      </c>
      <c r="W2906" t="s">
        <v>7364</v>
      </c>
      <c r="Z2906" t="s">
        <v>9577</v>
      </c>
      <c r="AB2906" t="s">
        <v>12213</v>
      </c>
      <c r="AC2906">
        <v>0</v>
      </c>
      <c r="AF2906">
        <v>0</v>
      </c>
      <c r="AG2906">
        <v>1</v>
      </c>
      <c r="AH2906">
        <v>0</v>
      </c>
      <c r="AI2906">
        <v>280.22</v>
      </c>
      <c r="AL2906" t="s">
        <v>12460</v>
      </c>
      <c r="AM2906">
        <v>35000</v>
      </c>
      <c r="AS2906">
        <v>0</v>
      </c>
      <c r="AU2906" t="s">
        <v>88</v>
      </c>
    </row>
    <row r="2907" spans="1:48">
      <c r="A2907" s="1">
        <f>HYPERLINK("https://cms.ls-nyc.org/matter/dynamic-profile/view/1891565","19-1891565")</f>
        <v>0</v>
      </c>
      <c r="B2907" t="s">
        <v>72</v>
      </c>
      <c r="C2907" t="s">
        <v>278</v>
      </c>
      <c r="E2907" t="s">
        <v>1155</v>
      </c>
      <c r="F2907" t="s">
        <v>1245</v>
      </c>
      <c r="G2907" t="s">
        <v>3701</v>
      </c>
      <c r="H2907" t="s">
        <v>5962</v>
      </c>
      <c r="I2907" t="s">
        <v>6043</v>
      </c>
      <c r="J2907">
        <v>11233</v>
      </c>
      <c r="K2907" t="s">
        <v>6074</v>
      </c>
      <c r="L2907" t="s">
        <v>6076</v>
      </c>
      <c r="M2907" t="s">
        <v>6101</v>
      </c>
      <c r="N2907" t="s">
        <v>7279</v>
      </c>
      <c r="O2907" t="s">
        <v>7311</v>
      </c>
      <c r="Q2907" t="s">
        <v>7322</v>
      </c>
      <c r="R2907" t="s">
        <v>6074</v>
      </c>
      <c r="S2907" t="s">
        <v>7324</v>
      </c>
      <c r="T2907" t="s">
        <v>7336</v>
      </c>
      <c r="U2907" t="s">
        <v>330</v>
      </c>
      <c r="V2907">
        <v>1003</v>
      </c>
      <c r="W2907" t="s">
        <v>7362</v>
      </c>
      <c r="Z2907" t="s">
        <v>9578</v>
      </c>
      <c r="AC2907">
        <v>359</v>
      </c>
      <c r="AD2907" t="s">
        <v>12422</v>
      </c>
      <c r="AF2907">
        <v>13</v>
      </c>
      <c r="AG2907">
        <v>1</v>
      </c>
      <c r="AH2907">
        <v>2</v>
      </c>
      <c r="AI2907">
        <v>281.29</v>
      </c>
      <c r="AJ2907" t="s">
        <v>459</v>
      </c>
      <c r="AK2907" t="s">
        <v>12456</v>
      </c>
      <c r="AL2907" t="s">
        <v>12460</v>
      </c>
      <c r="AM2907">
        <v>60000</v>
      </c>
      <c r="AN2907" t="s">
        <v>12486</v>
      </c>
      <c r="AS2907">
        <v>0</v>
      </c>
      <c r="AU2907" t="s">
        <v>218</v>
      </c>
    </row>
    <row r="2908" spans="1:48">
      <c r="A2908" s="1">
        <f>HYPERLINK("https://cms.ls-nyc.org/matter/dynamic-profile/view/1892069","19-1892069")</f>
        <v>0</v>
      </c>
      <c r="B2908" t="s">
        <v>72</v>
      </c>
      <c r="C2908" t="s">
        <v>405</v>
      </c>
      <c r="E2908" t="s">
        <v>1911</v>
      </c>
      <c r="F2908" t="s">
        <v>3464</v>
      </c>
      <c r="G2908" t="s">
        <v>3700</v>
      </c>
      <c r="H2908" t="s">
        <v>5382</v>
      </c>
      <c r="I2908" t="s">
        <v>6043</v>
      </c>
      <c r="J2908">
        <v>11233</v>
      </c>
      <c r="K2908" t="s">
        <v>6074</v>
      </c>
      <c r="L2908" t="s">
        <v>6076</v>
      </c>
      <c r="N2908" t="s">
        <v>7279</v>
      </c>
      <c r="O2908" t="s">
        <v>7311</v>
      </c>
      <c r="Q2908" t="s">
        <v>7322</v>
      </c>
      <c r="R2908" t="s">
        <v>6074</v>
      </c>
      <c r="S2908" t="s">
        <v>7324</v>
      </c>
      <c r="T2908" t="s">
        <v>7336</v>
      </c>
      <c r="U2908" t="s">
        <v>330</v>
      </c>
      <c r="V2908">
        <v>978</v>
      </c>
      <c r="W2908" t="s">
        <v>7362</v>
      </c>
      <c r="X2908" t="s">
        <v>7305</v>
      </c>
      <c r="Z2908" t="s">
        <v>7891</v>
      </c>
      <c r="AC2908">
        <v>359</v>
      </c>
      <c r="AD2908" t="s">
        <v>12422</v>
      </c>
      <c r="AE2908" t="s">
        <v>6110</v>
      </c>
      <c r="AF2908">
        <v>3</v>
      </c>
      <c r="AG2908">
        <v>2</v>
      </c>
      <c r="AH2908">
        <v>1</v>
      </c>
      <c r="AI2908">
        <v>281.29</v>
      </c>
      <c r="AL2908" t="s">
        <v>12460</v>
      </c>
      <c r="AM2908">
        <v>60000</v>
      </c>
      <c r="AN2908" t="s">
        <v>12601</v>
      </c>
      <c r="AS2908">
        <v>0</v>
      </c>
      <c r="AU2908" t="s">
        <v>180</v>
      </c>
    </row>
    <row r="2909" spans="1:48">
      <c r="A2909" s="1">
        <f>HYPERLINK("https://cms.ls-nyc.org/matter/dynamic-profile/view/1892764","19-1892764")</f>
        <v>0</v>
      </c>
      <c r="B2909" t="s">
        <v>72</v>
      </c>
      <c r="C2909" t="s">
        <v>395</v>
      </c>
      <c r="E2909" t="s">
        <v>1912</v>
      </c>
      <c r="F2909" t="s">
        <v>3465</v>
      </c>
      <c r="G2909" t="s">
        <v>3702</v>
      </c>
      <c r="H2909" t="s">
        <v>5595</v>
      </c>
      <c r="I2909" t="s">
        <v>6043</v>
      </c>
      <c r="J2909">
        <v>11233</v>
      </c>
      <c r="K2909" t="s">
        <v>6074</v>
      </c>
      <c r="L2909" t="s">
        <v>6076</v>
      </c>
      <c r="N2909" t="s">
        <v>7279</v>
      </c>
      <c r="O2909" t="s">
        <v>7311</v>
      </c>
      <c r="Q2909" t="s">
        <v>7322</v>
      </c>
      <c r="R2909" t="s">
        <v>6074</v>
      </c>
      <c r="S2909" t="s">
        <v>7324</v>
      </c>
      <c r="T2909" t="s">
        <v>7336</v>
      </c>
      <c r="U2909" t="s">
        <v>330</v>
      </c>
      <c r="V2909">
        <v>1200</v>
      </c>
      <c r="W2909" t="s">
        <v>7362</v>
      </c>
      <c r="X2909" t="s">
        <v>7305</v>
      </c>
      <c r="Z2909" t="s">
        <v>9579</v>
      </c>
      <c r="AC2909">
        <v>359</v>
      </c>
      <c r="AD2909" t="s">
        <v>12422</v>
      </c>
      <c r="AF2909">
        <v>4</v>
      </c>
      <c r="AG2909">
        <v>2</v>
      </c>
      <c r="AH2909">
        <v>1</v>
      </c>
      <c r="AI2909">
        <v>281.29</v>
      </c>
      <c r="AL2909" t="s">
        <v>12460</v>
      </c>
      <c r="AM2909">
        <v>60000</v>
      </c>
      <c r="AN2909" t="s">
        <v>12756</v>
      </c>
      <c r="AS2909">
        <v>0</v>
      </c>
      <c r="AU2909" t="s">
        <v>180</v>
      </c>
    </row>
    <row r="2910" spans="1:48">
      <c r="A2910" s="1">
        <f>HYPERLINK("https://cms.ls-nyc.org/matter/dynamic-profile/view/1891566","19-1891566")</f>
        <v>0</v>
      </c>
      <c r="B2910" t="s">
        <v>72</v>
      </c>
      <c r="C2910" t="s">
        <v>278</v>
      </c>
      <c r="E2910" t="s">
        <v>1155</v>
      </c>
      <c r="F2910" t="s">
        <v>1245</v>
      </c>
      <c r="G2910" t="s">
        <v>3701</v>
      </c>
      <c r="H2910" t="s">
        <v>5962</v>
      </c>
      <c r="I2910" t="s">
        <v>6043</v>
      </c>
      <c r="J2910">
        <v>11233</v>
      </c>
      <c r="K2910" t="s">
        <v>6074</v>
      </c>
      <c r="L2910" t="s">
        <v>6076</v>
      </c>
      <c r="M2910" t="s">
        <v>6101</v>
      </c>
      <c r="N2910" t="s">
        <v>7275</v>
      </c>
      <c r="O2910" t="s">
        <v>7307</v>
      </c>
      <c r="Q2910" t="s">
        <v>7322</v>
      </c>
      <c r="R2910" t="s">
        <v>6074</v>
      </c>
      <c r="S2910" t="s">
        <v>7324</v>
      </c>
      <c r="T2910" t="s">
        <v>7336</v>
      </c>
      <c r="U2910" t="s">
        <v>287</v>
      </c>
      <c r="V2910">
        <v>1003</v>
      </c>
      <c r="W2910" t="s">
        <v>7362</v>
      </c>
      <c r="Z2910" t="s">
        <v>9578</v>
      </c>
      <c r="AC2910">
        <v>359</v>
      </c>
      <c r="AD2910" t="s">
        <v>12422</v>
      </c>
      <c r="AF2910">
        <v>13</v>
      </c>
      <c r="AG2910">
        <v>1</v>
      </c>
      <c r="AH2910">
        <v>2</v>
      </c>
      <c r="AI2910">
        <v>281.29</v>
      </c>
      <c r="AJ2910" t="s">
        <v>459</v>
      </c>
      <c r="AK2910" t="s">
        <v>12456</v>
      </c>
      <c r="AL2910" t="s">
        <v>12460</v>
      </c>
      <c r="AM2910">
        <v>60000</v>
      </c>
      <c r="AN2910" t="s">
        <v>12757</v>
      </c>
      <c r="AS2910">
        <v>0</v>
      </c>
      <c r="AU2910" t="s">
        <v>218</v>
      </c>
    </row>
    <row r="2911" spans="1:48">
      <c r="A2911" s="1">
        <f>HYPERLINK("https://cms.ls-nyc.org/matter/dynamic-profile/view/1892076","19-1892076")</f>
        <v>0</v>
      </c>
      <c r="B2911" t="s">
        <v>72</v>
      </c>
      <c r="C2911" t="s">
        <v>405</v>
      </c>
      <c r="E2911" t="s">
        <v>1911</v>
      </c>
      <c r="F2911" t="s">
        <v>3464</v>
      </c>
      <c r="G2911" t="s">
        <v>3700</v>
      </c>
      <c r="H2911" t="s">
        <v>5382</v>
      </c>
      <c r="I2911" t="s">
        <v>6043</v>
      </c>
      <c r="J2911">
        <v>11233</v>
      </c>
      <c r="K2911" t="s">
        <v>6074</v>
      </c>
      <c r="L2911" t="s">
        <v>6076</v>
      </c>
      <c r="N2911" t="s">
        <v>7275</v>
      </c>
      <c r="O2911" t="s">
        <v>7307</v>
      </c>
      <c r="Q2911" t="s">
        <v>7322</v>
      </c>
      <c r="R2911" t="s">
        <v>6074</v>
      </c>
      <c r="S2911" t="s">
        <v>7324</v>
      </c>
      <c r="T2911" t="s">
        <v>7336</v>
      </c>
      <c r="U2911" t="s">
        <v>287</v>
      </c>
      <c r="V2911">
        <v>978</v>
      </c>
      <c r="W2911" t="s">
        <v>7362</v>
      </c>
      <c r="X2911" t="s">
        <v>7305</v>
      </c>
      <c r="Z2911" t="s">
        <v>7891</v>
      </c>
      <c r="AC2911">
        <v>359</v>
      </c>
      <c r="AD2911" t="s">
        <v>12422</v>
      </c>
      <c r="AE2911" t="s">
        <v>6110</v>
      </c>
      <c r="AF2911">
        <v>3</v>
      </c>
      <c r="AG2911">
        <v>2</v>
      </c>
      <c r="AH2911">
        <v>1</v>
      </c>
      <c r="AI2911">
        <v>281.29</v>
      </c>
      <c r="AL2911" t="s">
        <v>12460</v>
      </c>
      <c r="AM2911">
        <v>60000</v>
      </c>
      <c r="AN2911" t="s">
        <v>12758</v>
      </c>
      <c r="AS2911">
        <v>0</v>
      </c>
      <c r="AU2911" t="s">
        <v>180</v>
      </c>
    </row>
    <row r="2912" spans="1:48">
      <c r="A2912" s="1">
        <f>HYPERLINK("https://cms.ls-nyc.org/matter/dynamic-profile/view/1892770","19-1892770")</f>
        <v>0</v>
      </c>
      <c r="B2912" t="s">
        <v>72</v>
      </c>
      <c r="C2912" t="s">
        <v>395</v>
      </c>
      <c r="E2912" t="s">
        <v>1912</v>
      </c>
      <c r="F2912" t="s">
        <v>3465</v>
      </c>
      <c r="G2912" t="s">
        <v>3702</v>
      </c>
      <c r="H2912" t="s">
        <v>5595</v>
      </c>
      <c r="I2912" t="s">
        <v>6043</v>
      </c>
      <c r="J2912">
        <v>11233</v>
      </c>
      <c r="K2912" t="s">
        <v>6074</v>
      </c>
      <c r="L2912" t="s">
        <v>6076</v>
      </c>
      <c r="N2912" t="s">
        <v>7275</v>
      </c>
      <c r="O2912" t="s">
        <v>7307</v>
      </c>
      <c r="Q2912" t="s">
        <v>7322</v>
      </c>
      <c r="R2912" t="s">
        <v>6074</v>
      </c>
      <c r="S2912" t="s">
        <v>7324</v>
      </c>
      <c r="T2912" t="s">
        <v>7336</v>
      </c>
      <c r="U2912" t="s">
        <v>287</v>
      </c>
      <c r="V2912">
        <v>1200</v>
      </c>
      <c r="W2912" t="s">
        <v>7362</v>
      </c>
      <c r="X2912" t="s">
        <v>7305</v>
      </c>
      <c r="Z2912" t="s">
        <v>9579</v>
      </c>
      <c r="AC2912">
        <v>359</v>
      </c>
      <c r="AD2912" t="s">
        <v>12422</v>
      </c>
      <c r="AF2912">
        <v>4</v>
      </c>
      <c r="AG2912">
        <v>2</v>
      </c>
      <c r="AH2912">
        <v>1</v>
      </c>
      <c r="AI2912">
        <v>281.29</v>
      </c>
      <c r="AL2912" t="s">
        <v>12460</v>
      </c>
      <c r="AM2912">
        <v>60000</v>
      </c>
      <c r="AN2912" t="s">
        <v>12759</v>
      </c>
      <c r="AS2912">
        <v>0</v>
      </c>
      <c r="AU2912" t="s">
        <v>180</v>
      </c>
    </row>
    <row r="2913" spans="1:48">
      <c r="A2913" s="1">
        <f>HYPERLINK("https://cms.ls-nyc.org/matter/dynamic-profile/view/1887685","19-1887685")</f>
        <v>0</v>
      </c>
      <c r="B2913" t="s">
        <v>92</v>
      </c>
      <c r="C2913" t="s">
        <v>492</v>
      </c>
      <c r="D2913" t="s">
        <v>472</v>
      </c>
      <c r="E2913" t="s">
        <v>1913</v>
      </c>
      <c r="F2913" t="s">
        <v>1344</v>
      </c>
      <c r="G2913" t="s">
        <v>5250</v>
      </c>
      <c r="H2913" t="s">
        <v>5376</v>
      </c>
      <c r="I2913" t="s">
        <v>6043</v>
      </c>
      <c r="J2913">
        <v>11233</v>
      </c>
      <c r="K2913" t="s">
        <v>6074</v>
      </c>
      <c r="L2913" t="s">
        <v>6074</v>
      </c>
      <c r="N2913" t="s">
        <v>7275</v>
      </c>
      <c r="O2913" t="s">
        <v>7307</v>
      </c>
      <c r="P2913" t="s">
        <v>7315</v>
      </c>
      <c r="Q2913" t="s">
        <v>7322</v>
      </c>
      <c r="R2913" t="s">
        <v>6074</v>
      </c>
      <c r="S2913" t="s">
        <v>7324</v>
      </c>
      <c r="U2913" t="s">
        <v>389</v>
      </c>
      <c r="V2913">
        <v>1433.14</v>
      </c>
      <c r="W2913" t="s">
        <v>7362</v>
      </c>
      <c r="X2913" t="s">
        <v>7374</v>
      </c>
      <c r="Y2913" t="s">
        <v>7387</v>
      </c>
      <c r="Z2913" t="s">
        <v>9580</v>
      </c>
      <c r="AB2913" t="s">
        <v>12214</v>
      </c>
      <c r="AC2913">
        <v>7</v>
      </c>
      <c r="AD2913" t="s">
        <v>12422</v>
      </c>
      <c r="AF2913">
        <v>3</v>
      </c>
      <c r="AG2913">
        <v>2</v>
      </c>
      <c r="AH2913">
        <v>0</v>
      </c>
      <c r="AI2913">
        <v>282.26</v>
      </c>
      <c r="AJ2913" t="s">
        <v>329</v>
      </c>
      <c r="AK2913" t="s">
        <v>12456</v>
      </c>
      <c r="AL2913" t="s">
        <v>12460</v>
      </c>
      <c r="AM2913">
        <v>46460</v>
      </c>
      <c r="AP2913" t="s">
        <v>7305</v>
      </c>
      <c r="AS2913">
        <v>0.2</v>
      </c>
      <c r="AT2913" t="s">
        <v>492</v>
      </c>
      <c r="AU2913" t="s">
        <v>180</v>
      </c>
    </row>
    <row r="2914" spans="1:48">
      <c r="A2914" s="1">
        <f>HYPERLINK("https://cms.ls-nyc.org/matter/dynamic-profile/view/1887679","19-1887679")</f>
        <v>0</v>
      </c>
      <c r="B2914" t="s">
        <v>92</v>
      </c>
      <c r="C2914" t="s">
        <v>492</v>
      </c>
      <c r="D2914" t="s">
        <v>472</v>
      </c>
      <c r="E2914" t="s">
        <v>1913</v>
      </c>
      <c r="F2914" t="s">
        <v>1344</v>
      </c>
      <c r="G2914" t="s">
        <v>5250</v>
      </c>
      <c r="H2914" t="s">
        <v>5376</v>
      </c>
      <c r="I2914" t="s">
        <v>6043</v>
      </c>
      <c r="J2914">
        <v>11233</v>
      </c>
      <c r="K2914" t="s">
        <v>6074</v>
      </c>
      <c r="L2914" t="s">
        <v>6074</v>
      </c>
      <c r="M2914" t="s">
        <v>7188</v>
      </c>
      <c r="N2914" t="s">
        <v>7279</v>
      </c>
      <c r="O2914" t="s">
        <v>7311</v>
      </c>
      <c r="P2914" t="s">
        <v>7321</v>
      </c>
      <c r="Q2914" t="s">
        <v>7322</v>
      </c>
      <c r="R2914" t="s">
        <v>6074</v>
      </c>
      <c r="S2914" t="s">
        <v>7324</v>
      </c>
      <c r="U2914" t="s">
        <v>7344</v>
      </c>
      <c r="V2914">
        <v>1433.14</v>
      </c>
      <c r="W2914" t="s">
        <v>7362</v>
      </c>
      <c r="X2914" t="s">
        <v>7374</v>
      </c>
      <c r="Y2914" t="s">
        <v>7387</v>
      </c>
      <c r="Z2914" t="s">
        <v>9580</v>
      </c>
      <c r="AB2914" t="s">
        <v>12214</v>
      </c>
      <c r="AC2914">
        <v>7</v>
      </c>
      <c r="AD2914" t="s">
        <v>12422</v>
      </c>
      <c r="AF2914">
        <v>3</v>
      </c>
      <c r="AG2914">
        <v>2</v>
      </c>
      <c r="AH2914">
        <v>0</v>
      </c>
      <c r="AI2914">
        <v>282.27</v>
      </c>
      <c r="AJ2914" t="s">
        <v>329</v>
      </c>
      <c r="AK2914" t="s">
        <v>12456</v>
      </c>
      <c r="AL2914" t="s">
        <v>12460</v>
      </c>
      <c r="AM2914">
        <v>46462</v>
      </c>
      <c r="AP2914" t="s">
        <v>12908</v>
      </c>
      <c r="AS2914">
        <v>0.4</v>
      </c>
      <c r="AT2914" t="s">
        <v>492</v>
      </c>
      <c r="AU2914" t="s">
        <v>180</v>
      </c>
    </row>
    <row r="2915" spans="1:48">
      <c r="A2915" s="1">
        <f>HYPERLINK("https://cms.ls-nyc.org/matter/dynamic-profile/view/1887682","19-1887682")</f>
        <v>0</v>
      </c>
      <c r="B2915" t="s">
        <v>92</v>
      </c>
      <c r="C2915" t="s">
        <v>492</v>
      </c>
      <c r="D2915" t="s">
        <v>472</v>
      </c>
      <c r="E2915" t="s">
        <v>1913</v>
      </c>
      <c r="F2915" t="s">
        <v>1344</v>
      </c>
      <c r="G2915" t="s">
        <v>5250</v>
      </c>
      <c r="H2915" t="s">
        <v>5376</v>
      </c>
      <c r="I2915" t="s">
        <v>6043</v>
      </c>
      <c r="J2915">
        <v>11233</v>
      </c>
      <c r="K2915" t="s">
        <v>6074</v>
      </c>
      <c r="L2915" t="s">
        <v>6074</v>
      </c>
      <c r="M2915" t="s">
        <v>7207</v>
      </c>
      <c r="N2915" t="s">
        <v>7279</v>
      </c>
      <c r="O2915" t="s">
        <v>7311</v>
      </c>
      <c r="P2915" t="s">
        <v>7319</v>
      </c>
      <c r="Q2915" t="s">
        <v>7322</v>
      </c>
      <c r="R2915" t="s">
        <v>6074</v>
      </c>
      <c r="S2915" t="s">
        <v>7324</v>
      </c>
      <c r="U2915" t="s">
        <v>442</v>
      </c>
      <c r="V2915">
        <v>1433.14</v>
      </c>
      <c r="W2915" t="s">
        <v>7362</v>
      </c>
      <c r="X2915" t="s">
        <v>7374</v>
      </c>
      <c r="Y2915" t="s">
        <v>7387</v>
      </c>
      <c r="Z2915" t="s">
        <v>9580</v>
      </c>
      <c r="AB2915" t="s">
        <v>12214</v>
      </c>
      <c r="AC2915">
        <v>7</v>
      </c>
      <c r="AD2915" t="s">
        <v>12422</v>
      </c>
      <c r="AF2915">
        <v>3</v>
      </c>
      <c r="AG2915">
        <v>2</v>
      </c>
      <c r="AH2915">
        <v>0</v>
      </c>
      <c r="AI2915">
        <v>282.27</v>
      </c>
      <c r="AJ2915" t="s">
        <v>329</v>
      </c>
      <c r="AK2915" t="s">
        <v>12456</v>
      </c>
      <c r="AL2915" t="s">
        <v>12460</v>
      </c>
      <c r="AM2915">
        <v>46462</v>
      </c>
      <c r="AP2915" t="s">
        <v>7305</v>
      </c>
      <c r="AS2915">
        <v>0.5</v>
      </c>
      <c r="AT2915" t="s">
        <v>310</v>
      </c>
      <c r="AU2915" t="s">
        <v>180</v>
      </c>
    </row>
    <row r="2916" spans="1:48">
      <c r="A2916" s="1">
        <f>HYPERLINK("https://cms.ls-nyc.org/matter/dynamic-profile/view/1882535","18-1882535")</f>
        <v>0</v>
      </c>
      <c r="B2916" t="s">
        <v>226</v>
      </c>
      <c r="C2916" t="s">
        <v>283</v>
      </c>
      <c r="E2916" t="s">
        <v>1914</v>
      </c>
      <c r="F2916" t="s">
        <v>2587</v>
      </c>
      <c r="G2916" t="s">
        <v>5251</v>
      </c>
      <c r="H2916" t="s">
        <v>5453</v>
      </c>
      <c r="I2916" t="s">
        <v>6047</v>
      </c>
      <c r="J2916">
        <v>10452</v>
      </c>
      <c r="K2916" t="s">
        <v>6074</v>
      </c>
      <c r="L2916" t="s">
        <v>6074</v>
      </c>
      <c r="M2916" t="s">
        <v>7208</v>
      </c>
      <c r="N2916" t="s">
        <v>7276</v>
      </c>
      <c r="O2916" t="s">
        <v>7308</v>
      </c>
      <c r="Q2916" t="s">
        <v>7322</v>
      </c>
      <c r="R2916" t="s">
        <v>6076</v>
      </c>
      <c r="S2916" t="s">
        <v>7324</v>
      </c>
      <c r="T2916" t="s">
        <v>7339</v>
      </c>
      <c r="U2916" t="s">
        <v>344</v>
      </c>
      <c r="V2916">
        <v>1300</v>
      </c>
      <c r="W2916" t="s">
        <v>7363</v>
      </c>
      <c r="X2916" t="s">
        <v>7376</v>
      </c>
      <c r="Z2916" t="s">
        <v>9581</v>
      </c>
      <c r="AB2916" t="s">
        <v>12215</v>
      </c>
      <c r="AC2916">
        <v>0</v>
      </c>
      <c r="AD2916" t="s">
        <v>12422</v>
      </c>
      <c r="AE2916" t="s">
        <v>6110</v>
      </c>
      <c r="AF2916">
        <v>4</v>
      </c>
      <c r="AG2916">
        <v>2</v>
      </c>
      <c r="AH2916">
        <v>1</v>
      </c>
      <c r="AI2916">
        <v>282.96</v>
      </c>
      <c r="AL2916" t="s">
        <v>12460</v>
      </c>
      <c r="AM2916">
        <v>58800</v>
      </c>
      <c r="AN2916" t="s">
        <v>12586</v>
      </c>
      <c r="AS2916">
        <v>16.5</v>
      </c>
      <c r="AT2916" t="s">
        <v>316</v>
      </c>
      <c r="AU2916" t="s">
        <v>187</v>
      </c>
    </row>
    <row r="2917" spans="1:48">
      <c r="A2917" s="1">
        <f>HYPERLINK("https://cms.ls-nyc.org/matter/dynamic-profile/view/1898058","19-1898058")</f>
        <v>0</v>
      </c>
      <c r="B2917" t="s">
        <v>70</v>
      </c>
      <c r="C2917" t="s">
        <v>418</v>
      </c>
      <c r="E2917" t="s">
        <v>1520</v>
      </c>
      <c r="F2917" t="s">
        <v>3466</v>
      </c>
      <c r="G2917" t="s">
        <v>5252</v>
      </c>
      <c r="H2917" t="s">
        <v>5375</v>
      </c>
      <c r="I2917" t="s">
        <v>6043</v>
      </c>
      <c r="J2917">
        <v>11203</v>
      </c>
      <c r="K2917" t="s">
        <v>6074</v>
      </c>
      <c r="L2917" t="s">
        <v>6075</v>
      </c>
      <c r="N2917" t="s">
        <v>7283</v>
      </c>
      <c r="O2917" t="s">
        <v>7309</v>
      </c>
      <c r="Q2917" t="s">
        <v>7322</v>
      </c>
      <c r="S2917" t="s">
        <v>7324</v>
      </c>
      <c r="U2917" t="s">
        <v>418</v>
      </c>
      <c r="V2917">
        <v>1235.14</v>
      </c>
      <c r="W2917" t="s">
        <v>7362</v>
      </c>
      <c r="X2917" t="s">
        <v>7368</v>
      </c>
      <c r="Z2917" t="s">
        <v>9582</v>
      </c>
      <c r="AB2917" t="s">
        <v>12216</v>
      </c>
      <c r="AC2917">
        <v>42</v>
      </c>
      <c r="AD2917" t="s">
        <v>12422</v>
      </c>
      <c r="AF2917">
        <v>13</v>
      </c>
      <c r="AG2917">
        <v>2</v>
      </c>
      <c r="AH2917">
        <v>0</v>
      </c>
      <c r="AI2917">
        <v>283.04</v>
      </c>
      <c r="AL2917" t="s">
        <v>12460</v>
      </c>
      <c r="AM2917">
        <v>47861.76</v>
      </c>
      <c r="AS2917">
        <v>7.75</v>
      </c>
      <c r="AT2917" t="s">
        <v>460</v>
      </c>
      <c r="AU2917" t="s">
        <v>70</v>
      </c>
      <c r="AV2917" t="s">
        <v>13145</v>
      </c>
    </row>
    <row r="2918" spans="1:48">
      <c r="A2918" s="1">
        <f>HYPERLINK("https://cms.ls-nyc.org/matter/dynamic-profile/view/1892761","19-1892761")</f>
        <v>0</v>
      </c>
      <c r="B2918" t="s">
        <v>72</v>
      </c>
      <c r="C2918" t="s">
        <v>395</v>
      </c>
      <c r="E2918" t="s">
        <v>1915</v>
      </c>
      <c r="F2918" t="s">
        <v>3467</v>
      </c>
      <c r="G2918" t="s">
        <v>4324</v>
      </c>
      <c r="H2918" t="s">
        <v>5406</v>
      </c>
      <c r="I2918" t="s">
        <v>6043</v>
      </c>
      <c r="J2918">
        <v>11233</v>
      </c>
      <c r="K2918" t="s">
        <v>6074</v>
      </c>
      <c r="L2918" t="s">
        <v>6076</v>
      </c>
      <c r="N2918" t="s">
        <v>7279</v>
      </c>
      <c r="O2918" t="s">
        <v>7311</v>
      </c>
      <c r="Q2918" t="s">
        <v>7322</v>
      </c>
      <c r="R2918" t="s">
        <v>6074</v>
      </c>
      <c r="S2918" t="s">
        <v>7324</v>
      </c>
      <c r="T2918" t="s">
        <v>7336</v>
      </c>
      <c r="U2918" t="s">
        <v>330</v>
      </c>
      <c r="V2918">
        <v>1825</v>
      </c>
      <c r="W2918" t="s">
        <v>7362</v>
      </c>
      <c r="X2918" t="s">
        <v>7305</v>
      </c>
      <c r="Z2918" t="s">
        <v>9583</v>
      </c>
      <c r="AC2918">
        <v>359</v>
      </c>
      <c r="AD2918" t="s">
        <v>12422</v>
      </c>
      <c r="AF2918">
        <v>1</v>
      </c>
      <c r="AG2918">
        <v>2</v>
      </c>
      <c r="AH2918">
        <v>0</v>
      </c>
      <c r="AI2918">
        <v>283.86</v>
      </c>
      <c r="AJ2918" t="s">
        <v>459</v>
      </c>
      <c r="AK2918" t="s">
        <v>12456</v>
      </c>
      <c r="AL2918" t="s">
        <v>12460</v>
      </c>
      <c r="AM2918">
        <v>48000</v>
      </c>
      <c r="AN2918" t="s">
        <v>12760</v>
      </c>
      <c r="AS2918">
        <v>0</v>
      </c>
      <c r="AU2918" t="s">
        <v>180</v>
      </c>
    </row>
    <row r="2919" spans="1:48">
      <c r="A2919" s="1">
        <f>HYPERLINK("https://cms.ls-nyc.org/matter/dynamic-profile/view/1892762","19-1892762")</f>
        <v>0</v>
      </c>
      <c r="B2919" t="s">
        <v>72</v>
      </c>
      <c r="C2919" t="s">
        <v>395</v>
      </c>
      <c r="E2919" t="s">
        <v>1915</v>
      </c>
      <c r="F2919" t="s">
        <v>3467</v>
      </c>
      <c r="G2919" t="s">
        <v>4324</v>
      </c>
      <c r="H2919" t="s">
        <v>5406</v>
      </c>
      <c r="I2919" t="s">
        <v>6043</v>
      </c>
      <c r="J2919">
        <v>11233</v>
      </c>
      <c r="K2919" t="s">
        <v>6074</v>
      </c>
      <c r="L2919" t="s">
        <v>6076</v>
      </c>
      <c r="N2919" t="s">
        <v>7275</v>
      </c>
      <c r="O2919" t="s">
        <v>7307</v>
      </c>
      <c r="Q2919" t="s">
        <v>7322</v>
      </c>
      <c r="R2919" t="s">
        <v>6074</v>
      </c>
      <c r="S2919" t="s">
        <v>7324</v>
      </c>
      <c r="T2919" t="s">
        <v>7336</v>
      </c>
      <c r="U2919" t="s">
        <v>287</v>
      </c>
      <c r="V2919">
        <v>1825</v>
      </c>
      <c r="W2919" t="s">
        <v>7362</v>
      </c>
      <c r="X2919" t="s">
        <v>7305</v>
      </c>
      <c r="Z2919" t="s">
        <v>9583</v>
      </c>
      <c r="AC2919">
        <v>359</v>
      </c>
      <c r="AD2919" t="s">
        <v>12422</v>
      </c>
      <c r="AF2919">
        <v>1</v>
      </c>
      <c r="AG2919">
        <v>2</v>
      </c>
      <c r="AH2919">
        <v>0</v>
      </c>
      <c r="AI2919">
        <v>283.86</v>
      </c>
      <c r="AJ2919" t="s">
        <v>459</v>
      </c>
      <c r="AK2919" t="s">
        <v>12456</v>
      </c>
      <c r="AL2919" t="s">
        <v>12460</v>
      </c>
      <c r="AM2919">
        <v>48000</v>
      </c>
      <c r="AN2919" t="s">
        <v>12761</v>
      </c>
      <c r="AS2919">
        <v>0</v>
      </c>
      <c r="AU2919" t="s">
        <v>180</v>
      </c>
    </row>
    <row r="2920" spans="1:48">
      <c r="A2920" s="1">
        <f>HYPERLINK("https://cms.ls-nyc.org/matter/dynamic-profile/view/1892410","19-1892410")</f>
        <v>0</v>
      </c>
      <c r="B2920" t="s">
        <v>96</v>
      </c>
      <c r="C2920" t="s">
        <v>337</v>
      </c>
      <c r="E2920" t="s">
        <v>1916</v>
      </c>
      <c r="F2920" t="s">
        <v>3468</v>
      </c>
      <c r="G2920" t="s">
        <v>4396</v>
      </c>
      <c r="H2920" t="s">
        <v>5749</v>
      </c>
      <c r="I2920" t="s">
        <v>6047</v>
      </c>
      <c r="J2920">
        <v>10453</v>
      </c>
      <c r="K2920" t="s">
        <v>6074</v>
      </c>
      <c r="L2920" t="s">
        <v>6074</v>
      </c>
      <c r="N2920" t="s">
        <v>7279</v>
      </c>
      <c r="O2920" t="s">
        <v>7311</v>
      </c>
      <c r="Q2920" t="s">
        <v>7322</v>
      </c>
      <c r="R2920" t="s">
        <v>6074</v>
      </c>
      <c r="S2920" t="s">
        <v>7324</v>
      </c>
      <c r="U2920" t="s">
        <v>457</v>
      </c>
      <c r="V2920">
        <v>1081</v>
      </c>
      <c r="W2920" t="s">
        <v>7363</v>
      </c>
      <c r="X2920" t="s">
        <v>7375</v>
      </c>
      <c r="Z2920" t="s">
        <v>9584</v>
      </c>
      <c r="AB2920" t="s">
        <v>12217</v>
      </c>
      <c r="AC2920">
        <v>170</v>
      </c>
      <c r="AD2920" t="s">
        <v>12422</v>
      </c>
      <c r="AE2920" t="s">
        <v>6110</v>
      </c>
      <c r="AF2920">
        <v>21</v>
      </c>
      <c r="AG2920">
        <v>2</v>
      </c>
      <c r="AH2920">
        <v>0</v>
      </c>
      <c r="AI2920">
        <v>283.86</v>
      </c>
      <c r="AM2920">
        <v>48000</v>
      </c>
      <c r="AS2920">
        <v>0</v>
      </c>
      <c r="AU2920" t="s">
        <v>13093</v>
      </c>
    </row>
    <row r="2921" spans="1:48">
      <c r="A2921" s="1">
        <f>HYPERLINK("https://cms.ls-nyc.org/matter/dynamic-profile/view/1892006","19-1892006")</f>
        <v>0</v>
      </c>
      <c r="B2921" t="s">
        <v>96</v>
      </c>
      <c r="C2921" t="s">
        <v>329</v>
      </c>
      <c r="E2921" t="s">
        <v>1916</v>
      </c>
      <c r="F2921" t="s">
        <v>3468</v>
      </c>
      <c r="G2921" t="s">
        <v>4396</v>
      </c>
      <c r="H2921" t="s">
        <v>5749</v>
      </c>
      <c r="I2921" t="s">
        <v>6047</v>
      </c>
      <c r="J2921">
        <v>10453</v>
      </c>
      <c r="K2921" t="s">
        <v>6074</v>
      </c>
      <c r="L2921" t="s">
        <v>6074</v>
      </c>
      <c r="M2921" t="s">
        <v>6259</v>
      </c>
      <c r="N2921" t="s">
        <v>7273</v>
      </c>
      <c r="O2921" t="s">
        <v>7308</v>
      </c>
      <c r="Q2921" t="s">
        <v>7322</v>
      </c>
      <c r="R2921" t="s">
        <v>6074</v>
      </c>
      <c r="S2921" t="s">
        <v>7324</v>
      </c>
      <c r="U2921" t="s">
        <v>457</v>
      </c>
      <c r="V2921">
        <v>1081</v>
      </c>
      <c r="W2921" t="s">
        <v>7363</v>
      </c>
      <c r="X2921" t="s">
        <v>7375</v>
      </c>
      <c r="Z2921" t="s">
        <v>9584</v>
      </c>
      <c r="AB2921" t="s">
        <v>12217</v>
      </c>
      <c r="AC2921">
        <v>170</v>
      </c>
      <c r="AD2921" t="s">
        <v>12422</v>
      </c>
      <c r="AE2921" t="s">
        <v>6110</v>
      </c>
      <c r="AF2921">
        <v>21</v>
      </c>
      <c r="AG2921">
        <v>2</v>
      </c>
      <c r="AH2921">
        <v>0</v>
      </c>
      <c r="AI2921">
        <v>283.86</v>
      </c>
      <c r="AM2921">
        <v>48000</v>
      </c>
      <c r="AS2921">
        <v>0</v>
      </c>
      <c r="AU2921" t="s">
        <v>13093</v>
      </c>
    </row>
    <row r="2922" spans="1:48">
      <c r="A2922" s="1">
        <f>HYPERLINK("https://cms.ls-nyc.org/matter/dynamic-profile/view/1893859","19-1893859")</f>
        <v>0</v>
      </c>
      <c r="B2922" t="s">
        <v>105</v>
      </c>
      <c r="C2922" t="s">
        <v>275</v>
      </c>
      <c r="D2922" t="s">
        <v>247</v>
      </c>
      <c r="E2922" t="s">
        <v>767</v>
      </c>
      <c r="F2922" t="s">
        <v>3469</v>
      </c>
      <c r="G2922" t="s">
        <v>5253</v>
      </c>
      <c r="H2922" t="s">
        <v>5963</v>
      </c>
      <c r="I2922" t="s">
        <v>6047</v>
      </c>
      <c r="J2922">
        <v>10452</v>
      </c>
      <c r="K2922" t="s">
        <v>6074</v>
      </c>
      <c r="L2922" t="s">
        <v>6074</v>
      </c>
      <c r="N2922" t="s">
        <v>6104</v>
      </c>
      <c r="O2922" t="s">
        <v>7306</v>
      </c>
      <c r="P2922" t="s">
        <v>7314</v>
      </c>
      <c r="Q2922" t="s">
        <v>7322</v>
      </c>
      <c r="R2922" t="s">
        <v>6076</v>
      </c>
      <c r="S2922" t="s">
        <v>7324</v>
      </c>
      <c r="U2922" t="s">
        <v>275</v>
      </c>
      <c r="V2922">
        <v>1247</v>
      </c>
      <c r="W2922" t="s">
        <v>7363</v>
      </c>
      <c r="X2922" t="s">
        <v>7376</v>
      </c>
      <c r="Y2922" t="s">
        <v>7386</v>
      </c>
      <c r="Z2922" t="s">
        <v>9585</v>
      </c>
      <c r="AB2922" t="s">
        <v>12218</v>
      </c>
      <c r="AC2922">
        <v>0</v>
      </c>
      <c r="AD2922" t="s">
        <v>12422</v>
      </c>
      <c r="AE2922" t="s">
        <v>6110</v>
      </c>
      <c r="AF2922">
        <v>5</v>
      </c>
      <c r="AG2922">
        <v>1</v>
      </c>
      <c r="AH2922">
        <v>0</v>
      </c>
      <c r="AI2922">
        <v>285.19</v>
      </c>
      <c r="AL2922" t="s">
        <v>12461</v>
      </c>
      <c r="AM2922">
        <v>35620</v>
      </c>
      <c r="AS2922">
        <v>0.5</v>
      </c>
      <c r="AT2922" t="s">
        <v>275</v>
      </c>
      <c r="AU2922" t="s">
        <v>105</v>
      </c>
    </row>
    <row r="2923" spans="1:48">
      <c r="A2923" s="1">
        <f>HYPERLINK("https://cms.ls-nyc.org/matter/dynamic-profile/view/1889957","19-1889957")</f>
        <v>0</v>
      </c>
      <c r="B2923" t="s">
        <v>96</v>
      </c>
      <c r="C2923" t="s">
        <v>351</v>
      </c>
      <c r="E2923" t="s">
        <v>694</v>
      </c>
      <c r="F2923" t="s">
        <v>3470</v>
      </c>
      <c r="G2923" t="s">
        <v>3792</v>
      </c>
      <c r="H2923" t="s">
        <v>5348</v>
      </c>
      <c r="I2923" t="s">
        <v>6047</v>
      </c>
      <c r="J2923">
        <v>10453</v>
      </c>
      <c r="K2923" t="s">
        <v>6074</v>
      </c>
      <c r="L2923" t="s">
        <v>6074</v>
      </c>
      <c r="N2923" t="s">
        <v>7279</v>
      </c>
      <c r="O2923" t="s">
        <v>7311</v>
      </c>
      <c r="Q2923" t="s">
        <v>7322</v>
      </c>
      <c r="R2923" t="s">
        <v>6074</v>
      </c>
      <c r="S2923" t="s">
        <v>7324</v>
      </c>
      <c r="U2923" t="s">
        <v>457</v>
      </c>
      <c r="V2923">
        <v>1194</v>
      </c>
      <c r="W2923" t="s">
        <v>7363</v>
      </c>
      <c r="X2923" t="s">
        <v>7376</v>
      </c>
      <c r="Z2923" t="s">
        <v>9586</v>
      </c>
      <c r="AB2923" t="s">
        <v>12219</v>
      </c>
      <c r="AC2923">
        <v>167</v>
      </c>
      <c r="AD2923" t="s">
        <v>12422</v>
      </c>
      <c r="AE2923" t="s">
        <v>6110</v>
      </c>
      <c r="AF2923">
        <v>12</v>
      </c>
      <c r="AG2923">
        <v>1</v>
      </c>
      <c r="AH2923">
        <v>0</v>
      </c>
      <c r="AI2923">
        <v>288.23</v>
      </c>
      <c r="AL2923" t="s">
        <v>12460</v>
      </c>
      <c r="AM2923">
        <v>36000</v>
      </c>
      <c r="AS2923">
        <v>0</v>
      </c>
      <c r="AU2923" t="s">
        <v>13092</v>
      </c>
    </row>
    <row r="2924" spans="1:48">
      <c r="A2924" s="1">
        <f>HYPERLINK("https://cms.ls-nyc.org/matter/dynamic-profile/view/1889951","19-1889951")</f>
        <v>0</v>
      </c>
      <c r="B2924" t="s">
        <v>96</v>
      </c>
      <c r="C2924" t="s">
        <v>351</v>
      </c>
      <c r="E2924" t="s">
        <v>694</v>
      </c>
      <c r="F2924" t="s">
        <v>3470</v>
      </c>
      <c r="G2924" t="s">
        <v>3792</v>
      </c>
      <c r="H2924" t="s">
        <v>5348</v>
      </c>
      <c r="I2924" t="s">
        <v>6047</v>
      </c>
      <c r="J2924">
        <v>10453</v>
      </c>
      <c r="K2924" t="s">
        <v>6074</v>
      </c>
      <c r="L2924" t="s">
        <v>6074</v>
      </c>
      <c r="M2924" t="s">
        <v>6259</v>
      </c>
      <c r="N2924" t="s">
        <v>7273</v>
      </c>
      <c r="O2924" t="s">
        <v>7308</v>
      </c>
      <c r="Q2924" t="s">
        <v>7322</v>
      </c>
      <c r="R2924" t="s">
        <v>6074</v>
      </c>
      <c r="S2924" t="s">
        <v>7324</v>
      </c>
      <c r="U2924" t="s">
        <v>457</v>
      </c>
      <c r="V2924">
        <v>1194</v>
      </c>
      <c r="W2924" t="s">
        <v>7363</v>
      </c>
      <c r="X2924" t="s">
        <v>7376</v>
      </c>
      <c r="Z2924" t="s">
        <v>9586</v>
      </c>
      <c r="AB2924" t="s">
        <v>12219</v>
      </c>
      <c r="AC2924">
        <v>167</v>
      </c>
      <c r="AD2924" t="s">
        <v>12422</v>
      </c>
      <c r="AE2924" t="s">
        <v>6110</v>
      </c>
      <c r="AF2924">
        <v>12</v>
      </c>
      <c r="AG2924">
        <v>1</v>
      </c>
      <c r="AH2924">
        <v>0</v>
      </c>
      <c r="AI2924">
        <v>288.23</v>
      </c>
      <c r="AL2924" t="s">
        <v>12460</v>
      </c>
      <c r="AM2924">
        <v>36000</v>
      </c>
      <c r="AS2924">
        <v>0</v>
      </c>
      <c r="AU2924" t="s">
        <v>13092</v>
      </c>
    </row>
    <row r="2925" spans="1:48">
      <c r="A2925" s="1">
        <f>HYPERLINK("https://cms.ls-nyc.org/matter/dynamic-profile/view/1881599","18-1881599")</f>
        <v>0</v>
      </c>
      <c r="B2925" t="s">
        <v>82</v>
      </c>
      <c r="C2925" t="s">
        <v>298</v>
      </c>
      <c r="D2925" t="s">
        <v>492</v>
      </c>
      <c r="E2925" t="s">
        <v>1917</v>
      </c>
      <c r="F2925" t="s">
        <v>2084</v>
      </c>
      <c r="G2925" t="s">
        <v>3718</v>
      </c>
      <c r="H2925" t="s">
        <v>5444</v>
      </c>
      <c r="I2925" t="s">
        <v>6043</v>
      </c>
      <c r="J2925">
        <v>11230</v>
      </c>
      <c r="K2925" t="s">
        <v>6074</v>
      </c>
      <c r="L2925" t="s">
        <v>6076</v>
      </c>
      <c r="N2925" t="s">
        <v>7275</v>
      </c>
      <c r="O2925" t="s">
        <v>7309</v>
      </c>
      <c r="P2925" t="s">
        <v>7315</v>
      </c>
      <c r="Q2925" t="s">
        <v>7322</v>
      </c>
      <c r="R2925" t="s">
        <v>6074</v>
      </c>
      <c r="S2925" t="s">
        <v>7324</v>
      </c>
      <c r="U2925" t="s">
        <v>464</v>
      </c>
      <c r="V2925">
        <v>1475</v>
      </c>
      <c r="W2925" t="s">
        <v>7362</v>
      </c>
      <c r="Y2925" t="s">
        <v>7394</v>
      </c>
      <c r="Z2925" t="s">
        <v>9587</v>
      </c>
      <c r="AB2925" t="s">
        <v>12220</v>
      </c>
      <c r="AC2925">
        <v>66</v>
      </c>
      <c r="AD2925" t="s">
        <v>12422</v>
      </c>
      <c r="AF2925">
        <v>22</v>
      </c>
      <c r="AG2925">
        <v>1</v>
      </c>
      <c r="AH2925">
        <v>0</v>
      </c>
      <c r="AI2925">
        <v>288.3</v>
      </c>
      <c r="AL2925" t="s">
        <v>12460</v>
      </c>
      <c r="AM2925">
        <v>35000</v>
      </c>
      <c r="AS2925">
        <v>0.55</v>
      </c>
      <c r="AT2925" t="s">
        <v>310</v>
      </c>
      <c r="AU2925" t="s">
        <v>69</v>
      </c>
    </row>
    <row r="2926" spans="1:48">
      <c r="A2926" s="1">
        <f>HYPERLINK("https://cms.ls-nyc.org/matter/dynamic-profile/view/1874152","18-1874152")</f>
        <v>0</v>
      </c>
      <c r="B2926" t="s">
        <v>171</v>
      </c>
      <c r="C2926" t="s">
        <v>377</v>
      </c>
      <c r="D2926" t="s">
        <v>391</v>
      </c>
      <c r="E2926" t="s">
        <v>1909</v>
      </c>
      <c r="F2926" t="s">
        <v>2309</v>
      </c>
      <c r="G2926" t="s">
        <v>4491</v>
      </c>
      <c r="I2926" t="s">
        <v>6043</v>
      </c>
      <c r="J2926">
        <v>11208</v>
      </c>
      <c r="K2926" t="s">
        <v>6074</v>
      </c>
      <c r="L2926" t="s">
        <v>6074</v>
      </c>
      <c r="M2926" t="s">
        <v>6702</v>
      </c>
      <c r="N2926" t="s">
        <v>7274</v>
      </c>
      <c r="O2926" t="s">
        <v>7308</v>
      </c>
      <c r="P2926" t="s">
        <v>7316</v>
      </c>
      <c r="Q2926" t="s">
        <v>7322</v>
      </c>
      <c r="R2926" t="s">
        <v>6074</v>
      </c>
      <c r="S2926" t="s">
        <v>7324</v>
      </c>
      <c r="U2926" t="s">
        <v>427</v>
      </c>
      <c r="V2926">
        <v>400</v>
      </c>
      <c r="W2926" t="s">
        <v>7362</v>
      </c>
      <c r="Y2926" t="s">
        <v>7388</v>
      </c>
      <c r="Z2926" t="s">
        <v>9576</v>
      </c>
      <c r="AC2926">
        <v>0</v>
      </c>
      <c r="AF2926">
        <v>3</v>
      </c>
      <c r="AG2926">
        <v>1</v>
      </c>
      <c r="AH2926">
        <v>0</v>
      </c>
      <c r="AI2926">
        <v>288.3</v>
      </c>
      <c r="AJ2926" t="s">
        <v>427</v>
      </c>
      <c r="AK2926" t="s">
        <v>12456</v>
      </c>
      <c r="AM2926">
        <v>35000</v>
      </c>
      <c r="AN2926" t="s">
        <v>12727</v>
      </c>
      <c r="AO2926" t="s">
        <v>12846</v>
      </c>
      <c r="AP2926" t="s">
        <v>12863</v>
      </c>
      <c r="AQ2926" t="s">
        <v>12909</v>
      </c>
      <c r="AR2926" t="s">
        <v>13058</v>
      </c>
      <c r="AS2926">
        <v>2.9</v>
      </c>
      <c r="AT2926" t="s">
        <v>290</v>
      </c>
      <c r="AU2926" t="s">
        <v>171</v>
      </c>
    </row>
    <row r="2927" spans="1:48">
      <c r="A2927" s="1">
        <f>HYPERLINK("https://cms.ls-nyc.org/matter/dynamic-profile/view/1881836","18-1881836")</f>
        <v>0</v>
      </c>
      <c r="B2927" t="s">
        <v>116</v>
      </c>
      <c r="C2927" t="s">
        <v>369</v>
      </c>
      <c r="D2927" t="s">
        <v>443</v>
      </c>
      <c r="E2927" t="s">
        <v>825</v>
      </c>
      <c r="F2927" t="s">
        <v>2584</v>
      </c>
      <c r="G2927" t="s">
        <v>5254</v>
      </c>
      <c r="H2927">
        <v>5</v>
      </c>
      <c r="I2927" t="s">
        <v>6047</v>
      </c>
      <c r="J2927">
        <v>10467</v>
      </c>
      <c r="K2927" t="s">
        <v>6074</v>
      </c>
      <c r="L2927" t="s">
        <v>6074</v>
      </c>
      <c r="N2927" t="s">
        <v>6104</v>
      </c>
      <c r="O2927" t="s">
        <v>7306</v>
      </c>
      <c r="P2927" t="s">
        <v>7314</v>
      </c>
      <c r="Q2927" t="s">
        <v>7322</v>
      </c>
      <c r="S2927" t="s">
        <v>7324</v>
      </c>
      <c r="U2927" t="s">
        <v>326</v>
      </c>
      <c r="V2927">
        <v>1400</v>
      </c>
      <c r="W2927" t="s">
        <v>7363</v>
      </c>
      <c r="Y2927" t="s">
        <v>7386</v>
      </c>
      <c r="Z2927" t="s">
        <v>7622</v>
      </c>
      <c r="AC2927">
        <v>0</v>
      </c>
      <c r="AD2927" t="s">
        <v>12422</v>
      </c>
      <c r="AF2927">
        <v>6</v>
      </c>
      <c r="AG2927">
        <v>1</v>
      </c>
      <c r="AH2927">
        <v>0</v>
      </c>
      <c r="AI2927">
        <v>288.3</v>
      </c>
      <c r="AL2927" t="s">
        <v>12460</v>
      </c>
      <c r="AM2927">
        <v>35000</v>
      </c>
      <c r="AS2927">
        <v>0.75</v>
      </c>
      <c r="AT2927" t="s">
        <v>451</v>
      </c>
      <c r="AU2927" t="s">
        <v>116</v>
      </c>
    </row>
    <row r="2928" spans="1:48">
      <c r="A2928" s="1">
        <f>HYPERLINK("https://cms.ls-nyc.org/matter/dynamic-profile/view/1885755","18-1885755")</f>
        <v>0</v>
      </c>
      <c r="B2928" t="s">
        <v>102</v>
      </c>
      <c r="C2928" t="s">
        <v>344</v>
      </c>
      <c r="E2928" t="s">
        <v>1918</v>
      </c>
      <c r="F2928" t="s">
        <v>1954</v>
      </c>
      <c r="G2928" t="s">
        <v>3779</v>
      </c>
      <c r="H2928" t="s">
        <v>5534</v>
      </c>
      <c r="I2928" t="s">
        <v>6047</v>
      </c>
      <c r="J2928">
        <v>10460</v>
      </c>
      <c r="K2928" t="s">
        <v>6074</v>
      </c>
      <c r="L2928" t="s">
        <v>6074</v>
      </c>
      <c r="M2928" t="s">
        <v>6182</v>
      </c>
      <c r="N2928" t="s">
        <v>7273</v>
      </c>
      <c r="O2928" t="s">
        <v>7308</v>
      </c>
      <c r="Q2928" t="s">
        <v>7322</v>
      </c>
      <c r="R2928" t="s">
        <v>6074</v>
      </c>
      <c r="S2928" t="s">
        <v>7324</v>
      </c>
      <c r="U2928" t="s">
        <v>457</v>
      </c>
      <c r="V2928">
        <v>1071</v>
      </c>
      <c r="W2928" t="s">
        <v>7363</v>
      </c>
      <c r="X2928" t="s">
        <v>7376</v>
      </c>
      <c r="Z2928" t="s">
        <v>9588</v>
      </c>
      <c r="AB2928" t="s">
        <v>12221</v>
      </c>
      <c r="AC2928">
        <v>168</v>
      </c>
      <c r="AD2928" t="s">
        <v>6322</v>
      </c>
      <c r="AE2928" t="s">
        <v>12434</v>
      </c>
      <c r="AF2928">
        <v>10</v>
      </c>
      <c r="AG2928">
        <v>1</v>
      </c>
      <c r="AH2928">
        <v>1</v>
      </c>
      <c r="AI2928">
        <v>288.58</v>
      </c>
      <c r="AL2928" t="s">
        <v>12460</v>
      </c>
      <c r="AM2928">
        <v>47500</v>
      </c>
      <c r="AS2928">
        <v>0</v>
      </c>
      <c r="AU2928" t="s">
        <v>13092</v>
      </c>
    </row>
    <row r="2929" spans="1:48">
      <c r="A2929" s="1">
        <f>HYPERLINK("https://cms.ls-nyc.org/matter/dynamic-profile/view/1890018","19-1890018")</f>
        <v>0</v>
      </c>
      <c r="B2929" t="s">
        <v>131</v>
      </c>
      <c r="C2929" t="s">
        <v>351</v>
      </c>
      <c r="E2929" t="s">
        <v>1514</v>
      </c>
      <c r="F2929" t="s">
        <v>1759</v>
      </c>
      <c r="G2929" t="s">
        <v>5255</v>
      </c>
      <c r="H2929" t="s">
        <v>5355</v>
      </c>
      <c r="I2929" t="s">
        <v>6049</v>
      </c>
      <c r="J2929">
        <v>10032</v>
      </c>
      <c r="K2929" t="s">
        <v>6074</v>
      </c>
      <c r="L2929" t="s">
        <v>6074</v>
      </c>
      <c r="N2929" t="s">
        <v>7274</v>
      </c>
      <c r="O2929" t="s">
        <v>7306</v>
      </c>
      <c r="Q2929" t="s">
        <v>7322</v>
      </c>
      <c r="R2929" t="s">
        <v>6076</v>
      </c>
      <c r="S2929" t="s">
        <v>7324</v>
      </c>
      <c r="U2929" t="s">
        <v>351</v>
      </c>
      <c r="V2929">
        <v>909.6799999999999</v>
      </c>
      <c r="W2929" t="s">
        <v>7365</v>
      </c>
      <c r="X2929" t="s">
        <v>7367</v>
      </c>
      <c r="Z2929" t="s">
        <v>9589</v>
      </c>
      <c r="AB2929" t="s">
        <v>12222</v>
      </c>
      <c r="AC2929">
        <v>42</v>
      </c>
      <c r="AD2929" t="s">
        <v>12422</v>
      </c>
      <c r="AE2929" t="s">
        <v>6110</v>
      </c>
      <c r="AF2929">
        <v>37</v>
      </c>
      <c r="AG2929">
        <v>3</v>
      </c>
      <c r="AH2929">
        <v>0</v>
      </c>
      <c r="AI2929">
        <v>290.67</v>
      </c>
      <c r="AL2929" t="s">
        <v>12461</v>
      </c>
      <c r="AM2929">
        <v>62000</v>
      </c>
      <c r="AS2929">
        <v>0.45</v>
      </c>
      <c r="AT2929" t="s">
        <v>287</v>
      </c>
      <c r="AU2929" t="s">
        <v>13106</v>
      </c>
    </row>
    <row r="2930" spans="1:48">
      <c r="A2930" s="1">
        <f>HYPERLINK("https://cms.ls-nyc.org/matter/dynamic-profile/view/1875586","18-1875586")</f>
        <v>0</v>
      </c>
      <c r="B2930" t="s">
        <v>70</v>
      </c>
      <c r="C2930" t="s">
        <v>353</v>
      </c>
      <c r="D2930" t="s">
        <v>254</v>
      </c>
      <c r="E2930" t="s">
        <v>1520</v>
      </c>
      <c r="F2930" t="s">
        <v>3466</v>
      </c>
      <c r="G2930" t="s">
        <v>5252</v>
      </c>
      <c r="H2930" t="s">
        <v>5375</v>
      </c>
      <c r="I2930" t="s">
        <v>6043</v>
      </c>
      <c r="J2930">
        <v>11203</v>
      </c>
      <c r="K2930" t="s">
        <v>6074</v>
      </c>
      <c r="L2930" t="s">
        <v>6074</v>
      </c>
      <c r="M2930" t="s">
        <v>7209</v>
      </c>
      <c r="N2930" t="s">
        <v>7273</v>
      </c>
      <c r="O2930" t="s">
        <v>7308</v>
      </c>
      <c r="P2930" t="s">
        <v>7316</v>
      </c>
      <c r="Q2930" t="s">
        <v>7322</v>
      </c>
      <c r="S2930" t="s">
        <v>7324</v>
      </c>
      <c r="T2930" t="s">
        <v>7340</v>
      </c>
      <c r="U2930" t="s">
        <v>333</v>
      </c>
      <c r="V2930">
        <v>1216.87</v>
      </c>
      <c r="W2930" t="s">
        <v>7362</v>
      </c>
      <c r="X2930" t="s">
        <v>7368</v>
      </c>
      <c r="Y2930" t="s">
        <v>7394</v>
      </c>
      <c r="Z2930" t="s">
        <v>9582</v>
      </c>
      <c r="AB2930" t="s">
        <v>12216</v>
      </c>
      <c r="AC2930">
        <v>40</v>
      </c>
      <c r="AD2930" t="s">
        <v>12422</v>
      </c>
      <c r="AE2930" t="s">
        <v>12441</v>
      </c>
      <c r="AF2930">
        <v>12</v>
      </c>
      <c r="AG2930">
        <v>2</v>
      </c>
      <c r="AH2930">
        <v>0</v>
      </c>
      <c r="AI2930">
        <v>290.78</v>
      </c>
      <c r="AL2930" t="s">
        <v>12460</v>
      </c>
      <c r="AM2930">
        <v>47861.76</v>
      </c>
      <c r="AO2930" t="s">
        <v>12847</v>
      </c>
      <c r="AP2930" t="s">
        <v>12873</v>
      </c>
      <c r="AQ2930" t="s">
        <v>12909</v>
      </c>
      <c r="AR2930" t="s">
        <v>12987</v>
      </c>
      <c r="AS2930">
        <v>9.85</v>
      </c>
      <c r="AT2930" t="s">
        <v>418</v>
      </c>
      <c r="AU2930" t="s">
        <v>13085</v>
      </c>
    </row>
    <row r="2931" spans="1:48">
      <c r="A2931" s="1">
        <f>HYPERLINK("https://cms.ls-nyc.org/matter/dynamic-profile/view/1895639","19-1895639")</f>
        <v>0</v>
      </c>
      <c r="B2931" t="s">
        <v>71</v>
      </c>
      <c r="C2931" t="s">
        <v>264</v>
      </c>
      <c r="E2931" t="s">
        <v>1919</v>
      </c>
      <c r="F2931" t="s">
        <v>3471</v>
      </c>
      <c r="G2931" t="s">
        <v>5256</v>
      </c>
      <c r="H2931" t="s">
        <v>5372</v>
      </c>
      <c r="I2931" t="s">
        <v>6043</v>
      </c>
      <c r="J2931">
        <v>11233</v>
      </c>
      <c r="K2931" t="s">
        <v>6074</v>
      </c>
      <c r="L2931" t="s">
        <v>6076</v>
      </c>
      <c r="M2931" t="s">
        <v>7210</v>
      </c>
      <c r="N2931" t="s">
        <v>7276</v>
      </c>
      <c r="Q2931" t="s">
        <v>7322</v>
      </c>
      <c r="R2931" t="s">
        <v>6076</v>
      </c>
      <c r="S2931" t="s">
        <v>7324</v>
      </c>
      <c r="U2931" t="s">
        <v>276</v>
      </c>
      <c r="V2931">
        <v>1300</v>
      </c>
      <c r="W2931" t="s">
        <v>7362</v>
      </c>
      <c r="X2931" t="s">
        <v>7375</v>
      </c>
      <c r="Z2931" t="s">
        <v>9590</v>
      </c>
      <c r="AB2931" t="s">
        <v>12223</v>
      </c>
      <c r="AC2931">
        <v>0</v>
      </c>
      <c r="AD2931" t="s">
        <v>12422</v>
      </c>
      <c r="AE2931" t="s">
        <v>6110</v>
      </c>
      <c r="AF2931">
        <v>0</v>
      </c>
      <c r="AG2931">
        <v>1</v>
      </c>
      <c r="AH2931">
        <v>0</v>
      </c>
      <c r="AI2931">
        <v>291.22</v>
      </c>
      <c r="AL2931" t="s">
        <v>12460</v>
      </c>
      <c r="AM2931">
        <v>36374</v>
      </c>
      <c r="AS2931">
        <v>12.6</v>
      </c>
      <c r="AT2931" t="s">
        <v>423</v>
      </c>
      <c r="AU2931" t="s">
        <v>180</v>
      </c>
      <c r="AV2931" t="s">
        <v>13145</v>
      </c>
    </row>
    <row r="2932" spans="1:48">
      <c r="A2932" s="1">
        <f>HYPERLINK("https://cms.ls-nyc.org/matter/dynamic-profile/view/1890734","19-1890734")</f>
        <v>0</v>
      </c>
      <c r="B2932" t="s">
        <v>77</v>
      </c>
      <c r="C2932" t="s">
        <v>420</v>
      </c>
      <c r="E2932" t="s">
        <v>1387</v>
      </c>
      <c r="F2932" t="s">
        <v>3472</v>
      </c>
      <c r="G2932" t="s">
        <v>5257</v>
      </c>
      <c r="H2932">
        <v>3</v>
      </c>
      <c r="I2932" t="s">
        <v>6043</v>
      </c>
      <c r="J2932">
        <v>11233</v>
      </c>
      <c r="K2932" t="s">
        <v>6074</v>
      </c>
      <c r="L2932" t="s">
        <v>6074</v>
      </c>
      <c r="M2932" t="s">
        <v>7211</v>
      </c>
      <c r="N2932" t="s">
        <v>7274</v>
      </c>
      <c r="O2932" t="s">
        <v>7306</v>
      </c>
      <c r="Q2932" t="s">
        <v>7322</v>
      </c>
      <c r="R2932" t="s">
        <v>6076</v>
      </c>
      <c r="S2932" t="s">
        <v>7324</v>
      </c>
      <c r="U2932" t="s">
        <v>420</v>
      </c>
      <c r="V2932">
        <v>0</v>
      </c>
      <c r="W2932" t="s">
        <v>7362</v>
      </c>
      <c r="X2932" t="s">
        <v>7367</v>
      </c>
      <c r="Z2932" t="s">
        <v>9591</v>
      </c>
      <c r="AC2932">
        <v>14</v>
      </c>
      <c r="AD2932" t="s">
        <v>6322</v>
      </c>
      <c r="AE2932" t="s">
        <v>6110</v>
      </c>
      <c r="AF2932">
        <v>6</v>
      </c>
      <c r="AG2932">
        <v>3</v>
      </c>
      <c r="AH2932">
        <v>1</v>
      </c>
      <c r="AI2932">
        <v>291.26</v>
      </c>
      <c r="AL2932" t="s">
        <v>12460</v>
      </c>
      <c r="AM2932">
        <v>75000</v>
      </c>
      <c r="AS2932">
        <v>1.25</v>
      </c>
      <c r="AT2932" t="s">
        <v>356</v>
      </c>
      <c r="AU2932" t="s">
        <v>180</v>
      </c>
    </row>
    <row r="2933" spans="1:48">
      <c r="A2933" s="1">
        <f>HYPERLINK("https://cms.ls-nyc.org/matter/dynamic-profile/view/1880411","18-1880411")</f>
        <v>0</v>
      </c>
      <c r="B2933" t="s">
        <v>98</v>
      </c>
      <c r="C2933" t="s">
        <v>307</v>
      </c>
      <c r="E2933" t="s">
        <v>767</v>
      </c>
      <c r="F2933" t="s">
        <v>3473</v>
      </c>
      <c r="G2933" t="s">
        <v>4681</v>
      </c>
      <c r="H2933" t="s">
        <v>5357</v>
      </c>
      <c r="I2933" t="s">
        <v>6047</v>
      </c>
      <c r="J2933">
        <v>10451</v>
      </c>
      <c r="K2933" t="s">
        <v>6074</v>
      </c>
      <c r="L2933" t="s">
        <v>6074</v>
      </c>
      <c r="M2933" t="s">
        <v>7212</v>
      </c>
      <c r="N2933" t="s">
        <v>7279</v>
      </c>
      <c r="O2933" t="s">
        <v>7311</v>
      </c>
      <c r="Q2933" t="s">
        <v>7322</v>
      </c>
      <c r="R2933" t="s">
        <v>6076</v>
      </c>
      <c r="S2933" t="s">
        <v>7324</v>
      </c>
      <c r="T2933" t="s">
        <v>7336</v>
      </c>
      <c r="U2933" t="s">
        <v>359</v>
      </c>
      <c r="V2933">
        <v>941.27</v>
      </c>
      <c r="W2933" t="s">
        <v>7363</v>
      </c>
      <c r="X2933" t="s">
        <v>7368</v>
      </c>
      <c r="Z2933" t="s">
        <v>9592</v>
      </c>
      <c r="AB2933" t="s">
        <v>12224</v>
      </c>
      <c r="AC2933">
        <v>81</v>
      </c>
      <c r="AD2933" t="s">
        <v>12422</v>
      </c>
      <c r="AE2933" t="s">
        <v>6110</v>
      </c>
      <c r="AF2933">
        <v>37</v>
      </c>
      <c r="AG2933">
        <v>2</v>
      </c>
      <c r="AH2933">
        <v>0</v>
      </c>
      <c r="AI2933">
        <v>291.62</v>
      </c>
      <c r="AJ2933" t="s">
        <v>12451</v>
      </c>
      <c r="AK2933" t="s">
        <v>12456</v>
      </c>
      <c r="AL2933" t="s">
        <v>12460</v>
      </c>
      <c r="AM2933">
        <v>48000</v>
      </c>
      <c r="AS2933">
        <v>26.2</v>
      </c>
      <c r="AT2933" t="s">
        <v>260</v>
      </c>
      <c r="AU2933" t="s">
        <v>13095</v>
      </c>
    </row>
    <row r="2934" spans="1:48">
      <c r="A2934" s="1">
        <f>HYPERLINK("https://cms.ls-nyc.org/matter/dynamic-profile/view/1872492","18-1872492")</f>
        <v>0</v>
      </c>
      <c r="B2934" t="s">
        <v>161</v>
      </c>
      <c r="C2934" t="s">
        <v>376</v>
      </c>
      <c r="D2934" t="s">
        <v>250</v>
      </c>
      <c r="E2934" t="s">
        <v>1920</v>
      </c>
      <c r="F2934" t="s">
        <v>3474</v>
      </c>
      <c r="G2934" t="s">
        <v>5258</v>
      </c>
      <c r="H2934" t="s">
        <v>5755</v>
      </c>
      <c r="I2934" t="s">
        <v>6049</v>
      </c>
      <c r="J2934">
        <v>10029</v>
      </c>
      <c r="K2934" t="s">
        <v>6074</v>
      </c>
      <c r="L2934" t="s">
        <v>6074</v>
      </c>
      <c r="M2934" t="s">
        <v>7213</v>
      </c>
      <c r="N2934" t="s">
        <v>7276</v>
      </c>
      <c r="O2934" t="s">
        <v>7306</v>
      </c>
      <c r="P2934" t="s">
        <v>7314</v>
      </c>
      <c r="Q2934" t="s">
        <v>7322</v>
      </c>
      <c r="R2934" t="s">
        <v>6076</v>
      </c>
      <c r="S2934" t="s">
        <v>7324</v>
      </c>
      <c r="T2934" t="s">
        <v>7336</v>
      </c>
      <c r="U2934" t="s">
        <v>378</v>
      </c>
      <c r="V2934">
        <v>2200</v>
      </c>
      <c r="W2934" t="s">
        <v>7365</v>
      </c>
      <c r="X2934" t="s">
        <v>7305</v>
      </c>
      <c r="Y2934" t="s">
        <v>7386</v>
      </c>
      <c r="Z2934" t="s">
        <v>9593</v>
      </c>
      <c r="AB2934" t="s">
        <v>12225</v>
      </c>
      <c r="AC2934">
        <v>6</v>
      </c>
      <c r="AD2934" t="s">
        <v>12419</v>
      </c>
      <c r="AE2934" t="s">
        <v>6110</v>
      </c>
      <c r="AF2934">
        <v>3</v>
      </c>
      <c r="AG2934">
        <v>2</v>
      </c>
      <c r="AH2934">
        <v>0</v>
      </c>
      <c r="AI2934">
        <v>291.62</v>
      </c>
      <c r="AJ2934" t="s">
        <v>354</v>
      </c>
      <c r="AK2934" t="s">
        <v>12456</v>
      </c>
      <c r="AL2934" t="s">
        <v>12460</v>
      </c>
      <c r="AM2934">
        <v>48000</v>
      </c>
      <c r="AS2934">
        <v>1.2</v>
      </c>
      <c r="AT2934" t="s">
        <v>432</v>
      </c>
      <c r="AU2934" t="s">
        <v>13096</v>
      </c>
    </row>
    <row r="2935" spans="1:48">
      <c r="A2935" s="1">
        <f>HYPERLINK("https://cms.ls-nyc.org/matter/dynamic-profile/view/1879561","18-1879561")</f>
        <v>0</v>
      </c>
      <c r="B2935" t="s">
        <v>82</v>
      </c>
      <c r="C2935" t="s">
        <v>239</v>
      </c>
      <c r="E2935" t="s">
        <v>985</v>
      </c>
      <c r="F2935" t="s">
        <v>3475</v>
      </c>
      <c r="G2935" t="s">
        <v>3937</v>
      </c>
      <c r="H2935" t="s">
        <v>5964</v>
      </c>
      <c r="I2935" t="s">
        <v>6043</v>
      </c>
      <c r="J2935">
        <v>11226</v>
      </c>
      <c r="K2935" t="s">
        <v>6074</v>
      </c>
      <c r="L2935" t="s">
        <v>6074</v>
      </c>
      <c r="M2935" t="s">
        <v>7214</v>
      </c>
      <c r="N2935" t="s">
        <v>7273</v>
      </c>
      <c r="O2935" t="s">
        <v>7308</v>
      </c>
      <c r="Q2935" t="s">
        <v>7322</v>
      </c>
      <c r="R2935" t="s">
        <v>6074</v>
      </c>
      <c r="S2935" t="s">
        <v>7324</v>
      </c>
      <c r="U2935" t="s">
        <v>464</v>
      </c>
      <c r="V2935">
        <v>1632</v>
      </c>
      <c r="W2935" t="s">
        <v>7362</v>
      </c>
      <c r="X2935" t="s">
        <v>7368</v>
      </c>
      <c r="Z2935" t="s">
        <v>9594</v>
      </c>
      <c r="AB2935" t="s">
        <v>12226</v>
      </c>
      <c r="AC2935">
        <v>6</v>
      </c>
      <c r="AF2935">
        <v>2</v>
      </c>
      <c r="AG2935">
        <v>2</v>
      </c>
      <c r="AH2935">
        <v>0</v>
      </c>
      <c r="AI2935">
        <v>292.22</v>
      </c>
      <c r="AL2935" t="s">
        <v>12460</v>
      </c>
      <c r="AM2935">
        <v>48100</v>
      </c>
      <c r="AN2935" t="s">
        <v>12762</v>
      </c>
      <c r="AS2935">
        <v>0</v>
      </c>
      <c r="AU2935" t="s">
        <v>13084</v>
      </c>
    </row>
    <row r="2936" spans="1:48">
      <c r="A2936" s="1">
        <f>HYPERLINK("https://cms.ls-nyc.org/matter/dynamic-profile/view/1901228","19-1901228")</f>
        <v>0</v>
      </c>
      <c r="B2936" t="s">
        <v>227</v>
      </c>
      <c r="C2936" t="s">
        <v>496</v>
      </c>
      <c r="E2936" t="s">
        <v>610</v>
      </c>
      <c r="F2936" t="s">
        <v>3476</v>
      </c>
      <c r="G2936" t="s">
        <v>5259</v>
      </c>
      <c r="H2936">
        <v>2014</v>
      </c>
      <c r="I2936" t="s">
        <v>6049</v>
      </c>
      <c r="J2936">
        <v>10033</v>
      </c>
      <c r="K2936" t="s">
        <v>6074</v>
      </c>
      <c r="L2936" t="s">
        <v>6075</v>
      </c>
      <c r="N2936" t="s">
        <v>7278</v>
      </c>
      <c r="O2936" t="s">
        <v>7307</v>
      </c>
      <c r="Q2936" t="s">
        <v>7322</v>
      </c>
      <c r="R2936" t="s">
        <v>6076</v>
      </c>
      <c r="S2936" t="s">
        <v>7324</v>
      </c>
      <c r="U2936" t="s">
        <v>496</v>
      </c>
      <c r="V2936">
        <v>1500</v>
      </c>
      <c r="W2936" t="s">
        <v>7365</v>
      </c>
      <c r="X2936" t="s">
        <v>7367</v>
      </c>
      <c r="Z2936" t="s">
        <v>9595</v>
      </c>
      <c r="AC2936">
        <v>480</v>
      </c>
      <c r="AD2936" t="s">
        <v>12422</v>
      </c>
      <c r="AE2936" t="s">
        <v>6110</v>
      </c>
      <c r="AF2936">
        <v>0</v>
      </c>
      <c r="AG2936">
        <v>1</v>
      </c>
      <c r="AH2936">
        <v>0</v>
      </c>
      <c r="AI2936">
        <v>292.36</v>
      </c>
      <c r="AL2936" t="s">
        <v>12460</v>
      </c>
      <c r="AM2936">
        <v>36516</v>
      </c>
      <c r="AS2936">
        <v>0.75</v>
      </c>
      <c r="AT2936" t="s">
        <v>496</v>
      </c>
      <c r="AU2936" t="s">
        <v>13106</v>
      </c>
      <c r="AV2936" t="s">
        <v>13145</v>
      </c>
    </row>
    <row r="2937" spans="1:48">
      <c r="A2937" s="1">
        <f>HYPERLINK("https://cms.ls-nyc.org/matter/dynamic-profile/view/1874301","18-1874301")</f>
        <v>0</v>
      </c>
      <c r="B2937" t="s">
        <v>132</v>
      </c>
      <c r="C2937" t="s">
        <v>471</v>
      </c>
      <c r="D2937" t="s">
        <v>365</v>
      </c>
      <c r="E2937" t="s">
        <v>597</v>
      </c>
      <c r="F2937" t="s">
        <v>3477</v>
      </c>
      <c r="G2937" t="s">
        <v>5048</v>
      </c>
      <c r="H2937" t="s">
        <v>5354</v>
      </c>
      <c r="I2937" t="s">
        <v>6049</v>
      </c>
      <c r="J2937">
        <v>10032</v>
      </c>
      <c r="K2937" t="s">
        <v>6074</v>
      </c>
      <c r="L2937" t="s">
        <v>6074</v>
      </c>
      <c r="M2937" t="s">
        <v>7215</v>
      </c>
      <c r="N2937" t="s">
        <v>7274</v>
      </c>
      <c r="O2937" t="s">
        <v>7308</v>
      </c>
      <c r="P2937" t="s">
        <v>7318</v>
      </c>
      <c r="Q2937" t="s">
        <v>7322</v>
      </c>
      <c r="R2937" t="s">
        <v>6076</v>
      </c>
      <c r="S2937" t="s">
        <v>7324</v>
      </c>
      <c r="U2937" t="s">
        <v>471</v>
      </c>
      <c r="V2937">
        <v>799.9</v>
      </c>
      <c r="W2937" t="s">
        <v>7365</v>
      </c>
      <c r="X2937" t="s">
        <v>7367</v>
      </c>
      <c r="Y2937" t="s">
        <v>7388</v>
      </c>
      <c r="Z2937" t="s">
        <v>9596</v>
      </c>
      <c r="AB2937" t="s">
        <v>12227</v>
      </c>
      <c r="AC2937">
        <v>115</v>
      </c>
      <c r="AD2937" t="s">
        <v>12422</v>
      </c>
      <c r="AE2937" t="s">
        <v>6110</v>
      </c>
      <c r="AF2937">
        <v>28</v>
      </c>
      <c r="AG2937">
        <v>4</v>
      </c>
      <c r="AH2937">
        <v>0</v>
      </c>
      <c r="AI2937">
        <v>294.82</v>
      </c>
      <c r="AJ2937" t="s">
        <v>281</v>
      </c>
      <c r="AK2937" t="s">
        <v>12456</v>
      </c>
      <c r="AL2937" t="s">
        <v>12461</v>
      </c>
      <c r="AM2937">
        <v>74000</v>
      </c>
      <c r="AS2937">
        <v>37.95</v>
      </c>
      <c r="AT2937" t="s">
        <v>284</v>
      </c>
      <c r="AU2937" t="s">
        <v>13106</v>
      </c>
    </row>
    <row r="2938" spans="1:48">
      <c r="A2938" s="1">
        <f>HYPERLINK("https://cms.ls-nyc.org/matter/dynamic-profile/view/1888294","19-1888294")</f>
        <v>0</v>
      </c>
      <c r="B2938" t="s">
        <v>132</v>
      </c>
      <c r="C2938" t="s">
        <v>292</v>
      </c>
      <c r="E2938" t="s">
        <v>597</v>
      </c>
      <c r="F2938" t="s">
        <v>3477</v>
      </c>
      <c r="G2938" t="s">
        <v>5048</v>
      </c>
      <c r="H2938" t="s">
        <v>5354</v>
      </c>
      <c r="I2938" t="s">
        <v>6049</v>
      </c>
      <c r="J2938">
        <v>10032</v>
      </c>
      <c r="K2938" t="s">
        <v>6074</v>
      </c>
      <c r="L2938" t="s">
        <v>6074</v>
      </c>
      <c r="N2938" t="s">
        <v>7276</v>
      </c>
      <c r="O2938" t="s">
        <v>7308</v>
      </c>
      <c r="Q2938" t="s">
        <v>7322</v>
      </c>
      <c r="R2938" t="s">
        <v>6076</v>
      </c>
      <c r="S2938" t="s">
        <v>7324</v>
      </c>
      <c r="U2938" t="s">
        <v>370</v>
      </c>
      <c r="V2938">
        <v>799.9</v>
      </c>
      <c r="W2938" t="s">
        <v>7365</v>
      </c>
      <c r="X2938" t="s">
        <v>7368</v>
      </c>
      <c r="Z2938" t="s">
        <v>9596</v>
      </c>
      <c r="AB2938" t="s">
        <v>12227</v>
      </c>
      <c r="AC2938">
        <v>115</v>
      </c>
      <c r="AD2938" t="s">
        <v>12422</v>
      </c>
      <c r="AE2938" t="s">
        <v>6110</v>
      </c>
      <c r="AF2938">
        <v>29</v>
      </c>
      <c r="AG2938">
        <v>4</v>
      </c>
      <c r="AH2938">
        <v>0</v>
      </c>
      <c r="AI2938">
        <v>294.82</v>
      </c>
      <c r="AJ2938" t="s">
        <v>281</v>
      </c>
      <c r="AK2938" t="s">
        <v>12456</v>
      </c>
      <c r="AL2938" t="s">
        <v>12461</v>
      </c>
      <c r="AM2938">
        <v>74000</v>
      </c>
      <c r="AS2938">
        <v>59.1</v>
      </c>
      <c r="AT2938" t="s">
        <v>424</v>
      </c>
      <c r="AU2938" t="s">
        <v>13106</v>
      </c>
    </row>
    <row r="2939" spans="1:48">
      <c r="A2939" s="1">
        <f>HYPERLINK("https://cms.ls-nyc.org/matter/dynamic-profile/view/1839971","17-1839971")</f>
        <v>0</v>
      </c>
      <c r="B2939" t="s">
        <v>207</v>
      </c>
      <c r="C2939" t="s">
        <v>543</v>
      </c>
      <c r="D2939" t="s">
        <v>504</v>
      </c>
      <c r="E2939" t="s">
        <v>1921</v>
      </c>
      <c r="F2939" t="s">
        <v>1647</v>
      </c>
      <c r="G2939" t="s">
        <v>5260</v>
      </c>
      <c r="H2939" t="s">
        <v>5965</v>
      </c>
      <c r="I2939" t="s">
        <v>6049</v>
      </c>
      <c r="J2939">
        <v>10033</v>
      </c>
      <c r="K2939" t="s">
        <v>6074</v>
      </c>
      <c r="L2939" t="s">
        <v>6074</v>
      </c>
      <c r="M2939" t="s">
        <v>7216</v>
      </c>
      <c r="N2939" t="s">
        <v>7274</v>
      </c>
      <c r="O2939" t="s">
        <v>7307</v>
      </c>
      <c r="P2939" t="s">
        <v>7314</v>
      </c>
      <c r="Q2939" t="s">
        <v>7322</v>
      </c>
      <c r="R2939" t="s">
        <v>6076</v>
      </c>
      <c r="S2939" t="s">
        <v>7324</v>
      </c>
      <c r="U2939" t="s">
        <v>442</v>
      </c>
      <c r="V2939">
        <v>877.51</v>
      </c>
      <c r="W2939" t="s">
        <v>7365</v>
      </c>
      <c r="X2939" t="s">
        <v>7366</v>
      </c>
      <c r="Y2939" t="s">
        <v>7386</v>
      </c>
      <c r="Z2939" t="s">
        <v>9597</v>
      </c>
      <c r="AB2939" t="s">
        <v>12228</v>
      </c>
      <c r="AC2939">
        <v>94</v>
      </c>
      <c r="AD2939" t="s">
        <v>6322</v>
      </c>
      <c r="AF2939">
        <v>15</v>
      </c>
      <c r="AG2939">
        <v>2</v>
      </c>
      <c r="AH2939">
        <v>0</v>
      </c>
      <c r="AI2939">
        <v>295.57</v>
      </c>
      <c r="AJ2939" t="s">
        <v>7349</v>
      </c>
      <c r="AK2939" t="s">
        <v>12456</v>
      </c>
      <c r="AL2939" t="s">
        <v>12460</v>
      </c>
      <c r="AM2939">
        <v>48000</v>
      </c>
      <c r="AS2939">
        <v>0.8</v>
      </c>
      <c r="AT2939" t="s">
        <v>13074</v>
      </c>
      <c r="AU2939" t="s">
        <v>202</v>
      </c>
    </row>
    <row r="2940" spans="1:48">
      <c r="A2940" s="1">
        <f>HYPERLINK("https://cms.ls-nyc.org/matter/dynamic-profile/view/1888648","19-1888648")</f>
        <v>0</v>
      </c>
      <c r="B2940" t="s">
        <v>52</v>
      </c>
      <c r="C2940" t="s">
        <v>339</v>
      </c>
      <c r="D2940" t="s">
        <v>259</v>
      </c>
      <c r="E2940" t="s">
        <v>1922</v>
      </c>
      <c r="F2940" t="s">
        <v>3478</v>
      </c>
      <c r="G2940" t="s">
        <v>5261</v>
      </c>
      <c r="H2940" t="s">
        <v>5966</v>
      </c>
      <c r="I2940" t="s">
        <v>6037</v>
      </c>
      <c r="J2940">
        <v>11372</v>
      </c>
      <c r="K2940" t="s">
        <v>6074</v>
      </c>
      <c r="L2940" t="s">
        <v>6074</v>
      </c>
      <c r="M2940" t="s">
        <v>6110</v>
      </c>
      <c r="N2940" t="s">
        <v>6104</v>
      </c>
      <c r="O2940" t="s">
        <v>7306</v>
      </c>
      <c r="P2940" t="s">
        <v>7314</v>
      </c>
      <c r="Q2940" t="s">
        <v>7323</v>
      </c>
      <c r="R2940" t="s">
        <v>6076</v>
      </c>
      <c r="S2940" t="s">
        <v>7324</v>
      </c>
      <c r="T2940" t="s">
        <v>7336</v>
      </c>
      <c r="U2940" t="s">
        <v>339</v>
      </c>
      <c r="V2940">
        <v>0</v>
      </c>
      <c r="W2940" t="s">
        <v>7361</v>
      </c>
      <c r="X2940" t="s">
        <v>7369</v>
      </c>
      <c r="Y2940" t="s">
        <v>7386</v>
      </c>
      <c r="Z2940" t="s">
        <v>9598</v>
      </c>
      <c r="AB2940" t="s">
        <v>12229</v>
      </c>
      <c r="AC2940">
        <v>120</v>
      </c>
      <c r="AD2940" t="s">
        <v>12424</v>
      </c>
      <c r="AE2940" t="s">
        <v>6110</v>
      </c>
      <c r="AF2940">
        <v>2</v>
      </c>
      <c r="AG2940">
        <v>2</v>
      </c>
      <c r="AH2940">
        <v>0</v>
      </c>
      <c r="AI2940">
        <v>295.68</v>
      </c>
      <c r="AJ2940" t="s">
        <v>12443</v>
      </c>
      <c r="AK2940" t="s">
        <v>12455</v>
      </c>
      <c r="AL2940" t="s">
        <v>12460</v>
      </c>
      <c r="AM2940">
        <v>50000</v>
      </c>
      <c r="AS2940">
        <v>0.95</v>
      </c>
      <c r="AT2940" t="s">
        <v>367</v>
      </c>
      <c r="AU2940" t="s">
        <v>52</v>
      </c>
    </row>
    <row r="2941" spans="1:48">
      <c r="A2941" s="1">
        <f>HYPERLINK("https://cms.ls-nyc.org/matter/dynamic-profile/view/1889916","19-1889916")</f>
        <v>0</v>
      </c>
      <c r="B2941" t="s">
        <v>96</v>
      </c>
      <c r="C2941" t="s">
        <v>351</v>
      </c>
      <c r="E2941" t="s">
        <v>1923</v>
      </c>
      <c r="F2941" t="s">
        <v>3479</v>
      </c>
      <c r="G2941" t="s">
        <v>3792</v>
      </c>
      <c r="H2941" t="s">
        <v>5387</v>
      </c>
      <c r="I2941" t="s">
        <v>6047</v>
      </c>
      <c r="J2941">
        <v>10453</v>
      </c>
      <c r="K2941" t="s">
        <v>6074</v>
      </c>
      <c r="L2941" t="s">
        <v>6074</v>
      </c>
      <c r="N2941" t="s">
        <v>7279</v>
      </c>
      <c r="O2941" t="s">
        <v>7311</v>
      </c>
      <c r="Q2941" t="s">
        <v>7322</v>
      </c>
      <c r="R2941" t="s">
        <v>6074</v>
      </c>
      <c r="S2941" t="s">
        <v>7324</v>
      </c>
      <c r="U2941" t="s">
        <v>457</v>
      </c>
      <c r="V2941">
        <v>736</v>
      </c>
      <c r="W2941" t="s">
        <v>7363</v>
      </c>
      <c r="X2941" t="s">
        <v>7376</v>
      </c>
      <c r="Z2941" t="s">
        <v>9599</v>
      </c>
      <c r="AB2941" t="s">
        <v>12230</v>
      </c>
      <c r="AC2941">
        <v>167</v>
      </c>
      <c r="AD2941" t="s">
        <v>12422</v>
      </c>
      <c r="AE2941" t="s">
        <v>6110</v>
      </c>
      <c r="AF2941">
        <v>37</v>
      </c>
      <c r="AG2941">
        <v>2</v>
      </c>
      <c r="AH2941">
        <v>0</v>
      </c>
      <c r="AI2941">
        <v>295.68</v>
      </c>
      <c r="AL2941" t="s">
        <v>12460</v>
      </c>
      <c r="AM2941">
        <v>50000</v>
      </c>
      <c r="AS2941">
        <v>0</v>
      </c>
      <c r="AU2941" t="s">
        <v>13092</v>
      </c>
    </row>
    <row r="2942" spans="1:48">
      <c r="A2942" s="1">
        <f>HYPERLINK("https://cms.ls-nyc.org/matter/dynamic-profile/view/1891413","19-1891413")</f>
        <v>0</v>
      </c>
      <c r="B2942" t="s">
        <v>96</v>
      </c>
      <c r="C2942" t="s">
        <v>366</v>
      </c>
      <c r="E2942" t="s">
        <v>695</v>
      </c>
      <c r="F2942" t="s">
        <v>3393</v>
      </c>
      <c r="G2942" t="s">
        <v>3792</v>
      </c>
      <c r="H2942" t="s">
        <v>5955</v>
      </c>
      <c r="I2942" t="s">
        <v>6047</v>
      </c>
      <c r="J2942">
        <v>10453</v>
      </c>
      <c r="K2942" t="s">
        <v>6074</v>
      </c>
      <c r="L2942" t="s">
        <v>6074</v>
      </c>
      <c r="N2942" t="s">
        <v>7279</v>
      </c>
      <c r="O2942" t="s">
        <v>7311</v>
      </c>
      <c r="Q2942" t="s">
        <v>7322</v>
      </c>
      <c r="R2942" t="s">
        <v>6074</v>
      </c>
      <c r="S2942" t="s">
        <v>7324</v>
      </c>
      <c r="U2942" t="s">
        <v>457</v>
      </c>
      <c r="V2942">
        <v>873.27</v>
      </c>
      <c r="W2942" t="s">
        <v>7363</v>
      </c>
      <c r="X2942" t="s">
        <v>7376</v>
      </c>
      <c r="Z2942" t="s">
        <v>9423</v>
      </c>
      <c r="AB2942" t="s">
        <v>12231</v>
      </c>
      <c r="AC2942">
        <v>170</v>
      </c>
      <c r="AD2942" t="s">
        <v>12422</v>
      </c>
      <c r="AE2942" t="s">
        <v>6110</v>
      </c>
      <c r="AF2942">
        <v>28</v>
      </c>
      <c r="AG2942">
        <v>1</v>
      </c>
      <c r="AH2942">
        <v>1</v>
      </c>
      <c r="AI2942">
        <v>295.68</v>
      </c>
      <c r="AL2942" t="s">
        <v>12460</v>
      </c>
      <c r="AM2942">
        <v>50000</v>
      </c>
      <c r="AS2942">
        <v>0</v>
      </c>
      <c r="AU2942" t="s">
        <v>13095</v>
      </c>
    </row>
    <row r="2943" spans="1:48">
      <c r="A2943" s="1">
        <f>HYPERLINK("https://cms.ls-nyc.org/matter/dynamic-profile/view/1889911","19-1889911")</f>
        <v>0</v>
      </c>
      <c r="B2943" t="s">
        <v>96</v>
      </c>
      <c r="C2943" t="s">
        <v>351</v>
      </c>
      <c r="E2943" t="s">
        <v>1923</v>
      </c>
      <c r="F2943" t="s">
        <v>3479</v>
      </c>
      <c r="G2943" t="s">
        <v>3792</v>
      </c>
      <c r="H2943" t="s">
        <v>5387</v>
      </c>
      <c r="I2943" t="s">
        <v>6047</v>
      </c>
      <c r="J2943">
        <v>10453</v>
      </c>
      <c r="K2943" t="s">
        <v>6074</v>
      </c>
      <c r="L2943" t="s">
        <v>6074</v>
      </c>
      <c r="M2943" t="s">
        <v>6259</v>
      </c>
      <c r="N2943" t="s">
        <v>7273</v>
      </c>
      <c r="O2943" t="s">
        <v>7308</v>
      </c>
      <c r="Q2943" t="s">
        <v>7322</v>
      </c>
      <c r="R2943" t="s">
        <v>6074</v>
      </c>
      <c r="S2943" t="s">
        <v>7324</v>
      </c>
      <c r="U2943" t="s">
        <v>457</v>
      </c>
      <c r="V2943">
        <v>736</v>
      </c>
      <c r="W2943" t="s">
        <v>7363</v>
      </c>
      <c r="X2943" t="s">
        <v>7376</v>
      </c>
      <c r="Z2943" t="s">
        <v>9599</v>
      </c>
      <c r="AB2943" t="s">
        <v>12230</v>
      </c>
      <c r="AC2943">
        <v>167</v>
      </c>
      <c r="AD2943" t="s">
        <v>12422</v>
      </c>
      <c r="AE2943" t="s">
        <v>6110</v>
      </c>
      <c r="AF2943">
        <v>37</v>
      </c>
      <c r="AG2943">
        <v>2</v>
      </c>
      <c r="AH2943">
        <v>0</v>
      </c>
      <c r="AI2943">
        <v>295.68</v>
      </c>
      <c r="AL2943" t="s">
        <v>12460</v>
      </c>
      <c r="AM2943">
        <v>50000</v>
      </c>
      <c r="AS2943">
        <v>0</v>
      </c>
      <c r="AU2943" t="s">
        <v>13092</v>
      </c>
    </row>
    <row r="2944" spans="1:48">
      <c r="A2944" s="1">
        <f>HYPERLINK("https://cms.ls-nyc.org/matter/dynamic-profile/view/1891412","19-1891412")</f>
        <v>0</v>
      </c>
      <c r="B2944" t="s">
        <v>96</v>
      </c>
      <c r="C2944" t="s">
        <v>366</v>
      </c>
      <c r="E2944" t="s">
        <v>695</v>
      </c>
      <c r="F2944" t="s">
        <v>3393</v>
      </c>
      <c r="G2944" t="s">
        <v>3792</v>
      </c>
      <c r="H2944" t="s">
        <v>5955</v>
      </c>
      <c r="I2944" t="s">
        <v>6047</v>
      </c>
      <c r="J2944">
        <v>10453</v>
      </c>
      <c r="K2944" t="s">
        <v>6074</v>
      </c>
      <c r="L2944" t="s">
        <v>6074</v>
      </c>
      <c r="M2944" t="s">
        <v>6259</v>
      </c>
      <c r="N2944" t="s">
        <v>7273</v>
      </c>
      <c r="O2944" t="s">
        <v>7308</v>
      </c>
      <c r="Q2944" t="s">
        <v>7322</v>
      </c>
      <c r="R2944" t="s">
        <v>6074</v>
      </c>
      <c r="S2944" t="s">
        <v>7324</v>
      </c>
      <c r="U2944" t="s">
        <v>457</v>
      </c>
      <c r="V2944">
        <v>87327</v>
      </c>
      <c r="W2944" t="s">
        <v>7363</v>
      </c>
      <c r="X2944" t="s">
        <v>7376</v>
      </c>
      <c r="Z2944" t="s">
        <v>9423</v>
      </c>
      <c r="AB2944" t="s">
        <v>12231</v>
      </c>
      <c r="AC2944">
        <v>170</v>
      </c>
      <c r="AD2944" t="s">
        <v>12422</v>
      </c>
      <c r="AE2944" t="s">
        <v>6110</v>
      </c>
      <c r="AF2944">
        <v>28</v>
      </c>
      <c r="AG2944">
        <v>1</v>
      </c>
      <c r="AH2944">
        <v>1</v>
      </c>
      <c r="AI2944">
        <v>295.68</v>
      </c>
      <c r="AL2944" t="s">
        <v>12460</v>
      </c>
      <c r="AM2944">
        <v>50000</v>
      </c>
      <c r="AS2944">
        <v>0</v>
      </c>
      <c r="AU2944" t="s">
        <v>13095</v>
      </c>
    </row>
    <row r="2945" spans="1:48">
      <c r="A2945" s="1">
        <f>HYPERLINK("https://cms.ls-nyc.org/matter/dynamic-profile/view/1899738","19-1899738")</f>
        <v>0</v>
      </c>
      <c r="B2945" t="s">
        <v>125</v>
      </c>
      <c r="C2945" t="s">
        <v>316</v>
      </c>
      <c r="E2945" t="s">
        <v>1924</v>
      </c>
      <c r="F2945" t="s">
        <v>3480</v>
      </c>
      <c r="G2945" t="s">
        <v>5262</v>
      </c>
      <c r="H2945" t="s">
        <v>5470</v>
      </c>
      <c r="I2945" t="s">
        <v>6049</v>
      </c>
      <c r="J2945">
        <v>10034</v>
      </c>
      <c r="K2945" t="s">
        <v>6074</v>
      </c>
      <c r="L2945" t="s">
        <v>6075</v>
      </c>
      <c r="M2945" t="s">
        <v>7217</v>
      </c>
      <c r="N2945" t="s">
        <v>7276</v>
      </c>
      <c r="O2945" t="s">
        <v>7306</v>
      </c>
      <c r="Q2945" t="s">
        <v>7322</v>
      </c>
      <c r="R2945" t="s">
        <v>6076</v>
      </c>
      <c r="S2945" t="s">
        <v>7324</v>
      </c>
      <c r="U2945" t="s">
        <v>316</v>
      </c>
      <c r="V2945">
        <v>1505.94</v>
      </c>
      <c r="W2945" t="s">
        <v>7365</v>
      </c>
      <c r="X2945" t="s">
        <v>7367</v>
      </c>
      <c r="Z2945" t="s">
        <v>9600</v>
      </c>
      <c r="AC2945">
        <v>52</v>
      </c>
      <c r="AD2945" t="s">
        <v>12422</v>
      </c>
      <c r="AE2945" t="s">
        <v>6110</v>
      </c>
      <c r="AF2945">
        <v>29</v>
      </c>
      <c r="AG2945">
        <v>2</v>
      </c>
      <c r="AH2945">
        <v>0</v>
      </c>
      <c r="AI2945">
        <v>295.68</v>
      </c>
      <c r="AL2945" t="s">
        <v>12460</v>
      </c>
      <c r="AM2945">
        <v>50000</v>
      </c>
      <c r="AS2945">
        <v>0.5</v>
      </c>
      <c r="AT2945" t="s">
        <v>501</v>
      </c>
      <c r="AU2945" t="s">
        <v>13106</v>
      </c>
      <c r="AV2945" t="s">
        <v>13145</v>
      </c>
    </row>
    <row r="2946" spans="1:48">
      <c r="A2946" s="1">
        <f>HYPERLINK("https://cms.ls-nyc.org/matter/dynamic-profile/view/1879105","18-1879105")</f>
        <v>0</v>
      </c>
      <c r="B2946" t="s">
        <v>83</v>
      </c>
      <c r="C2946" t="s">
        <v>433</v>
      </c>
      <c r="E2946" t="s">
        <v>1925</v>
      </c>
      <c r="F2946" t="s">
        <v>3481</v>
      </c>
      <c r="G2946" t="s">
        <v>4022</v>
      </c>
      <c r="H2946" t="s">
        <v>5378</v>
      </c>
      <c r="I2946" t="s">
        <v>6043</v>
      </c>
      <c r="J2946">
        <v>11230</v>
      </c>
      <c r="K2946" t="s">
        <v>6074</v>
      </c>
      <c r="L2946" t="s">
        <v>6074</v>
      </c>
      <c r="N2946" t="s">
        <v>7275</v>
      </c>
      <c r="O2946" t="s">
        <v>7309</v>
      </c>
      <c r="Q2946" t="s">
        <v>7322</v>
      </c>
      <c r="R2946" t="s">
        <v>6074</v>
      </c>
      <c r="S2946" t="s">
        <v>7324</v>
      </c>
      <c r="U2946" t="s">
        <v>245</v>
      </c>
      <c r="V2946">
        <v>0</v>
      </c>
      <c r="W2946" t="s">
        <v>7362</v>
      </c>
      <c r="X2946" t="s">
        <v>7376</v>
      </c>
      <c r="Z2946" t="s">
        <v>9601</v>
      </c>
      <c r="AC2946">
        <v>60</v>
      </c>
      <c r="AD2946" t="s">
        <v>12422</v>
      </c>
      <c r="AF2946">
        <v>0</v>
      </c>
      <c r="AG2946">
        <v>1</v>
      </c>
      <c r="AH2946">
        <v>0</v>
      </c>
      <c r="AI2946">
        <v>296.54</v>
      </c>
      <c r="AL2946" t="s">
        <v>12460</v>
      </c>
      <c r="AM2946">
        <v>36000</v>
      </c>
      <c r="AS2946">
        <v>2.4</v>
      </c>
      <c r="AT2946" t="s">
        <v>305</v>
      </c>
      <c r="AU2946" t="s">
        <v>160</v>
      </c>
    </row>
    <row r="2947" spans="1:48">
      <c r="A2947" s="1">
        <f>HYPERLINK("https://cms.ls-nyc.org/matter/dynamic-profile/view/1881029","18-1881029")</f>
        <v>0</v>
      </c>
      <c r="B2947" t="s">
        <v>75</v>
      </c>
      <c r="C2947" t="s">
        <v>357</v>
      </c>
      <c r="D2947" t="s">
        <v>329</v>
      </c>
      <c r="E2947" t="s">
        <v>1250</v>
      </c>
      <c r="F2947" t="s">
        <v>3482</v>
      </c>
      <c r="G2947" t="s">
        <v>3718</v>
      </c>
      <c r="H2947" t="s">
        <v>5567</v>
      </c>
      <c r="I2947" t="s">
        <v>6043</v>
      </c>
      <c r="J2947">
        <v>11230</v>
      </c>
      <c r="K2947" t="s">
        <v>6074</v>
      </c>
      <c r="L2947" t="s">
        <v>6074</v>
      </c>
      <c r="N2947" t="s">
        <v>7275</v>
      </c>
      <c r="O2947" t="s">
        <v>7309</v>
      </c>
      <c r="P2947" t="s">
        <v>7319</v>
      </c>
      <c r="Q2947" t="s">
        <v>7322</v>
      </c>
      <c r="R2947" t="s">
        <v>6074</v>
      </c>
      <c r="S2947" t="s">
        <v>7324</v>
      </c>
      <c r="U2947" t="s">
        <v>357</v>
      </c>
      <c r="V2947">
        <v>710</v>
      </c>
      <c r="W2947" t="s">
        <v>7362</v>
      </c>
      <c r="Y2947" t="s">
        <v>7394</v>
      </c>
      <c r="Z2947" t="s">
        <v>9602</v>
      </c>
      <c r="AB2947" t="s">
        <v>12232</v>
      </c>
      <c r="AC2947">
        <v>66</v>
      </c>
      <c r="AD2947" t="s">
        <v>12422</v>
      </c>
      <c r="AF2947">
        <v>41</v>
      </c>
      <c r="AG2947">
        <v>1</v>
      </c>
      <c r="AH2947">
        <v>0</v>
      </c>
      <c r="AI2947">
        <v>296.54</v>
      </c>
      <c r="AL2947" t="s">
        <v>12460</v>
      </c>
      <c r="AM2947">
        <v>36000</v>
      </c>
      <c r="AS2947">
        <v>9.300000000000001</v>
      </c>
      <c r="AT2947" t="s">
        <v>492</v>
      </c>
      <c r="AU2947" t="s">
        <v>69</v>
      </c>
    </row>
    <row r="2948" spans="1:48">
      <c r="A2948" s="1">
        <f>HYPERLINK("https://cms.ls-nyc.org/matter/dynamic-profile/view/1877649","18-1877649")</f>
        <v>0</v>
      </c>
      <c r="B2948" t="s">
        <v>114</v>
      </c>
      <c r="C2948" t="s">
        <v>290</v>
      </c>
      <c r="D2948" t="s">
        <v>269</v>
      </c>
      <c r="E2948" t="s">
        <v>741</v>
      </c>
      <c r="F2948" t="s">
        <v>2052</v>
      </c>
      <c r="G2948" t="s">
        <v>4394</v>
      </c>
      <c r="I2948" t="s">
        <v>6047</v>
      </c>
      <c r="J2948">
        <v>10452</v>
      </c>
      <c r="K2948" t="s">
        <v>6074</v>
      </c>
      <c r="L2948" t="s">
        <v>6074</v>
      </c>
      <c r="N2948" t="s">
        <v>6104</v>
      </c>
      <c r="O2948" t="s">
        <v>7306</v>
      </c>
      <c r="P2948" t="s">
        <v>7314</v>
      </c>
      <c r="Q2948" t="s">
        <v>7322</v>
      </c>
      <c r="S2948" t="s">
        <v>7324</v>
      </c>
      <c r="U2948" t="s">
        <v>290</v>
      </c>
      <c r="V2948">
        <v>0</v>
      </c>
      <c r="W2948" t="s">
        <v>7363</v>
      </c>
      <c r="X2948" t="s">
        <v>7376</v>
      </c>
      <c r="Y2948" t="s">
        <v>7386</v>
      </c>
      <c r="Z2948" t="s">
        <v>9603</v>
      </c>
      <c r="AB2948" t="s">
        <v>12233</v>
      </c>
      <c r="AC2948">
        <v>26</v>
      </c>
      <c r="AD2948" t="s">
        <v>12422</v>
      </c>
      <c r="AE2948" t="s">
        <v>6110</v>
      </c>
      <c r="AF2948">
        <v>0</v>
      </c>
      <c r="AG2948">
        <v>2</v>
      </c>
      <c r="AH2948">
        <v>0</v>
      </c>
      <c r="AI2948">
        <v>297.69</v>
      </c>
      <c r="AL2948" t="s">
        <v>12461</v>
      </c>
      <c r="AM2948">
        <v>49000</v>
      </c>
      <c r="AS2948">
        <v>0.1</v>
      </c>
      <c r="AT2948" t="s">
        <v>269</v>
      </c>
      <c r="AU2948" t="s">
        <v>13095</v>
      </c>
    </row>
    <row r="2949" spans="1:48">
      <c r="A2949" s="1">
        <f>HYPERLINK("https://cms.ls-nyc.org/matter/dynamic-profile/view/1898404","19-1898404")</f>
        <v>0</v>
      </c>
      <c r="B2949" t="s">
        <v>72</v>
      </c>
      <c r="C2949" t="s">
        <v>257</v>
      </c>
      <c r="E2949" t="s">
        <v>1926</v>
      </c>
      <c r="F2949" t="s">
        <v>3483</v>
      </c>
      <c r="G2949" t="s">
        <v>3701</v>
      </c>
      <c r="H2949" t="s">
        <v>5778</v>
      </c>
      <c r="I2949" t="s">
        <v>6043</v>
      </c>
      <c r="J2949">
        <v>11233</v>
      </c>
      <c r="K2949" t="s">
        <v>6074</v>
      </c>
      <c r="L2949" t="s">
        <v>6076</v>
      </c>
      <c r="N2949" t="s">
        <v>7279</v>
      </c>
      <c r="O2949" t="s">
        <v>7311</v>
      </c>
      <c r="Q2949" t="s">
        <v>7322</v>
      </c>
      <c r="R2949" t="s">
        <v>6074</v>
      </c>
      <c r="S2949" t="s">
        <v>7324</v>
      </c>
      <c r="T2949" t="s">
        <v>7336</v>
      </c>
      <c r="U2949" t="s">
        <v>330</v>
      </c>
      <c r="V2949">
        <v>1160</v>
      </c>
      <c r="W2949" t="s">
        <v>7362</v>
      </c>
      <c r="X2949" t="s">
        <v>7305</v>
      </c>
      <c r="Z2949" t="s">
        <v>9604</v>
      </c>
      <c r="AC2949">
        <v>359</v>
      </c>
      <c r="AD2949" t="s">
        <v>12422</v>
      </c>
      <c r="AF2949">
        <v>37</v>
      </c>
      <c r="AG2949">
        <v>2</v>
      </c>
      <c r="AH2949">
        <v>3</v>
      </c>
      <c r="AI2949">
        <v>298.31</v>
      </c>
      <c r="AL2949" t="s">
        <v>12460</v>
      </c>
      <c r="AM2949">
        <v>90000</v>
      </c>
      <c r="AN2949" t="s">
        <v>12488</v>
      </c>
      <c r="AS2949">
        <v>0</v>
      </c>
      <c r="AU2949" t="s">
        <v>180</v>
      </c>
    </row>
    <row r="2950" spans="1:48">
      <c r="A2950" s="1">
        <f>HYPERLINK("https://cms.ls-nyc.org/matter/dynamic-profile/view/1898406","19-1898406")</f>
        <v>0</v>
      </c>
      <c r="B2950" t="s">
        <v>72</v>
      </c>
      <c r="C2950" t="s">
        <v>257</v>
      </c>
      <c r="E2950" t="s">
        <v>1926</v>
      </c>
      <c r="F2950" t="s">
        <v>3483</v>
      </c>
      <c r="G2950" t="s">
        <v>3701</v>
      </c>
      <c r="H2950" t="s">
        <v>5778</v>
      </c>
      <c r="I2950" t="s">
        <v>6043</v>
      </c>
      <c r="J2950">
        <v>11233</v>
      </c>
      <c r="K2950" t="s">
        <v>6074</v>
      </c>
      <c r="L2950" t="s">
        <v>6076</v>
      </c>
      <c r="N2950" t="s">
        <v>7275</v>
      </c>
      <c r="O2950" t="s">
        <v>7307</v>
      </c>
      <c r="Q2950" t="s">
        <v>7322</v>
      </c>
      <c r="R2950" t="s">
        <v>6074</v>
      </c>
      <c r="S2950" t="s">
        <v>7324</v>
      </c>
      <c r="T2950" t="s">
        <v>7336</v>
      </c>
      <c r="U2950" t="s">
        <v>287</v>
      </c>
      <c r="V2950">
        <v>1160</v>
      </c>
      <c r="W2950" t="s">
        <v>7362</v>
      </c>
      <c r="X2950" t="s">
        <v>7305</v>
      </c>
      <c r="Z2950" t="s">
        <v>9604</v>
      </c>
      <c r="AC2950">
        <v>359</v>
      </c>
      <c r="AD2950" t="s">
        <v>12422</v>
      </c>
      <c r="AF2950">
        <v>37</v>
      </c>
      <c r="AG2950">
        <v>2</v>
      </c>
      <c r="AH2950">
        <v>3</v>
      </c>
      <c r="AI2950">
        <v>298.31</v>
      </c>
      <c r="AL2950" t="s">
        <v>12460</v>
      </c>
      <c r="AM2950">
        <v>90000</v>
      </c>
      <c r="AN2950" t="s">
        <v>12763</v>
      </c>
      <c r="AS2950">
        <v>0</v>
      </c>
      <c r="AU2950" t="s">
        <v>180</v>
      </c>
    </row>
    <row r="2951" spans="1:48">
      <c r="A2951" s="1">
        <f>HYPERLINK("https://cms.ls-nyc.org/matter/dynamic-profile/view/1884494","18-1884494")</f>
        <v>0</v>
      </c>
      <c r="B2951" t="s">
        <v>228</v>
      </c>
      <c r="C2951" t="s">
        <v>504</v>
      </c>
      <c r="D2951" t="s">
        <v>326</v>
      </c>
      <c r="E2951" t="s">
        <v>946</v>
      </c>
      <c r="F2951" t="s">
        <v>3484</v>
      </c>
      <c r="G2951" t="s">
        <v>5263</v>
      </c>
      <c r="H2951" t="s">
        <v>5739</v>
      </c>
      <c r="I2951" t="s">
        <v>6043</v>
      </c>
      <c r="J2951">
        <v>11238</v>
      </c>
      <c r="K2951" t="s">
        <v>6074</v>
      </c>
      <c r="L2951" t="s">
        <v>6074</v>
      </c>
      <c r="M2951" t="s">
        <v>7218</v>
      </c>
      <c r="N2951" t="s">
        <v>7276</v>
      </c>
      <c r="O2951" t="s">
        <v>7306</v>
      </c>
      <c r="P2951" t="s">
        <v>7314</v>
      </c>
      <c r="Q2951" t="s">
        <v>7322</v>
      </c>
      <c r="R2951" t="s">
        <v>6076</v>
      </c>
      <c r="S2951" t="s">
        <v>7324</v>
      </c>
      <c r="U2951" t="s">
        <v>434</v>
      </c>
      <c r="V2951">
        <v>1302.02</v>
      </c>
      <c r="W2951" t="s">
        <v>7363</v>
      </c>
      <c r="Y2951" t="s">
        <v>7390</v>
      </c>
      <c r="Z2951" t="s">
        <v>9605</v>
      </c>
      <c r="AA2951" t="s">
        <v>10288</v>
      </c>
      <c r="AB2951" t="s">
        <v>12234</v>
      </c>
      <c r="AC2951">
        <v>304</v>
      </c>
      <c r="AD2951" t="s">
        <v>12423</v>
      </c>
      <c r="AE2951" t="s">
        <v>6110</v>
      </c>
      <c r="AF2951">
        <v>3</v>
      </c>
      <c r="AG2951">
        <v>2</v>
      </c>
      <c r="AH2951">
        <v>1</v>
      </c>
      <c r="AI2951">
        <v>298.36</v>
      </c>
      <c r="AL2951" t="s">
        <v>12460</v>
      </c>
      <c r="AM2951">
        <v>62000</v>
      </c>
      <c r="AN2951" t="s">
        <v>12764</v>
      </c>
      <c r="AS2951">
        <v>2.5</v>
      </c>
      <c r="AT2951" t="s">
        <v>504</v>
      </c>
      <c r="AU2951" t="s">
        <v>13116</v>
      </c>
    </row>
    <row r="2952" spans="1:48">
      <c r="A2952" s="1">
        <f>HYPERLINK("https://cms.ls-nyc.org/matter/dynamic-profile/view/1882266","18-1882266")</f>
        <v>0</v>
      </c>
      <c r="B2952" t="s">
        <v>81</v>
      </c>
      <c r="C2952" t="s">
        <v>305</v>
      </c>
      <c r="E2952" t="s">
        <v>1927</v>
      </c>
      <c r="F2952" t="s">
        <v>3485</v>
      </c>
      <c r="G2952" t="s">
        <v>4247</v>
      </c>
      <c r="H2952" t="s">
        <v>5372</v>
      </c>
      <c r="I2952" t="s">
        <v>6043</v>
      </c>
      <c r="J2952">
        <v>11220</v>
      </c>
      <c r="K2952" t="s">
        <v>6074</v>
      </c>
      <c r="L2952" t="s">
        <v>6074</v>
      </c>
      <c r="N2952" t="s">
        <v>7279</v>
      </c>
      <c r="O2952" t="s">
        <v>7311</v>
      </c>
      <c r="Q2952" t="s">
        <v>7322</v>
      </c>
      <c r="R2952" t="s">
        <v>6074</v>
      </c>
      <c r="S2952" t="s">
        <v>7324</v>
      </c>
      <c r="U2952" t="s">
        <v>305</v>
      </c>
      <c r="V2952">
        <v>0</v>
      </c>
      <c r="W2952" t="s">
        <v>7362</v>
      </c>
      <c r="Z2952" t="s">
        <v>7496</v>
      </c>
      <c r="AB2952" t="s">
        <v>12235</v>
      </c>
      <c r="AC2952">
        <v>28</v>
      </c>
      <c r="AD2952" t="s">
        <v>12422</v>
      </c>
      <c r="AF2952">
        <v>0</v>
      </c>
      <c r="AG2952">
        <v>2</v>
      </c>
      <c r="AH2952">
        <v>1</v>
      </c>
      <c r="AI2952">
        <v>298.36</v>
      </c>
      <c r="AL2952" t="s">
        <v>12461</v>
      </c>
      <c r="AM2952">
        <v>62000</v>
      </c>
      <c r="AS2952">
        <v>1</v>
      </c>
      <c r="AT2952" t="s">
        <v>431</v>
      </c>
      <c r="AU2952" t="s">
        <v>13129</v>
      </c>
    </row>
    <row r="2953" spans="1:48">
      <c r="A2953" s="1">
        <f>HYPERLINK("https://cms.ls-nyc.org/matter/dynamic-profile/view/1896465","19-1896465")</f>
        <v>0</v>
      </c>
      <c r="B2953" t="s">
        <v>54</v>
      </c>
      <c r="C2953" t="s">
        <v>417</v>
      </c>
      <c r="E2953" t="s">
        <v>1845</v>
      </c>
      <c r="F2953" t="s">
        <v>3486</v>
      </c>
      <c r="G2953" t="s">
        <v>3900</v>
      </c>
      <c r="H2953" t="s">
        <v>5967</v>
      </c>
      <c r="I2953" t="s">
        <v>6025</v>
      </c>
      <c r="J2953">
        <v>11691</v>
      </c>
      <c r="K2953" t="s">
        <v>6074</v>
      </c>
      <c r="L2953" t="s">
        <v>6074</v>
      </c>
      <c r="N2953" t="s">
        <v>7279</v>
      </c>
      <c r="O2953" t="s">
        <v>7311</v>
      </c>
      <c r="Q2953" t="s">
        <v>7322</v>
      </c>
      <c r="R2953" t="s">
        <v>6074</v>
      </c>
      <c r="S2953" t="s">
        <v>7324</v>
      </c>
      <c r="U2953" t="s">
        <v>417</v>
      </c>
      <c r="V2953">
        <v>540</v>
      </c>
      <c r="W2953" t="s">
        <v>7361</v>
      </c>
      <c r="Z2953" t="s">
        <v>9606</v>
      </c>
      <c r="AB2953" t="s">
        <v>12236</v>
      </c>
      <c r="AC2953">
        <v>43</v>
      </c>
      <c r="AF2953">
        <v>40</v>
      </c>
      <c r="AG2953">
        <v>2</v>
      </c>
      <c r="AH2953">
        <v>0</v>
      </c>
      <c r="AI2953">
        <v>299.49</v>
      </c>
      <c r="AM2953">
        <v>50644</v>
      </c>
      <c r="AS2953">
        <v>0</v>
      </c>
      <c r="AU2953" t="s">
        <v>13078</v>
      </c>
    </row>
    <row r="2954" spans="1:48">
      <c r="A2954" s="1">
        <f>HYPERLINK("https://cms.ls-nyc.org/matter/dynamic-profile/view/1896466","19-1896466")</f>
        <v>0</v>
      </c>
      <c r="B2954" t="s">
        <v>54</v>
      </c>
      <c r="C2954" t="s">
        <v>417</v>
      </c>
      <c r="E2954" t="s">
        <v>1845</v>
      </c>
      <c r="F2954" t="s">
        <v>3486</v>
      </c>
      <c r="G2954" t="s">
        <v>3900</v>
      </c>
      <c r="H2954" t="s">
        <v>5967</v>
      </c>
      <c r="I2954" t="s">
        <v>6025</v>
      </c>
      <c r="J2954">
        <v>11691</v>
      </c>
      <c r="K2954" t="s">
        <v>6074</v>
      </c>
      <c r="L2954" t="s">
        <v>6074</v>
      </c>
      <c r="N2954" t="s">
        <v>7278</v>
      </c>
      <c r="O2954" t="s">
        <v>7307</v>
      </c>
      <c r="Q2954" t="s">
        <v>7322</v>
      </c>
      <c r="R2954" t="s">
        <v>6074</v>
      </c>
      <c r="S2954" t="s">
        <v>7324</v>
      </c>
      <c r="U2954" t="s">
        <v>417</v>
      </c>
      <c r="V2954">
        <v>540</v>
      </c>
      <c r="W2954" t="s">
        <v>7361</v>
      </c>
      <c r="X2954" t="s">
        <v>7366</v>
      </c>
      <c r="Z2954" t="s">
        <v>9606</v>
      </c>
      <c r="AB2954" t="s">
        <v>12236</v>
      </c>
      <c r="AC2954">
        <v>43</v>
      </c>
      <c r="AF2954">
        <v>40</v>
      </c>
      <c r="AG2954">
        <v>2</v>
      </c>
      <c r="AH2954">
        <v>0</v>
      </c>
      <c r="AI2954">
        <v>299.49</v>
      </c>
      <c r="AL2954" t="s">
        <v>12460</v>
      </c>
      <c r="AM2954">
        <v>50644</v>
      </c>
      <c r="AS2954">
        <v>0</v>
      </c>
      <c r="AU2954" t="s">
        <v>13078</v>
      </c>
    </row>
    <row r="2955" spans="1:48">
      <c r="A2955" s="1">
        <f>HYPERLINK("https://cms.ls-nyc.org/matter/dynamic-profile/view/1886008","18-1886008")</f>
        <v>0</v>
      </c>
      <c r="B2955" t="s">
        <v>190</v>
      </c>
      <c r="C2955" t="s">
        <v>462</v>
      </c>
      <c r="D2955" t="s">
        <v>306</v>
      </c>
      <c r="E2955" t="s">
        <v>1277</v>
      </c>
      <c r="F2955" t="s">
        <v>2571</v>
      </c>
      <c r="G2955" t="s">
        <v>5264</v>
      </c>
      <c r="H2955" t="s">
        <v>5968</v>
      </c>
      <c r="I2955" t="s">
        <v>6047</v>
      </c>
      <c r="J2955">
        <v>10452</v>
      </c>
      <c r="K2955" t="s">
        <v>6074</v>
      </c>
      <c r="L2955" t="s">
        <v>6074</v>
      </c>
      <c r="M2955" t="s">
        <v>7219</v>
      </c>
      <c r="N2955" t="s">
        <v>7276</v>
      </c>
      <c r="O2955" t="s">
        <v>7306</v>
      </c>
      <c r="P2955" t="s">
        <v>7314</v>
      </c>
      <c r="Q2955" t="s">
        <v>7322</v>
      </c>
      <c r="R2955" t="s">
        <v>6076</v>
      </c>
      <c r="S2955" t="s">
        <v>7324</v>
      </c>
      <c r="U2955" t="s">
        <v>462</v>
      </c>
      <c r="V2955">
        <v>1599</v>
      </c>
      <c r="W2955" t="s">
        <v>7363</v>
      </c>
      <c r="Y2955" t="s">
        <v>7388</v>
      </c>
      <c r="Z2955" t="s">
        <v>9607</v>
      </c>
      <c r="AA2955" t="s">
        <v>10289</v>
      </c>
      <c r="AB2955" t="s">
        <v>12237</v>
      </c>
      <c r="AC2955">
        <v>1</v>
      </c>
      <c r="AD2955" t="s">
        <v>12422</v>
      </c>
      <c r="AE2955" t="s">
        <v>12435</v>
      </c>
      <c r="AF2955">
        <v>1</v>
      </c>
      <c r="AG2955">
        <v>1</v>
      </c>
      <c r="AH2955">
        <v>0</v>
      </c>
      <c r="AI2955">
        <v>299.9</v>
      </c>
      <c r="AL2955" t="s">
        <v>12460</v>
      </c>
      <c r="AM2955">
        <v>36408</v>
      </c>
      <c r="AN2955" t="s">
        <v>12765</v>
      </c>
      <c r="AS2955">
        <v>2.75</v>
      </c>
      <c r="AT2955" t="s">
        <v>272</v>
      </c>
      <c r="AU2955" t="s">
        <v>13088</v>
      </c>
    </row>
    <row r="2956" spans="1:48">
      <c r="A2956" s="1">
        <f>HYPERLINK("https://cms.ls-nyc.org/matter/dynamic-profile/view/1891559","19-1891559")</f>
        <v>0</v>
      </c>
      <c r="B2956" t="s">
        <v>72</v>
      </c>
      <c r="C2956" t="s">
        <v>278</v>
      </c>
      <c r="E2956" t="s">
        <v>620</v>
      </c>
      <c r="F2956" t="s">
        <v>3487</v>
      </c>
      <c r="G2956" t="s">
        <v>3701</v>
      </c>
      <c r="H2956" t="s">
        <v>5969</v>
      </c>
      <c r="I2956" t="s">
        <v>6043</v>
      </c>
      <c r="J2956">
        <v>11233</v>
      </c>
      <c r="K2956" t="s">
        <v>6074</v>
      </c>
      <c r="L2956" t="s">
        <v>6076</v>
      </c>
      <c r="M2956" t="s">
        <v>7220</v>
      </c>
      <c r="N2956" t="s">
        <v>7279</v>
      </c>
      <c r="O2956" t="s">
        <v>7311</v>
      </c>
      <c r="Q2956" t="s">
        <v>7322</v>
      </c>
      <c r="R2956" t="s">
        <v>6074</v>
      </c>
      <c r="S2956" t="s">
        <v>7324</v>
      </c>
      <c r="T2956" t="s">
        <v>7336</v>
      </c>
      <c r="U2956" t="s">
        <v>330</v>
      </c>
      <c r="V2956">
        <v>1040</v>
      </c>
      <c r="W2956" t="s">
        <v>7362</v>
      </c>
      <c r="Z2956" t="s">
        <v>9608</v>
      </c>
      <c r="AC2956">
        <v>359</v>
      </c>
      <c r="AD2956" t="s">
        <v>12422</v>
      </c>
      <c r="AF2956">
        <v>32</v>
      </c>
      <c r="AG2956">
        <v>3</v>
      </c>
      <c r="AH2956">
        <v>0</v>
      </c>
      <c r="AI2956">
        <v>300.05</v>
      </c>
      <c r="AJ2956" t="s">
        <v>459</v>
      </c>
      <c r="AK2956" t="s">
        <v>12456</v>
      </c>
      <c r="AL2956" t="s">
        <v>12460</v>
      </c>
      <c r="AM2956">
        <v>64000</v>
      </c>
      <c r="AN2956" t="s">
        <v>12486</v>
      </c>
      <c r="AS2956">
        <v>0</v>
      </c>
      <c r="AU2956" t="s">
        <v>218</v>
      </c>
    </row>
    <row r="2957" spans="1:48">
      <c r="A2957" s="1">
        <f>HYPERLINK("https://cms.ls-nyc.org/matter/dynamic-profile/view/1891560","19-1891560")</f>
        <v>0</v>
      </c>
      <c r="B2957" t="s">
        <v>72</v>
      </c>
      <c r="C2957" t="s">
        <v>278</v>
      </c>
      <c r="E2957" t="s">
        <v>620</v>
      </c>
      <c r="F2957" t="s">
        <v>3487</v>
      </c>
      <c r="G2957" t="s">
        <v>3701</v>
      </c>
      <c r="H2957" t="s">
        <v>5969</v>
      </c>
      <c r="I2957" t="s">
        <v>6043</v>
      </c>
      <c r="J2957">
        <v>11233</v>
      </c>
      <c r="K2957" t="s">
        <v>6074</v>
      </c>
      <c r="L2957" t="s">
        <v>6076</v>
      </c>
      <c r="M2957" t="s">
        <v>6110</v>
      </c>
      <c r="N2957" t="s">
        <v>7275</v>
      </c>
      <c r="O2957" t="s">
        <v>7307</v>
      </c>
      <c r="Q2957" t="s">
        <v>7322</v>
      </c>
      <c r="R2957" t="s">
        <v>6074</v>
      </c>
      <c r="S2957" t="s">
        <v>7324</v>
      </c>
      <c r="T2957" t="s">
        <v>7336</v>
      </c>
      <c r="U2957" t="s">
        <v>287</v>
      </c>
      <c r="V2957">
        <v>1040</v>
      </c>
      <c r="W2957" t="s">
        <v>7362</v>
      </c>
      <c r="Z2957" t="s">
        <v>9608</v>
      </c>
      <c r="AC2957">
        <v>359</v>
      </c>
      <c r="AD2957" t="s">
        <v>12422</v>
      </c>
      <c r="AF2957">
        <v>32</v>
      </c>
      <c r="AG2957">
        <v>3</v>
      </c>
      <c r="AH2957">
        <v>0</v>
      </c>
      <c r="AI2957">
        <v>300.05</v>
      </c>
      <c r="AJ2957" t="s">
        <v>459</v>
      </c>
      <c r="AK2957" t="s">
        <v>12456</v>
      </c>
      <c r="AL2957" t="s">
        <v>12460</v>
      </c>
      <c r="AM2957">
        <v>64000</v>
      </c>
      <c r="AN2957" t="s">
        <v>12766</v>
      </c>
      <c r="AS2957">
        <v>0</v>
      </c>
      <c r="AU2957" t="s">
        <v>218</v>
      </c>
    </row>
    <row r="2958" spans="1:48">
      <c r="A2958" s="1">
        <f>HYPERLINK("https://cms.ls-nyc.org/matter/dynamic-profile/view/1887111","19-1887111")</f>
        <v>0</v>
      </c>
      <c r="B2958" t="s">
        <v>101</v>
      </c>
      <c r="C2958" t="s">
        <v>272</v>
      </c>
      <c r="E2958" t="s">
        <v>1203</v>
      </c>
      <c r="F2958" t="s">
        <v>2132</v>
      </c>
      <c r="G2958" t="s">
        <v>5265</v>
      </c>
      <c r="H2958" t="s">
        <v>5361</v>
      </c>
      <c r="I2958" t="s">
        <v>6047</v>
      </c>
      <c r="J2958">
        <v>10469</v>
      </c>
      <c r="K2958" t="s">
        <v>6074</v>
      </c>
      <c r="L2958" t="s">
        <v>6074</v>
      </c>
      <c r="N2958" t="s">
        <v>6104</v>
      </c>
      <c r="O2958" t="s">
        <v>7306</v>
      </c>
      <c r="Q2958" t="s">
        <v>7322</v>
      </c>
      <c r="R2958" t="s">
        <v>6076</v>
      </c>
      <c r="S2958" t="s">
        <v>7324</v>
      </c>
      <c r="U2958" t="s">
        <v>272</v>
      </c>
      <c r="V2958">
        <v>1534</v>
      </c>
      <c r="W2958" t="s">
        <v>7363</v>
      </c>
      <c r="X2958" t="s">
        <v>7366</v>
      </c>
      <c r="Z2958" t="s">
        <v>9609</v>
      </c>
      <c r="AB2958" t="s">
        <v>12238</v>
      </c>
      <c r="AC2958">
        <v>3</v>
      </c>
      <c r="AD2958" t="s">
        <v>12422</v>
      </c>
      <c r="AE2958" t="s">
        <v>6110</v>
      </c>
      <c r="AF2958">
        <v>1</v>
      </c>
      <c r="AG2958">
        <v>1</v>
      </c>
      <c r="AH2958">
        <v>2</v>
      </c>
      <c r="AI2958">
        <v>300.29</v>
      </c>
      <c r="AL2958" t="s">
        <v>12460</v>
      </c>
      <c r="AM2958">
        <v>62400</v>
      </c>
      <c r="AS2958">
        <v>2.5</v>
      </c>
      <c r="AT2958" t="s">
        <v>339</v>
      </c>
      <c r="AU2958" t="s">
        <v>13092</v>
      </c>
    </row>
    <row r="2959" spans="1:48">
      <c r="A2959" s="1">
        <f>HYPERLINK("https://cms.ls-nyc.org/matter/dynamic-profile/view/1886680","18-1886680")</f>
        <v>0</v>
      </c>
      <c r="B2959" t="s">
        <v>134</v>
      </c>
      <c r="C2959" t="s">
        <v>465</v>
      </c>
      <c r="E2959" t="s">
        <v>741</v>
      </c>
      <c r="F2959" t="s">
        <v>3488</v>
      </c>
      <c r="G2959" t="s">
        <v>4308</v>
      </c>
      <c r="H2959" t="s">
        <v>5545</v>
      </c>
      <c r="I2959" t="s">
        <v>6049</v>
      </c>
      <c r="J2959">
        <v>10029</v>
      </c>
      <c r="K2959" t="s">
        <v>6074</v>
      </c>
      <c r="L2959" t="s">
        <v>6074</v>
      </c>
      <c r="N2959" t="s">
        <v>7273</v>
      </c>
      <c r="O2959" t="s">
        <v>7310</v>
      </c>
      <c r="Q2959" t="s">
        <v>7322</v>
      </c>
      <c r="R2959" t="s">
        <v>6074</v>
      </c>
      <c r="S2959" t="s">
        <v>7324</v>
      </c>
      <c r="T2959" t="s">
        <v>7336</v>
      </c>
      <c r="U2959" t="s">
        <v>465</v>
      </c>
      <c r="V2959">
        <v>1160</v>
      </c>
      <c r="W2959" t="s">
        <v>7365</v>
      </c>
      <c r="X2959" t="s">
        <v>7375</v>
      </c>
      <c r="Z2959" t="s">
        <v>9610</v>
      </c>
      <c r="AB2959" t="s">
        <v>12239</v>
      </c>
      <c r="AC2959">
        <v>0</v>
      </c>
      <c r="AD2959" t="s">
        <v>12422</v>
      </c>
      <c r="AE2959" t="s">
        <v>6110</v>
      </c>
      <c r="AF2959">
        <v>22</v>
      </c>
      <c r="AG2959">
        <v>5</v>
      </c>
      <c r="AH2959">
        <v>0</v>
      </c>
      <c r="AI2959">
        <v>300.48</v>
      </c>
      <c r="AL2959" t="s">
        <v>12460</v>
      </c>
      <c r="AM2959">
        <v>88400</v>
      </c>
      <c r="AS2959">
        <v>0</v>
      </c>
      <c r="AU2959" t="s">
        <v>13107</v>
      </c>
    </row>
    <row r="2960" spans="1:48">
      <c r="A2960" s="1">
        <f>HYPERLINK("https://cms.ls-nyc.org/matter/dynamic-profile/view/1881523","18-1881523")</f>
        <v>0</v>
      </c>
      <c r="B2960" t="s">
        <v>229</v>
      </c>
      <c r="C2960" t="s">
        <v>369</v>
      </c>
      <c r="D2960" t="s">
        <v>443</v>
      </c>
      <c r="E2960" t="s">
        <v>1346</v>
      </c>
      <c r="F2960" t="s">
        <v>3489</v>
      </c>
      <c r="G2960" t="s">
        <v>5266</v>
      </c>
      <c r="H2960">
        <v>2</v>
      </c>
      <c r="I2960" t="s">
        <v>6047</v>
      </c>
      <c r="J2960">
        <v>10461</v>
      </c>
      <c r="K2960" t="s">
        <v>6074</v>
      </c>
      <c r="L2960" t="s">
        <v>6074</v>
      </c>
      <c r="M2960" t="s">
        <v>7221</v>
      </c>
      <c r="N2960" t="s">
        <v>7274</v>
      </c>
      <c r="O2960" t="s">
        <v>7306</v>
      </c>
      <c r="P2960" t="s">
        <v>7314</v>
      </c>
      <c r="Q2960" t="s">
        <v>7322</v>
      </c>
      <c r="R2960" t="s">
        <v>6076</v>
      </c>
      <c r="S2960" t="s">
        <v>7324</v>
      </c>
      <c r="T2960" t="s">
        <v>7336</v>
      </c>
      <c r="U2960" t="s">
        <v>443</v>
      </c>
      <c r="V2960">
        <v>1500</v>
      </c>
      <c r="W2960" t="s">
        <v>7363</v>
      </c>
      <c r="X2960" t="s">
        <v>7366</v>
      </c>
      <c r="Y2960" t="s">
        <v>7386</v>
      </c>
      <c r="Z2960" t="s">
        <v>9191</v>
      </c>
      <c r="AC2960">
        <v>3</v>
      </c>
      <c r="AD2960" t="s">
        <v>12419</v>
      </c>
      <c r="AE2960" t="s">
        <v>6110</v>
      </c>
      <c r="AF2960">
        <v>2</v>
      </c>
      <c r="AG2960">
        <v>4</v>
      </c>
      <c r="AH2960">
        <v>0</v>
      </c>
      <c r="AI2960">
        <v>301.2</v>
      </c>
      <c r="AL2960" t="s">
        <v>12460</v>
      </c>
      <c r="AM2960">
        <v>75600.2</v>
      </c>
      <c r="AN2960" t="s">
        <v>12709</v>
      </c>
      <c r="AS2960">
        <v>1</v>
      </c>
      <c r="AT2960" t="s">
        <v>426</v>
      </c>
      <c r="AU2960" t="s">
        <v>13125</v>
      </c>
    </row>
    <row r="2961" spans="1:48">
      <c r="A2961" s="1">
        <f>HYPERLINK("https://cms.ls-nyc.org/matter/dynamic-profile/view/1886103","18-1886103")</f>
        <v>0</v>
      </c>
      <c r="B2961" t="s">
        <v>155</v>
      </c>
      <c r="C2961" t="s">
        <v>326</v>
      </c>
      <c r="E2961" t="s">
        <v>1928</v>
      </c>
      <c r="F2961" t="s">
        <v>3490</v>
      </c>
      <c r="G2961" t="s">
        <v>5267</v>
      </c>
      <c r="H2961">
        <v>202</v>
      </c>
      <c r="I2961" t="s">
        <v>6049</v>
      </c>
      <c r="J2961">
        <v>10027</v>
      </c>
      <c r="K2961" t="s">
        <v>6074</v>
      </c>
      <c r="L2961" t="s">
        <v>6074</v>
      </c>
      <c r="M2961" t="s">
        <v>7222</v>
      </c>
      <c r="N2961" t="s">
        <v>7274</v>
      </c>
      <c r="O2961" t="s">
        <v>7306</v>
      </c>
      <c r="Q2961" t="s">
        <v>7322</v>
      </c>
      <c r="R2961" t="s">
        <v>6076</v>
      </c>
      <c r="S2961" t="s">
        <v>7324</v>
      </c>
      <c r="T2961" t="s">
        <v>7338</v>
      </c>
      <c r="U2961" t="s">
        <v>326</v>
      </c>
      <c r="V2961">
        <v>734</v>
      </c>
      <c r="W2961" t="s">
        <v>7365</v>
      </c>
      <c r="X2961" t="s">
        <v>7373</v>
      </c>
      <c r="Z2961" t="s">
        <v>9611</v>
      </c>
      <c r="AB2961" t="s">
        <v>12240</v>
      </c>
      <c r="AC2961">
        <v>27</v>
      </c>
      <c r="AD2961" t="s">
        <v>12422</v>
      </c>
      <c r="AE2961" t="s">
        <v>6110</v>
      </c>
      <c r="AF2961">
        <v>10</v>
      </c>
      <c r="AG2961">
        <v>1</v>
      </c>
      <c r="AH2961">
        <v>3</v>
      </c>
      <c r="AI2961">
        <v>302.79</v>
      </c>
      <c r="AL2961" t="s">
        <v>12460</v>
      </c>
      <c r="AM2961">
        <v>76000</v>
      </c>
      <c r="AS2961">
        <v>5.75</v>
      </c>
      <c r="AT2961" t="s">
        <v>395</v>
      </c>
      <c r="AU2961" t="s">
        <v>13109</v>
      </c>
    </row>
    <row r="2962" spans="1:48">
      <c r="A2962" s="1">
        <f>HYPERLINK("https://cms.ls-nyc.org/matter/dynamic-profile/view/1881614","18-1881614")</f>
        <v>0</v>
      </c>
      <c r="B2962" t="s">
        <v>82</v>
      </c>
      <c r="C2962" t="s">
        <v>298</v>
      </c>
      <c r="D2962" t="s">
        <v>492</v>
      </c>
      <c r="E2962" t="s">
        <v>1641</v>
      </c>
      <c r="F2962" t="s">
        <v>3491</v>
      </c>
      <c r="G2962" t="s">
        <v>3718</v>
      </c>
      <c r="H2962" t="s">
        <v>5467</v>
      </c>
      <c r="I2962" t="s">
        <v>6043</v>
      </c>
      <c r="J2962">
        <v>11230</v>
      </c>
      <c r="K2962" t="s">
        <v>6074</v>
      </c>
      <c r="L2962" t="s">
        <v>6075</v>
      </c>
      <c r="N2962" t="s">
        <v>7275</v>
      </c>
      <c r="O2962" t="s">
        <v>7309</v>
      </c>
      <c r="P2962" t="s">
        <v>7315</v>
      </c>
      <c r="Q2962" t="s">
        <v>7322</v>
      </c>
      <c r="R2962" t="s">
        <v>6074</v>
      </c>
      <c r="S2962" t="s">
        <v>7324</v>
      </c>
      <c r="U2962" t="s">
        <v>464</v>
      </c>
      <c r="V2962">
        <v>0</v>
      </c>
      <c r="W2962" t="s">
        <v>7362</v>
      </c>
      <c r="Y2962" t="s">
        <v>7394</v>
      </c>
      <c r="Z2962" t="s">
        <v>9612</v>
      </c>
      <c r="AC2962">
        <v>66</v>
      </c>
      <c r="AD2962" t="s">
        <v>12424</v>
      </c>
      <c r="AF2962">
        <v>1</v>
      </c>
      <c r="AG2962">
        <v>2</v>
      </c>
      <c r="AH2962">
        <v>0</v>
      </c>
      <c r="AI2962">
        <v>303.77</v>
      </c>
      <c r="AL2962" t="s">
        <v>12460</v>
      </c>
      <c r="AM2962">
        <v>50000</v>
      </c>
      <c r="AS2962">
        <v>0.8</v>
      </c>
      <c r="AT2962" t="s">
        <v>310</v>
      </c>
      <c r="AU2962" t="s">
        <v>69</v>
      </c>
    </row>
    <row r="2963" spans="1:48">
      <c r="A2963" s="1">
        <f>HYPERLINK("https://cms.ls-nyc.org/matter/dynamic-profile/view/1901231","19-1901231")</f>
        <v>0</v>
      </c>
      <c r="B2963" t="s">
        <v>200</v>
      </c>
      <c r="C2963" t="s">
        <v>496</v>
      </c>
      <c r="E2963" t="s">
        <v>1929</v>
      </c>
      <c r="F2963" t="s">
        <v>3194</v>
      </c>
      <c r="G2963" t="s">
        <v>5268</v>
      </c>
      <c r="H2963">
        <v>6</v>
      </c>
      <c r="I2963" t="s">
        <v>6049</v>
      </c>
      <c r="J2963">
        <v>10012</v>
      </c>
      <c r="K2963" t="s">
        <v>6074</v>
      </c>
      <c r="L2963" t="s">
        <v>6075</v>
      </c>
      <c r="M2963" t="s">
        <v>7223</v>
      </c>
      <c r="N2963" t="s">
        <v>7276</v>
      </c>
      <c r="O2963" t="s">
        <v>7310</v>
      </c>
      <c r="Q2963" t="s">
        <v>7322</v>
      </c>
      <c r="R2963" t="s">
        <v>6076</v>
      </c>
      <c r="S2963" t="s">
        <v>7324</v>
      </c>
      <c r="U2963" t="s">
        <v>496</v>
      </c>
      <c r="V2963">
        <v>2933.14</v>
      </c>
      <c r="W2963" t="s">
        <v>7365</v>
      </c>
      <c r="X2963" t="s">
        <v>7376</v>
      </c>
      <c r="Z2963" t="s">
        <v>9613</v>
      </c>
      <c r="AB2963" t="s">
        <v>12241</v>
      </c>
      <c r="AC2963">
        <v>0</v>
      </c>
      <c r="AD2963" t="s">
        <v>12422</v>
      </c>
      <c r="AE2963" t="s">
        <v>6110</v>
      </c>
      <c r="AF2963">
        <v>22</v>
      </c>
      <c r="AG2963">
        <v>1</v>
      </c>
      <c r="AH2963">
        <v>0</v>
      </c>
      <c r="AI2963">
        <v>304.24</v>
      </c>
      <c r="AL2963" t="s">
        <v>12460</v>
      </c>
      <c r="AM2963">
        <v>38000</v>
      </c>
      <c r="AS2963">
        <v>1</v>
      </c>
      <c r="AT2963" t="s">
        <v>496</v>
      </c>
      <c r="AU2963" t="s">
        <v>13109</v>
      </c>
      <c r="AV2963" t="s">
        <v>13145</v>
      </c>
    </row>
    <row r="2964" spans="1:48">
      <c r="A2964" s="1">
        <f>HYPERLINK("https://cms.ls-nyc.org/matter/dynamic-profile/view/1873579","18-1873579")</f>
        <v>0</v>
      </c>
      <c r="B2964" t="s">
        <v>171</v>
      </c>
      <c r="C2964" t="s">
        <v>467</v>
      </c>
      <c r="D2964" t="s">
        <v>346</v>
      </c>
      <c r="E2964" t="s">
        <v>1250</v>
      </c>
      <c r="F2964" t="s">
        <v>3492</v>
      </c>
      <c r="G2964" t="s">
        <v>4498</v>
      </c>
      <c r="H2964" t="s">
        <v>5385</v>
      </c>
      <c r="I2964" t="s">
        <v>6043</v>
      </c>
      <c r="J2964">
        <v>11233</v>
      </c>
      <c r="K2964" t="s">
        <v>6074</v>
      </c>
      <c r="L2964" t="s">
        <v>6074</v>
      </c>
      <c r="M2964" t="s">
        <v>7224</v>
      </c>
      <c r="N2964" t="s">
        <v>7274</v>
      </c>
      <c r="O2964" t="s">
        <v>7308</v>
      </c>
      <c r="P2964" t="s">
        <v>7316</v>
      </c>
      <c r="Q2964" t="s">
        <v>7322</v>
      </c>
      <c r="R2964" t="s">
        <v>6076</v>
      </c>
      <c r="S2964" t="s">
        <v>7324</v>
      </c>
      <c r="U2964" t="s">
        <v>471</v>
      </c>
      <c r="V2964">
        <v>623</v>
      </c>
      <c r="W2964" t="s">
        <v>7362</v>
      </c>
      <c r="X2964" t="s">
        <v>7367</v>
      </c>
      <c r="Y2964" t="s">
        <v>7388</v>
      </c>
      <c r="Z2964" t="s">
        <v>9614</v>
      </c>
      <c r="AB2964" t="s">
        <v>12242</v>
      </c>
      <c r="AC2964">
        <v>6</v>
      </c>
      <c r="AD2964" t="s">
        <v>12422</v>
      </c>
      <c r="AE2964" t="s">
        <v>6110</v>
      </c>
      <c r="AF2964">
        <v>38</v>
      </c>
      <c r="AG2964">
        <v>1</v>
      </c>
      <c r="AH2964">
        <v>0</v>
      </c>
      <c r="AI2964">
        <v>304.78</v>
      </c>
      <c r="AJ2964" t="s">
        <v>354</v>
      </c>
      <c r="AK2964" t="s">
        <v>12456</v>
      </c>
      <c r="AL2964" t="s">
        <v>12460</v>
      </c>
      <c r="AM2964">
        <v>37000</v>
      </c>
      <c r="AN2964" t="s">
        <v>12767</v>
      </c>
      <c r="AS2964">
        <v>54.9</v>
      </c>
      <c r="AT2964" t="s">
        <v>346</v>
      </c>
      <c r="AU2964" t="s">
        <v>218</v>
      </c>
    </row>
    <row r="2965" spans="1:48">
      <c r="A2965" s="1">
        <f>HYPERLINK("https://cms.ls-nyc.org/matter/dynamic-profile/view/1882194","18-1882194")</f>
        <v>0</v>
      </c>
      <c r="B2965" t="s">
        <v>171</v>
      </c>
      <c r="C2965" t="s">
        <v>442</v>
      </c>
      <c r="E2965" t="s">
        <v>1250</v>
      </c>
      <c r="F2965" t="s">
        <v>3492</v>
      </c>
      <c r="G2965" t="s">
        <v>4498</v>
      </c>
      <c r="H2965" t="s">
        <v>5385</v>
      </c>
      <c r="I2965" t="s">
        <v>6043</v>
      </c>
      <c r="J2965">
        <v>11233</v>
      </c>
      <c r="K2965" t="s">
        <v>6074</v>
      </c>
      <c r="L2965" t="s">
        <v>6074</v>
      </c>
      <c r="M2965" t="s">
        <v>6104</v>
      </c>
      <c r="N2965" t="s">
        <v>7275</v>
      </c>
      <c r="O2965" t="s">
        <v>7307</v>
      </c>
      <c r="Q2965" t="s">
        <v>7322</v>
      </c>
      <c r="R2965" t="s">
        <v>6074</v>
      </c>
      <c r="S2965" t="s">
        <v>7324</v>
      </c>
      <c r="T2965" t="s">
        <v>7336</v>
      </c>
      <c r="U2965" t="s">
        <v>7343</v>
      </c>
      <c r="V2965">
        <v>623</v>
      </c>
      <c r="W2965" t="s">
        <v>7362</v>
      </c>
      <c r="X2965" t="s">
        <v>7368</v>
      </c>
      <c r="Z2965" t="s">
        <v>9614</v>
      </c>
      <c r="AA2965" t="s">
        <v>6110</v>
      </c>
      <c r="AB2965" t="s">
        <v>12242</v>
      </c>
      <c r="AC2965">
        <v>6</v>
      </c>
      <c r="AD2965" t="s">
        <v>12422</v>
      </c>
      <c r="AE2965" t="s">
        <v>6110</v>
      </c>
      <c r="AF2965">
        <v>38</v>
      </c>
      <c r="AG2965">
        <v>1</v>
      </c>
      <c r="AH2965">
        <v>0</v>
      </c>
      <c r="AI2965">
        <v>304.78</v>
      </c>
      <c r="AJ2965" t="s">
        <v>354</v>
      </c>
      <c r="AK2965" t="s">
        <v>12456</v>
      </c>
      <c r="AL2965" t="s">
        <v>12460</v>
      </c>
      <c r="AM2965">
        <v>37000</v>
      </c>
      <c r="AS2965">
        <v>58.9</v>
      </c>
      <c r="AT2965" t="s">
        <v>460</v>
      </c>
      <c r="AU2965" t="s">
        <v>218</v>
      </c>
    </row>
    <row r="2966" spans="1:48">
      <c r="A2966" s="1">
        <f>HYPERLINK("https://cms.ls-nyc.org/matter/dynamic-profile/view/1884464","18-1884464")</f>
        <v>0</v>
      </c>
      <c r="B2966" t="s">
        <v>76</v>
      </c>
      <c r="C2966" t="s">
        <v>345</v>
      </c>
      <c r="E2966" t="s">
        <v>1930</v>
      </c>
      <c r="F2966" t="s">
        <v>3493</v>
      </c>
      <c r="G2966" t="s">
        <v>5269</v>
      </c>
      <c r="H2966" t="s">
        <v>5970</v>
      </c>
      <c r="I2966" t="s">
        <v>6043</v>
      </c>
      <c r="J2966">
        <v>11233</v>
      </c>
      <c r="K2966" t="s">
        <v>6074</v>
      </c>
      <c r="L2966" t="s">
        <v>6074</v>
      </c>
      <c r="M2966" t="s">
        <v>7225</v>
      </c>
      <c r="N2966" t="s">
        <v>7276</v>
      </c>
      <c r="O2966" t="s">
        <v>7308</v>
      </c>
      <c r="Q2966" t="s">
        <v>7322</v>
      </c>
      <c r="R2966" t="s">
        <v>6076</v>
      </c>
      <c r="S2966" t="s">
        <v>7324</v>
      </c>
      <c r="T2966" t="s">
        <v>7336</v>
      </c>
      <c r="U2966" t="s">
        <v>345</v>
      </c>
      <c r="V2966">
        <v>2050</v>
      </c>
      <c r="W2966" t="s">
        <v>7362</v>
      </c>
      <c r="X2966" t="s">
        <v>7373</v>
      </c>
      <c r="Z2966" t="s">
        <v>9615</v>
      </c>
      <c r="AA2966" t="s">
        <v>6110</v>
      </c>
      <c r="AB2966" t="s">
        <v>12243</v>
      </c>
      <c r="AC2966">
        <v>6</v>
      </c>
      <c r="AD2966" t="s">
        <v>12422</v>
      </c>
      <c r="AE2966" t="s">
        <v>6110</v>
      </c>
      <c r="AF2966">
        <v>0</v>
      </c>
      <c r="AG2966">
        <v>1</v>
      </c>
      <c r="AH2966">
        <v>0</v>
      </c>
      <c r="AI2966">
        <v>306.43</v>
      </c>
      <c r="AL2966" t="s">
        <v>12460</v>
      </c>
      <c r="AM2966">
        <v>37200</v>
      </c>
      <c r="AN2966" t="s">
        <v>12511</v>
      </c>
      <c r="AS2966">
        <v>48.7</v>
      </c>
      <c r="AT2966" t="s">
        <v>343</v>
      </c>
      <c r="AU2966" t="s">
        <v>13088</v>
      </c>
    </row>
    <row r="2967" spans="1:48">
      <c r="A2967" s="1">
        <f>HYPERLINK("https://cms.ls-nyc.org/matter/dynamic-profile/view/1889991","19-1889991")</f>
        <v>0</v>
      </c>
      <c r="B2967" t="s">
        <v>96</v>
      </c>
      <c r="C2967" t="s">
        <v>351</v>
      </c>
      <c r="E2967" t="s">
        <v>743</v>
      </c>
      <c r="F2967" t="s">
        <v>3494</v>
      </c>
      <c r="G2967" t="s">
        <v>3792</v>
      </c>
      <c r="H2967" t="s">
        <v>5971</v>
      </c>
      <c r="I2967" t="s">
        <v>6047</v>
      </c>
      <c r="J2967">
        <v>10453</v>
      </c>
      <c r="K2967" t="s">
        <v>6074</v>
      </c>
      <c r="L2967" t="s">
        <v>6074</v>
      </c>
      <c r="N2967" t="s">
        <v>7279</v>
      </c>
      <c r="O2967" t="s">
        <v>7311</v>
      </c>
      <c r="Q2967" t="s">
        <v>7322</v>
      </c>
      <c r="R2967" t="s">
        <v>6074</v>
      </c>
      <c r="S2967" t="s">
        <v>7324</v>
      </c>
      <c r="U2967" t="s">
        <v>457</v>
      </c>
      <c r="V2967">
        <v>836</v>
      </c>
      <c r="W2967" t="s">
        <v>7363</v>
      </c>
      <c r="X2967" t="s">
        <v>7376</v>
      </c>
      <c r="Z2967" t="s">
        <v>9616</v>
      </c>
      <c r="AB2967" t="s">
        <v>12244</v>
      </c>
      <c r="AC2967">
        <v>167</v>
      </c>
      <c r="AD2967" t="s">
        <v>12422</v>
      </c>
      <c r="AE2967" t="s">
        <v>12441</v>
      </c>
      <c r="AF2967">
        <v>34</v>
      </c>
      <c r="AG2967">
        <v>1</v>
      </c>
      <c r="AH2967">
        <v>0</v>
      </c>
      <c r="AI2967">
        <v>307.45</v>
      </c>
      <c r="AL2967" t="s">
        <v>12460</v>
      </c>
      <c r="AM2967">
        <v>38400</v>
      </c>
      <c r="AS2967">
        <v>0</v>
      </c>
      <c r="AU2967" t="s">
        <v>13092</v>
      </c>
    </row>
    <row r="2968" spans="1:48">
      <c r="A2968" s="1">
        <f>HYPERLINK("https://cms.ls-nyc.org/matter/dynamic-profile/view/1889986","19-1889986")</f>
        <v>0</v>
      </c>
      <c r="B2968" t="s">
        <v>96</v>
      </c>
      <c r="C2968" t="s">
        <v>351</v>
      </c>
      <c r="E2968" t="s">
        <v>743</v>
      </c>
      <c r="F2968" t="s">
        <v>3494</v>
      </c>
      <c r="G2968" t="s">
        <v>3792</v>
      </c>
      <c r="H2968" t="s">
        <v>5971</v>
      </c>
      <c r="I2968" t="s">
        <v>6047</v>
      </c>
      <c r="J2968">
        <v>10453</v>
      </c>
      <c r="K2968" t="s">
        <v>6074</v>
      </c>
      <c r="L2968" t="s">
        <v>6074</v>
      </c>
      <c r="M2968" t="s">
        <v>6259</v>
      </c>
      <c r="N2968" t="s">
        <v>7273</v>
      </c>
      <c r="O2968" t="s">
        <v>7308</v>
      </c>
      <c r="Q2968" t="s">
        <v>7322</v>
      </c>
      <c r="R2968" t="s">
        <v>6074</v>
      </c>
      <c r="S2968" t="s">
        <v>7324</v>
      </c>
      <c r="U2968" t="s">
        <v>457</v>
      </c>
      <c r="V2968">
        <v>836</v>
      </c>
      <c r="W2968" t="s">
        <v>7363</v>
      </c>
      <c r="X2968" t="s">
        <v>7376</v>
      </c>
      <c r="Z2968" t="s">
        <v>9616</v>
      </c>
      <c r="AB2968" t="s">
        <v>12244</v>
      </c>
      <c r="AC2968">
        <v>167</v>
      </c>
      <c r="AD2968" t="s">
        <v>12422</v>
      </c>
      <c r="AE2968" t="s">
        <v>12441</v>
      </c>
      <c r="AF2968">
        <v>34</v>
      </c>
      <c r="AG2968">
        <v>1</v>
      </c>
      <c r="AH2968">
        <v>0</v>
      </c>
      <c r="AI2968">
        <v>307.45</v>
      </c>
      <c r="AL2968" t="s">
        <v>12460</v>
      </c>
      <c r="AM2968">
        <v>38400</v>
      </c>
      <c r="AS2968">
        <v>0</v>
      </c>
      <c r="AU2968" t="s">
        <v>13092</v>
      </c>
    </row>
    <row r="2969" spans="1:48">
      <c r="A2969" s="1">
        <f>HYPERLINK("https://cms.ls-nyc.org/matter/dynamic-profile/view/1887551","19-1887551")</f>
        <v>0</v>
      </c>
      <c r="B2969" t="s">
        <v>109</v>
      </c>
      <c r="C2969" t="s">
        <v>492</v>
      </c>
      <c r="D2969" t="s">
        <v>234</v>
      </c>
      <c r="E2969" t="s">
        <v>1570</v>
      </c>
      <c r="F2969" t="s">
        <v>3495</v>
      </c>
      <c r="G2969" t="s">
        <v>5270</v>
      </c>
      <c r="H2969" t="s">
        <v>5972</v>
      </c>
      <c r="I2969" t="s">
        <v>6047</v>
      </c>
      <c r="J2969">
        <v>10455</v>
      </c>
      <c r="K2969" t="s">
        <v>6074</v>
      </c>
      <c r="L2969" t="s">
        <v>6074</v>
      </c>
      <c r="M2969" t="s">
        <v>7226</v>
      </c>
      <c r="N2969" t="s">
        <v>7276</v>
      </c>
      <c r="O2969" t="s">
        <v>7308</v>
      </c>
      <c r="P2969" t="s">
        <v>7316</v>
      </c>
      <c r="Q2969" t="s">
        <v>7322</v>
      </c>
      <c r="R2969" t="s">
        <v>6076</v>
      </c>
      <c r="S2969" t="s">
        <v>7324</v>
      </c>
      <c r="T2969" t="s">
        <v>7339</v>
      </c>
      <c r="U2969" t="s">
        <v>492</v>
      </c>
      <c r="V2969">
        <v>1401.29</v>
      </c>
      <c r="W2969" t="s">
        <v>7363</v>
      </c>
      <c r="X2969" t="s">
        <v>7367</v>
      </c>
      <c r="Y2969" t="s">
        <v>7388</v>
      </c>
      <c r="Z2969" t="s">
        <v>9617</v>
      </c>
      <c r="AA2969" t="s">
        <v>10290</v>
      </c>
      <c r="AB2969" t="s">
        <v>12245</v>
      </c>
      <c r="AC2969">
        <v>9</v>
      </c>
      <c r="AD2969" t="s">
        <v>12422</v>
      </c>
      <c r="AE2969" t="s">
        <v>6110</v>
      </c>
      <c r="AF2969">
        <v>4</v>
      </c>
      <c r="AG2969">
        <v>1</v>
      </c>
      <c r="AH2969">
        <v>0</v>
      </c>
      <c r="AI2969">
        <v>308.4</v>
      </c>
      <c r="AL2969" t="s">
        <v>12460</v>
      </c>
      <c r="AM2969">
        <v>37440</v>
      </c>
      <c r="AO2969" t="s">
        <v>12850</v>
      </c>
      <c r="AP2969" t="s">
        <v>12858</v>
      </c>
      <c r="AQ2969" t="s">
        <v>12909</v>
      </c>
      <c r="AR2969" t="s">
        <v>13059</v>
      </c>
      <c r="AS2969">
        <v>9.75</v>
      </c>
      <c r="AT2969" t="s">
        <v>234</v>
      </c>
      <c r="AU2969" t="s">
        <v>13097</v>
      </c>
    </row>
    <row r="2970" spans="1:48">
      <c r="A2970" s="1">
        <f>HYPERLINK("https://cms.ls-nyc.org/matter/dynamic-profile/view/1887447","19-1887447")</f>
        <v>0</v>
      </c>
      <c r="B2970" t="s">
        <v>119</v>
      </c>
      <c r="C2970" t="s">
        <v>284</v>
      </c>
      <c r="D2970" t="s">
        <v>565</v>
      </c>
      <c r="E2970" t="s">
        <v>1820</v>
      </c>
      <c r="F2970" t="s">
        <v>3496</v>
      </c>
      <c r="G2970" t="s">
        <v>4151</v>
      </c>
      <c r="H2970" t="s">
        <v>5578</v>
      </c>
      <c r="I2970" t="s">
        <v>6048</v>
      </c>
      <c r="J2970">
        <v>10304</v>
      </c>
      <c r="K2970" t="s">
        <v>6074</v>
      </c>
      <c r="L2970" t="s">
        <v>6074</v>
      </c>
      <c r="M2970" t="s">
        <v>7227</v>
      </c>
      <c r="N2970" t="s">
        <v>7276</v>
      </c>
      <c r="O2970" t="s">
        <v>7308</v>
      </c>
      <c r="P2970" t="s">
        <v>7316</v>
      </c>
      <c r="Q2970" t="s">
        <v>7322</v>
      </c>
      <c r="R2970" t="s">
        <v>6076</v>
      </c>
      <c r="S2970" t="s">
        <v>7324</v>
      </c>
      <c r="T2970" t="s">
        <v>7336</v>
      </c>
      <c r="U2970" t="s">
        <v>284</v>
      </c>
      <c r="V2970">
        <v>778</v>
      </c>
      <c r="W2970" t="s">
        <v>7364</v>
      </c>
      <c r="X2970" t="s">
        <v>7368</v>
      </c>
      <c r="Y2970" t="s">
        <v>7391</v>
      </c>
      <c r="Z2970" t="s">
        <v>9618</v>
      </c>
      <c r="AB2970" t="s">
        <v>12246</v>
      </c>
      <c r="AC2970">
        <v>361</v>
      </c>
      <c r="AD2970" t="s">
        <v>12420</v>
      </c>
      <c r="AE2970" t="s">
        <v>12434</v>
      </c>
      <c r="AF2970">
        <v>8</v>
      </c>
      <c r="AG2970">
        <v>1</v>
      </c>
      <c r="AH2970">
        <v>0</v>
      </c>
      <c r="AI2970">
        <v>308.4</v>
      </c>
      <c r="AL2970" t="s">
        <v>12460</v>
      </c>
      <c r="AM2970">
        <v>37440</v>
      </c>
      <c r="AO2970" t="s">
        <v>12846</v>
      </c>
      <c r="AP2970" t="s">
        <v>12863</v>
      </c>
      <c r="AQ2970" t="s">
        <v>12909</v>
      </c>
      <c r="AR2970" t="s">
        <v>13060</v>
      </c>
      <c r="AS2970">
        <v>2.2</v>
      </c>
      <c r="AT2970" t="s">
        <v>363</v>
      </c>
      <c r="AU2970" t="s">
        <v>13102</v>
      </c>
    </row>
    <row r="2971" spans="1:48">
      <c r="A2971" s="1">
        <f>HYPERLINK("https://cms.ls-nyc.org/matter/dynamic-profile/view/1875658","18-1875658")</f>
        <v>0</v>
      </c>
      <c r="B2971" t="s">
        <v>96</v>
      </c>
      <c r="C2971" t="s">
        <v>233</v>
      </c>
      <c r="E2971" t="s">
        <v>1467</v>
      </c>
      <c r="F2971" t="s">
        <v>2066</v>
      </c>
      <c r="G2971" t="s">
        <v>3772</v>
      </c>
      <c r="H2971" t="s">
        <v>5522</v>
      </c>
      <c r="I2971" t="s">
        <v>6047</v>
      </c>
      <c r="J2971">
        <v>10468</v>
      </c>
      <c r="K2971" t="s">
        <v>6074</v>
      </c>
      <c r="L2971" t="s">
        <v>6074</v>
      </c>
      <c r="N2971" t="s">
        <v>7279</v>
      </c>
      <c r="O2971" t="s">
        <v>7311</v>
      </c>
      <c r="Q2971" t="s">
        <v>7322</v>
      </c>
      <c r="R2971" t="s">
        <v>6076</v>
      </c>
      <c r="S2971" t="s">
        <v>7324</v>
      </c>
      <c r="U2971" t="s">
        <v>355</v>
      </c>
      <c r="V2971">
        <v>1313</v>
      </c>
      <c r="W2971" t="s">
        <v>7363</v>
      </c>
      <c r="X2971" t="s">
        <v>7376</v>
      </c>
      <c r="Z2971" t="s">
        <v>9619</v>
      </c>
      <c r="AB2971" t="s">
        <v>12247</v>
      </c>
      <c r="AC2971">
        <v>58</v>
      </c>
      <c r="AD2971" t="s">
        <v>12422</v>
      </c>
      <c r="AE2971" t="s">
        <v>6110</v>
      </c>
      <c r="AF2971">
        <v>25</v>
      </c>
      <c r="AG2971">
        <v>2</v>
      </c>
      <c r="AH2971">
        <v>0</v>
      </c>
      <c r="AI2971">
        <v>308.63</v>
      </c>
      <c r="AL2971" t="s">
        <v>12461</v>
      </c>
      <c r="AM2971">
        <v>50800</v>
      </c>
      <c r="AS2971">
        <v>3.2</v>
      </c>
      <c r="AT2971" t="s">
        <v>355</v>
      </c>
      <c r="AU2971" t="s">
        <v>13092</v>
      </c>
    </row>
    <row r="2972" spans="1:48">
      <c r="A2972" s="1">
        <f>HYPERLINK("https://cms.ls-nyc.org/matter/dynamic-profile/view/1875655","18-1875655")</f>
        <v>0</v>
      </c>
      <c r="B2972" t="s">
        <v>96</v>
      </c>
      <c r="C2972" t="s">
        <v>233</v>
      </c>
      <c r="E2972" t="s">
        <v>1467</v>
      </c>
      <c r="F2972" t="s">
        <v>2066</v>
      </c>
      <c r="G2972" t="s">
        <v>3772</v>
      </c>
      <c r="H2972" t="s">
        <v>5522</v>
      </c>
      <c r="I2972" t="s">
        <v>6047</v>
      </c>
      <c r="J2972">
        <v>10468</v>
      </c>
      <c r="K2972" t="s">
        <v>6074</v>
      </c>
      <c r="L2972" t="s">
        <v>6074</v>
      </c>
      <c r="M2972" t="s">
        <v>6178</v>
      </c>
      <c r="N2972" t="s">
        <v>7273</v>
      </c>
      <c r="O2972" t="s">
        <v>7308</v>
      </c>
      <c r="Q2972" t="s">
        <v>7322</v>
      </c>
      <c r="R2972" t="s">
        <v>6074</v>
      </c>
      <c r="S2972" t="s">
        <v>7324</v>
      </c>
      <c r="U2972" t="s">
        <v>292</v>
      </c>
      <c r="V2972">
        <v>1313</v>
      </c>
      <c r="W2972" t="s">
        <v>7363</v>
      </c>
      <c r="X2972" t="s">
        <v>7376</v>
      </c>
      <c r="Z2972" t="s">
        <v>9619</v>
      </c>
      <c r="AB2972" t="s">
        <v>12247</v>
      </c>
      <c r="AC2972">
        <v>58</v>
      </c>
      <c r="AD2972" t="s">
        <v>12422</v>
      </c>
      <c r="AE2972" t="s">
        <v>6110</v>
      </c>
      <c r="AF2972">
        <v>25</v>
      </c>
      <c r="AG2972">
        <v>2</v>
      </c>
      <c r="AH2972">
        <v>0</v>
      </c>
      <c r="AI2972">
        <v>308.63</v>
      </c>
      <c r="AL2972" t="s">
        <v>12461</v>
      </c>
      <c r="AM2972">
        <v>50800</v>
      </c>
      <c r="AS2972">
        <v>0</v>
      </c>
      <c r="AU2972" t="s">
        <v>13092</v>
      </c>
    </row>
    <row r="2973" spans="1:48">
      <c r="A2973" s="1">
        <f>HYPERLINK("https://cms.ls-nyc.org/matter/dynamic-profile/view/1886234","18-1886234")</f>
        <v>0</v>
      </c>
      <c r="B2973" t="s">
        <v>161</v>
      </c>
      <c r="C2973" t="s">
        <v>389</v>
      </c>
      <c r="D2973" t="s">
        <v>337</v>
      </c>
      <c r="E2973" t="s">
        <v>1931</v>
      </c>
      <c r="F2973" t="s">
        <v>1312</v>
      </c>
      <c r="G2973" t="s">
        <v>4419</v>
      </c>
      <c r="H2973">
        <v>201</v>
      </c>
      <c r="I2973" t="s">
        <v>6049</v>
      </c>
      <c r="J2973">
        <v>10029</v>
      </c>
      <c r="K2973" t="s">
        <v>6074</v>
      </c>
      <c r="L2973" t="s">
        <v>6074</v>
      </c>
      <c r="N2973" t="s">
        <v>6104</v>
      </c>
      <c r="O2973" t="s">
        <v>7306</v>
      </c>
      <c r="P2973" t="s">
        <v>7314</v>
      </c>
      <c r="Q2973" t="s">
        <v>7322</v>
      </c>
      <c r="R2973" t="s">
        <v>6076</v>
      </c>
      <c r="S2973" t="s">
        <v>7324</v>
      </c>
      <c r="T2973" t="s">
        <v>7336</v>
      </c>
      <c r="U2973" t="s">
        <v>389</v>
      </c>
      <c r="V2973">
        <v>398</v>
      </c>
      <c r="W2973" t="s">
        <v>7365</v>
      </c>
      <c r="X2973" t="s">
        <v>7375</v>
      </c>
      <c r="Y2973" t="s">
        <v>7386</v>
      </c>
      <c r="Z2973" t="s">
        <v>9101</v>
      </c>
      <c r="AB2973" t="s">
        <v>12248</v>
      </c>
      <c r="AC2973">
        <v>82</v>
      </c>
      <c r="AD2973" t="s">
        <v>12420</v>
      </c>
      <c r="AE2973" t="s">
        <v>12434</v>
      </c>
      <c r="AF2973">
        <v>32</v>
      </c>
      <c r="AG2973">
        <v>3</v>
      </c>
      <c r="AH2973">
        <v>0</v>
      </c>
      <c r="AI2973">
        <v>309.05</v>
      </c>
      <c r="AL2973" t="s">
        <v>12460</v>
      </c>
      <c r="AM2973">
        <v>64220</v>
      </c>
      <c r="AS2973">
        <v>0.1</v>
      </c>
      <c r="AT2973" t="s">
        <v>448</v>
      </c>
      <c r="AU2973" t="s">
        <v>13107</v>
      </c>
    </row>
    <row r="2974" spans="1:48">
      <c r="A2974" s="1">
        <f>HYPERLINK("https://cms.ls-nyc.org/matter/dynamic-profile/view/1873314","18-1873314")</f>
        <v>0</v>
      </c>
      <c r="B2974" t="s">
        <v>111</v>
      </c>
      <c r="C2974" t="s">
        <v>232</v>
      </c>
      <c r="D2974" t="s">
        <v>355</v>
      </c>
      <c r="E2974" t="s">
        <v>1932</v>
      </c>
      <c r="F2974" t="s">
        <v>3497</v>
      </c>
      <c r="G2974" t="s">
        <v>5271</v>
      </c>
      <c r="H2974" t="s">
        <v>5387</v>
      </c>
      <c r="I2974" t="s">
        <v>6047</v>
      </c>
      <c r="J2974">
        <v>10452</v>
      </c>
      <c r="K2974" t="s">
        <v>6074</v>
      </c>
      <c r="L2974" t="s">
        <v>6074</v>
      </c>
      <c r="N2974" t="s">
        <v>7278</v>
      </c>
      <c r="O2974" t="s">
        <v>7306</v>
      </c>
      <c r="P2974" t="s">
        <v>7314</v>
      </c>
      <c r="Q2974" t="s">
        <v>7322</v>
      </c>
      <c r="S2974" t="s">
        <v>7324</v>
      </c>
      <c r="U2974" t="s">
        <v>355</v>
      </c>
      <c r="V2974">
        <v>1183.1</v>
      </c>
      <c r="W2974" t="s">
        <v>7363</v>
      </c>
      <c r="Y2974" t="s">
        <v>7386</v>
      </c>
      <c r="Z2974" t="s">
        <v>8840</v>
      </c>
      <c r="AC2974">
        <v>54</v>
      </c>
      <c r="AD2974" t="s">
        <v>12422</v>
      </c>
      <c r="AE2974" t="s">
        <v>6110</v>
      </c>
      <c r="AF2974">
        <v>20</v>
      </c>
      <c r="AG2974">
        <v>2</v>
      </c>
      <c r="AH2974">
        <v>0</v>
      </c>
      <c r="AI2974">
        <v>309.84</v>
      </c>
      <c r="AL2974" t="s">
        <v>12460</v>
      </c>
      <c r="AM2974">
        <v>51000</v>
      </c>
      <c r="AN2974" t="s">
        <v>12768</v>
      </c>
      <c r="AS2974">
        <v>0.5</v>
      </c>
      <c r="AT2974" t="s">
        <v>355</v>
      </c>
      <c r="AU2974" t="s">
        <v>13095</v>
      </c>
    </row>
    <row r="2975" spans="1:48">
      <c r="A2975" s="1">
        <f>HYPERLINK("https://cms.ls-nyc.org/matter/dynamic-profile/view/1893524","19-1893524")</f>
        <v>0</v>
      </c>
      <c r="B2975" t="s">
        <v>68</v>
      </c>
      <c r="C2975" t="s">
        <v>367</v>
      </c>
      <c r="E2975" t="s">
        <v>619</v>
      </c>
      <c r="F2975" t="s">
        <v>2268</v>
      </c>
      <c r="G2975" t="s">
        <v>4053</v>
      </c>
      <c r="H2975" t="s">
        <v>5973</v>
      </c>
      <c r="I2975" t="s">
        <v>6043</v>
      </c>
      <c r="J2975">
        <v>11208</v>
      </c>
      <c r="K2975" t="s">
        <v>6074</v>
      </c>
      <c r="L2975" t="s">
        <v>6074</v>
      </c>
      <c r="M2975" t="s">
        <v>7228</v>
      </c>
      <c r="N2975" t="s">
        <v>7276</v>
      </c>
      <c r="O2975" t="s">
        <v>7308</v>
      </c>
      <c r="Q2975" t="s">
        <v>7322</v>
      </c>
      <c r="R2975" t="s">
        <v>6076</v>
      </c>
      <c r="S2975" t="s">
        <v>7324</v>
      </c>
      <c r="U2975" t="s">
        <v>337</v>
      </c>
      <c r="V2975">
        <v>1255</v>
      </c>
      <c r="W2975" t="s">
        <v>7362</v>
      </c>
      <c r="X2975" t="s">
        <v>7368</v>
      </c>
      <c r="Z2975" t="s">
        <v>9620</v>
      </c>
      <c r="AB2975" t="s">
        <v>12249</v>
      </c>
      <c r="AC2975">
        <v>272</v>
      </c>
      <c r="AD2975" t="s">
        <v>12422</v>
      </c>
      <c r="AE2975" t="s">
        <v>12441</v>
      </c>
      <c r="AF2975">
        <v>7</v>
      </c>
      <c r="AG2975">
        <v>1</v>
      </c>
      <c r="AH2975">
        <v>0</v>
      </c>
      <c r="AI2975">
        <v>310.04</v>
      </c>
      <c r="AL2975" t="s">
        <v>12460</v>
      </c>
      <c r="AM2975">
        <v>38724</v>
      </c>
      <c r="AS2975">
        <v>8.5</v>
      </c>
      <c r="AT2975" t="s">
        <v>460</v>
      </c>
      <c r="AU2975" t="s">
        <v>13079</v>
      </c>
    </row>
    <row r="2976" spans="1:48">
      <c r="A2976" s="1">
        <f>HYPERLINK("https://cms.ls-nyc.org/matter/dynamic-profile/view/1895447","19-1895447")</f>
        <v>0</v>
      </c>
      <c r="B2976" t="s">
        <v>86</v>
      </c>
      <c r="C2976" t="s">
        <v>457</v>
      </c>
      <c r="E2976" t="s">
        <v>619</v>
      </c>
      <c r="F2976" t="s">
        <v>2268</v>
      </c>
      <c r="G2976" t="s">
        <v>4053</v>
      </c>
      <c r="H2976" t="s">
        <v>5973</v>
      </c>
      <c r="I2976" t="s">
        <v>6043</v>
      </c>
      <c r="J2976">
        <v>11208</v>
      </c>
      <c r="K2976" t="s">
        <v>6074</v>
      </c>
      <c r="L2976" t="s">
        <v>6074</v>
      </c>
      <c r="M2976" t="s">
        <v>7228</v>
      </c>
      <c r="N2976" t="s">
        <v>7290</v>
      </c>
      <c r="Q2976" t="s">
        <v>7322</v>
      </c>
      <c r="R2976" t="s">
        <v>6076</v>
      </c>
      <c r="S2976" t="s">
        <v>7327</v>
      </c>
      <c r="U2976" t="s">
        <v>302</v>
      </c>
      <c r="V2976">
        <v>1255</v>
      </c>
      <c r="W2976" t="s">
        <v>7362</v>
      </c>
      <c r="X2976" t="s">
        <v>7368</v>
      </c>
      <c r="Z2976" t="s">
        <v>9620</v>
      </c>
      <c r="AB2976" t="s">
        <v>12249</v>
      </c>
      <c r="AC2976">
        <v>272</v>
      </c>
      <c r="AD2976" t="s">
        <v>12422</v>
      </c>
      <c r="AE2976" t="s">
        <v>12441</v>
      </c>
      <c r="AF2976">
        <v>7</v>
      </c>
      <c r="AG2976">
        <v>1</v>
      </c>
      <c r="AH2976">
        <v>0</v>
      </c>
      <c r="AI2976">
        <v>310.04</v>
      </c>
      <c r="AL2976" t="s">
        <v>12460</v>
      </c>
      <c r="AM2976">
        <v>38724</v>
      </c>
      <c r="AS2976">
        <v>5.75</v>
      </c>
      <c r="AT2976" t="s">
        <v>316</v>
      </c>
      <c r="AU2976" t="s">
        <v>180</v>
      </c>
    </row>
    <row r="2977" spans="1:48">
      <c r="A2977" s="1">
        <f>HYPERLINK("https://cms.ls-nyc.org/matter/dynamic-profile/view/1896309","19-1896309")</f>
        <v>0</v>
      </c>
      <c r="B2977" t="s">
        <v>54</v>
      </c>
      <c r="C2977" t="s">
        <v>302</v>
      </c>
      <c r="E2977" t="s">
        <v>1933</v>
      </c>
      <c r="F2977" t="s">
        <v>2119</v>
      </c>
      <c r="G2977" t="s">
        <v>3900</v>
      </c>
      <c r="H2977" t="s">
        <v>5974</v>
      </c>
      <c r="I2977" t="s">
        <v>6025</v>
      </c>
      <c r="J2977">
        <v>11691</v>
      </c>
      <c r="K2977" t="s">
        <v>6074</v>
      </c>
      <c r="L2977" t="s">
        <v>6074</v>
      </c>
      <c r="N2977" t="s">
        <v>7279</v>
      </c>
      <c r="O2977" t="s">
        <v>7310</v>
      </c>
      <c r="Q2977" t="s">
        <v>7322</v>
      </c>
      <c r="R2977" t="s">
        <v>6074</v>
      </c>
      <c r="S2977" t="s">
        <v>7324</v>
      </c>
      <c r="U2977" t="s">
        <v>302</v>
      </c>
      <c r="V2977">
        <v>637</v>
      </c>
      <c r="W2977" t="s">
        <v>7361</v>
      </c>
      <c r="X2977" t="s">
        <v>7366</v>
      </c>
      <c r="Z2977" t="s">
        <v>9621</v>
      </c>
      <c r="AB2977" t="s">
        <v>12250</v>
      </c>
      <c r="AC2977">
        <v>43</v>
      </c>
      <c r="AF2977">
        <v>28</v>
      </c>
      <c r="AG2977">
        <v>1</v>
      </c>
      <c r="AH2977">
        <v>0</v>
      </c>
      <c r="AI2977">
        <v>312.25</v>
      </c>
      <c r="AL2977" t="s">
        <v>12460</v>
      </c>
      <c r="AM2977">
        <v>39000</v>
      </c>
      <c r="AS2977">
        <v>0</v>
      </c>
      <c r="AU2977" t="s">
        <v>13078</v>
      </c>
    </row>
    <row r="2978" spans="1:48">
      <c r="A2978" s="1">
        <f>HYPERLINK("https://cms.ls-nyc.org/matter/dynamic-profile/view/1896320","19-1896320")</f>
        <v>0</v>
      </c>
      <c r="B2978" t="s">
        <v>54</v>
      </c>
      <c r="C2978" t="s">
        <v>302</v>
      </c>
      <c r="E2978" t="s">
        <v>1933</v>
      </c>
      <c r="F2978" t="s">
        <v>2119</v>
      </c>
      <c r="G2978" t="s">
        <v>3900</v>
      </c>
      <c r="H2978" t="s">
        <v>5974</v>
      </c>
      <c r="I2978" t="s">
        <v>6025</v>
      </c>
      <c r="J2978">
        <v>11691</v>
      </c>
      <c r="K2978" t="s">
        <v>6074</v>
      </c>
      <c r="L2978" t="s">
        <v>6074</v>
      </c>
      <c r="N2978" t="s">
        <v>7279</v>
      </c>
      <c r="O2978" t="s">
        <v>7311</v>
      </c>
      <c r="Q2978" t="s">
        <v>7322</v>
      </c>
      <c r="R2978" t="s">
        <v>6074</v>
      </c>
      <c r="S2978" t="s">
        <v>7324</v>
      </c>
      <c r="U2978" t="s">
        <v>302</v>
      </c>
      <c r="V2978">
        <v>637</v>
      </c>
      <c r="W2978" t="s">
        <v>7361</v>
      </c>
      <c r="X2978" t="s">
        <v>7366</v>
      </c>
      <c r="Z2978" t="s">
        <v>9621</v>
      </c>
      <c r="AB2978" t="s">
        <v>12250</v>
      </c>
      <c r="AC2978">
        <v>43</v>
      </c>
      <c r="AF2978">
        <v>28</v>
      </c>
      <c r="AG2978">
        <v>1</v>
      </c>
      <c r="AH2978">
        <v>0</v>
      </c>
      <c r="AI2978">
        <v>312.25</v>
      </c>
      <c r="AL2978" t="s">
        <v>12460</v>
      </c>
      <c r="AM2978">
        <v>39000</v>
      </c>
      <c r="AS2978">
        <v>0</v>
      </c>
      <c r="AU2978" t="s">
        <v>13078</v>
      </c>
    </row>
    <row r="2979" spans="1:48">
      <c r="A2979" s="1">
        <f>HYPERLINK("https://cms.ls-nyc.org/matter/dynamic-profile/view/1898259","19-1898259")</f>
        <v>0</v>
      </c>
      <c r="B2979" t="s">
        <v>72</v>
      </c>
      <c r="C2979" t="s">
        <v>343</v>
      </c>
      <c r="E2979" t="s">
        <v>1934</v>
      </c>
      <c r="F2979" t="s">
        <v>3498</v>
      </c>
      <c r="G2979" t="s">
        <v>3700</v>
      </c>
      <c r="H2979" t="s">
        <v>5588</v>
      </c>
      <c r="I2979" t="s">
        <v>6043</v>
      </c>
      <c r="J2979">
        <v>11233</v>
      </c>
      <c r="K2979" t="s">
        <v>6074</v>
      </c>
      <c r="L2979" t="s">
        <v>6076</v>
      </c>
      <c r="N2979" t="s">
        <v>7279</v>
      </c>
      <c r="O2979" t="s">
        <v>7311</v>
      </c>
      <c r="Q2979" t="s">
        <v>7322</v>
      </c>
      <c r="R2979" t="s">
        <v>6074</v>
      </c>
      <c r="S2979" t="s">
        <v>7324</v>
      </c>
      <c r="T2979" t="s">
        <v>7336</v>
      </c>
      <c r="U2979" t="s">
        <v>330</v>
      </c>
      <c r="V2979">
        <v>1872.98</v>
      </c>
      <c r="W2979" t="s">
        <v>7362</v>
      </c>
      <c r="X2979" t="s">
        <v>7305</v>
      </c>
      <c r="AC2979">
        <v>359</v>
      </c>
      <c r="AD2979" t="s">
        <v>12422</v>
      </c>
      <c r="AF2979">
        <v>2</v>
      </c>
      <c r="AG2979">
        <v>1</v>
      </c>
      <c r="AH2979">
        <v>0</v>
      </c>
      <c r="AI2979">
        <v>312.25</v>
      </c>
      <c r="AL2979" t="s">
        <v>12460</v>
      </c>
      <c r="AM2979">
        <v>39000</v>
      </c>
      <c r="AN2979" t="s">
        <v>12620</v>
      </c>
      <c r="AS2979">
        <v>0</v>
      </c>
      <c r="AU2979" t="s">
        <v>180</v>
      </c>
    </row>
    <row r="2980" spans="1:48">
      <c r="A2980" s="1">
        <f>HYPERLINK("https://cms.ls-nyc.org/matter/dynamic-profile/view/1898848","19-1898848")</f>
        <v>0</v>
      </c>
      <c r="B2980" t="s">
        <v>72</v>
      </c>
      <c r="C2980" t="s">
        <v>294</v>
      </c>
      <c r="E2980" t="s">
        <v>767</v>
      </c>
      <c r="F2980" t="s">
        <v>3499</v>
      </c>
      <c r="G2980" t="s">
        <v>3700</v>
      </c>
      <c r="H2980" t="s">
        <v>5975</v>
      </c>
      <c r="I2980" t="s">
        <v>6043</v>
      </c>
      <c r="J2980">
        <v>11233</v>
      </c>
      <c r="K2980" t="s">
        <v>6074</v>
      </c>
      <c r="L2980" t="s">
        <v>6076</v>
      </c>
      <c r="N2980" t="s">
        <v>7279</v>
      </c>
      <c r="O2980" t="s">
        <v>7311</v>
      </c>
      <c r="Q2980" t="s">
        <v>7322</v>
      </c>
      <c r="R2980" t="s">
        <v>6074</v>
      </c>
      <c r="S2980" t="s">
        <v>7324</v>
      </c>
      <c r="T2980" t="s">
        <v>7336</v>
      </c>
      <c r="U2980" t="s">
        <v>330</v>
      </c>
      <c r="V2980">
        <v>628.51</v>
      </c>
      <c r="W2980" t="s">
        <v>7362</v>
      </c>
      <c r="X2980" t="s">
        <v>7305</v>
      </c>
      <c r="Z2980" t="s">
        <v>8706</v>
      </c>
      <c r="AC2980">
        <v>359</v>
      </c>
      <c r="AD2980" t="s">
        <v>12422</v>
      </c>
      <c r="AF2980">
        <v>3</v>
      </c>
      <c r="AG2980">
        <v>1</v>
      </c>
      <c r="AH2980">
        <v>0</v>
      </c>
      <c r="AI2980">
        <v>312.25</v>
      </c>
      <c r="AL2980" t="s">
        <v>12460</v>
      </c>
      <c r="AM2980">
        <v>39000</v>
      </c>
      <c r="AN2980" t="s">
        <v>12488</v>
      </c>
      <c r="AS2980">
        <v>0</v>
      </c>
      <c r="AU2980" t="s">
        <v>180</v>
      </c>
    </row>
    <row r="2981" spans="1:48">
      <c r="A2981" s="1">
        <f>HYPERLINK("https://cms.ls-nyc.org/matter/dynamic-profile/view/1898851","19-1898851")</f>
        <v>0</v>
      </c>
      <c r="B2981" t="s">
        <v>72</v>
      </c>
      <c r="C2981" t="s">
        <v>294</v>
      </c>
      <c r="E2981" t="s">
        <v>767</v>
      </c>
      <c r="F2981" t="s">
        <v>3499</v>
      </c>
      <c r="G2981" t="s">
        <v>3700</v>
      </c>
      <c r="H2981" t="s">
        <v>5975</v>
      </c>
      <c r="I2981" t="s">
        <v>6043</v>
      </c>
      <c r="J2981">
        <v>11233</v>
      </c>
      <c r="K2981" t="s">
        <v>6074</v>
      </c>
      <c r="L2981" t="s">
        <v>6076</v>
      </c>
      <c r="N2981" t="s">
        <v>7275</v>
      </c>
      <c r="O2981" t="s">
        <v>7307</v>
      </c>
      <c r="Q2981" t="s">
        <v>7322</v>
      </c>
      <c r="R2981" t="s">
        <v>6074</v>
      </c>
      <c r="S2981" t="s">
        <v>7324</v>
      </c>
      <c r="T2981" t="s">
        <v>7336</v>
      </c>
      <c r="U2981" t="s">
        <v>287</v>
      </c>
      <c r="V2981">
        <v>628.51</v>
      </c>
      <c r="W2981" t="s">
        <v>7362</v>
      </c>
      <c r="X2981" t="s">
        <v>7305</v>
      </c>
      <c r="Z2981" t="s">
        <v>8706</v>
      </c>
      <c r="AC2981">
        <v>359</v>
      </c>
      <c r="AD2981" t="s">
        <v>12422</v>
      </c>
      <c r="AF2981">
        <v>3</v>
      </c>
      <c r="AG2981">
        <v>1</v>
      </c>
      <c r="AH2981">
        <v>0</v>
      </c>
      <c r="AI2981">
        <v>312.25</v>
      </c>
      <c r="AL2981" t="s">
        <v>12460</v>
      </c>
      <c r="AM2981">
        <v>39000</v>
      </c>
      <c r="AN2981" t="s">
        <v>12769</v>
      </c>
      <c r="AS2981">
        <v>0</v>
      </c>
      <c r="AU2981" t="s">
        <v>180</v>
      </c>
    </row>
    <row r="2982" spans="1:48">
      <c r="A2982" s="1">
        <f>HYPERLINK("https://cms.ls-nyc.org/matter/dynamic-profile/view/1892648","19-1892648")</f>
        <v>0</v>
      </c>
      <c r="B2982" t="s">
        <v>133</v>
      </c>
      <c r="C2982" t="s">
        <v>395</v>
      </c>
      <c r="D2982" t="s">
        <v>356</v>
      </c>
      <c r="E2982" t="s">
        <v>723</v>
      </c>
      <c r="F2982" t="s">
        <v>3500</v>
      </c>
      <c r="G2982" t="s">
        <v>5272</v>
      </c>
      <c r="H2982" t="s">
        <v>5976</v>
      </c>
      <c r="I2982" t="s">
        <v>6049</v>
      </c>
      <c r="J2982">
        <v>10040</v>
      </c>
      <c r="K2982" t="s">
        <v>6074</v>
      </c>
      <c r="L2982" t="s">
        <v>6074</v>
      </c>
      <c r="M2982" t="s">
        <v>7229</v>
      </c>
      <c r="N2982" t="s">
        <v>7276</v>
      </c>
      <c r="O2982" t="s">
        <v>7307</v>
      </c>
      <c r="P2982" t="s">
        <v>7315</v>
      </c>
      <c r="Q2982" t="s">
        <v>7322</v>
      </c>
      <c r="R2982" t="s">
        <v>6076</v>
      </c>
      <c r="S2982" t="s">
        <v>7324</v>
      </c>
      <c r="U2982" t="s">
        <v>395</v>
      </c>
      <c r="V2982">
        <v>802.88</v>
      </c>
      <c r="W2982" t="s">
        <v>7365</v>
      </c>
      <c r="X2982" t="s">
        <v>7367</v>
      </c>
      <c r="Y2982" t="s">
        <v>7390</v>
      </c>
      <c r="Z2982" t="s">
        <v>9622</v>
      </c>
      <c r="AC2982">
        <v>68</v>
      </c>
      <c r="AD2982" t="s">
        <v>12422</v>
      </c>
      <c r="AE2982" t="s">
        <v>6110</v>
      </c>
      <c r="AF2982">
        <v>30</v>
      </c>
      <c r="AG2982">
        <v>1</v>
      </c>
      <c r="AH2982">
        <v>0</v>
      </c>
      <c r="AI2982">
        <v>312.25</v>
      </c>
      <c r="AL2982" t="s">
        <v>12461</v>
      </c>
      <c r="AM2982">
        <v>39000</v>
      </c>
      <c r="AS2982">
        <v>1.5</v>
      </c>
      <c r="AT2982" t="s">
        <v>356</v>
      </c>
      <c r="AU2982" t="s">
        <v>13106</v>
      </c>
    </row>
    <row r="2983" spans="1:48">
      <c r="A2983" s="1">
        <f>HYPERLINK("https://cms.ls-nyc.org/matter/dynamic-profile/view/1881317","18-1881317")</f>
        <v>0</v>
      </c>
      <c r="B2983" t="s">
        <v>230</v>
      </c>
      <c r="C2983" t="s">
        <v>414</v>
      </c>
      <c r="D2983" t="s">
        <v>286</v>
      </c>
      <c r="E2983" t="s">
        <v>933</v>
      </c>
      <c r="F2983" t="s">
        <v>3501</v>
      </c>
      <c r="G2983" t="s">
        <v>5273</v>
      </c>
      <c r="H2983">
        <v>47</v>
      </c>
      <c r="I2983" t="s">
        <v>6049</v>
      </c>
      <c r="J2983">
        <v>10027</v>
      </c>
      <c r="K2983" t="s">
        <v>6074</v>
      </c>
      <c r="L2983" t="s">
        <v>6074</v>
      </c>
      <c r="M2983" t="s">
        <v>7230</v>
      </c>
      <c r="N2983" t="s">
        <v>7276</v>
      </c>
      <c r="O2983" t="s">
        <v>7306</v>
      </c>
      <c r="P2983" t="s">
        <v>7314</v>
      </c>
      <c r="Q2983" t="s">
        <v>7322</v>
      </c>
      <c r="R2983" t="s">
        <v>6076</v>
      </c>
      <c r="S2983" t="s">
        <v>7324</v>
      </c>
      <c r="T2983" t="s">
        <v>7336</v>
      </c>
      <c r="U2983" t="s">
        <v>396</v>
      </c>
      <c r="V2983">
        <v>700</v>
      </c>
      <c r="W2983" t="s">
        <v>7365</v>
      </c>
      <c r="X2983" t="s">
        <v>7366</v>
      </c>
      <c r="Y2983" t="s">
        <v>7386</v>
      </c>
      <c r="Z2983" t="s">
        <v>8572</v>
      </c>
      <c r="AB2983" t="s">
        <v>12251</v>
      </c>
      <c r="AC2983">
        <v>0</v>
      </c>
      <c r="AD2983" t="s">
        <v>6322</v>
      </c>
      <c r="AE2983" t="s">
        <v>6110</v>
      </c>
      <c r="AF2983">
        <v>3</v>
      </c>
      <c r="AG2983">
        <v>1</v>
      </c>
      <c r="AH2983">
        <v>0</v>
      </c>
      <c r="AI2983">
        <v>313.01</v>
      </c>
      <c r="AL2983" t="s">
        <v>12460</v>
      </c>
      <c r="AM2983">
        <v>38000</v>
      </c>
      <c r="AS2983">
        <v>1.5</v>
      </c>
      <c r="AT2983" t="s">
        <v>431</v>
      </c>
      <c r="AU2983" t="s">
        <v>13111</v>
      </c>
    </row>
    <row r="2984" spans="1:48">
      <c r="A2984" s="1">
        <f>HYPERLINK("https://cms.ls-nyc.org/matter/dynamic-profile/view/1897721","19-1897721")</f>
        <v>0</v>
      </c>
      <c r="B2984" t="s">
        <v>126</v>
      </c>
      <c r="C2984" t="s">
        <v>263</v>
      </c>
      <c r="E2984" t="s">
        <v>1935</v>
      </c>
      <c r="F2984" t="s">
        <v>3294</v>
      </c>
      <c r="G2984" t="s">
        <v>5274</v>
      </c>
      <c r="H2984" t="s">
        <v>5438</v>
      </c>
      <c r="I2984" t="s">
        <v>6049</v>
      </c>
      <c r="J2984">
        <v>10035</v>
      </c>
      <c r="K2984" t="s">
        <v>6074</v>
      </c>
      <c r="L2984" t="s">
        <v>6074</v>
      </c>
      <c r="N2984" t="s">
        <v>6104</v>
      </c>
      <c r="O2984" t="s">
        <v>7307</v>
      </c>
      <c r="Q2984" t="s">
        <v>7322</v>
      </c>
      <c r="R2984" t="s">
        <v>6074</v>
      </c>
      <c r="S2984" t="s">
        <v>7324</v>
      </c>
      <c r="T2984" t="s">
        <v>7336</v>
      </c>
      <c r="U2984" t="s">
        <v>279</v>
      </c>
      <c r="V2984">
        <v>1065</v>
      </c>
      <c r="W2984" t="s">
        <v>7365</v>
      </c>
      <c r="X2984" t="s">
        <v>7378</v>
      </c>
      <c r="Z2984" t="s">
        <v>9623</v>
      </c>
      <c r="AC2984">
        <v>60</v>
      </c>
      <c r="AD2984" t="s">
        <v>12422</v>
      </c>
      <c r="AE2984" t="s">
        <v>6110</v>
      </c>
      <c r="AF2984">
        <v>14</v>
      </c>
      <c r="AG2984">
        <v>2</v>
      </c>
      <c r="AH2984">
        <v>0</v>
      </c>
      <c r="AI2984">
        <v>313.42</v>
      </c>
      <c r="AL2984" t="s">
        <v>12460</v>
      </c>
      <c r="AM2984">
        <v>53000</v>
      </c>
      <c r="AS2984">
        <v>0</v>
      </c>
      <c r="AU2984" t="s">
        <v>13107</v>
      </c>
    </row>
    <row r="2985" spans="1:48">
      <c r="A2985" s="1">
        <f>HYPERLINK("https://cms.ls-nyc.org/matter/dynamic-profile/view/1880130","18-1880130")</f>
        <v>0</v>
      </c>
      <c r="B2985" t="s">
        <v>125</v>
      </c>
      <c r="C2985" t="s">
        <v>245</v>
      </c>
      <c r="D2985" t="s">
        <v>316</v>
      </c>
      <c r="E2985" t="s">
        <v>1142</v>
      </c>
      <c r="F2985" t="s">
        <v>2873</v>
      </c>
      <c r="G2985" t="s">
        <v>5275</v>
      </c>
      <c r="H2985" t="s">
        <v>5476</v>
      </c>
      <c r="I2985" t="s">
        <v>6047</v>
      </c>
      <c r="J2985">
        <v>10463</v>
      </c>
      <c r="K2985" t="s">
        <v>6074</v>
      </c>
      <c r="L2985" t="s">
        <v>6074</v>
      </c>
      <c r="M2985" t="s">
        <v>7231</v>
      </c>
      <c r="N2985" t="s">
        <v>7276</v>
      </c>
      <c r="O2985" t="s">
        <v>7308</v>
      </c>
      <c r="P2985" t="s">
        <v>7314</v>
      </c>
      <c r="Q2985" t="s">
        <v>7322</v>
      </c>
      <c r="R2985" t="s">
        <v>6076</v>
      </c>
      <c r="S2985" t="s">
        <v>7324</v>
      </c>
      <c r="U2985" t="s">
        <v>245</v>
      </c>
      <c r="V2985">
        <v>1273</v>
      </c>
      <c r="W2985" t="s">
        <v>7365</v>
      </c>
      <c r="X2985" t="s">
        <v>7367</v>
      </c>
      <c r="Y2985" t="s">
        <v>7386</v>
      </c>
      <c r="Z2985" t="s">
        <v>9624</v>
      </c>
      <c r="AB2985" t="s">
        <v>12252</v>
      </c>
      <c r="AC2985">
        <v>318</v>
      </c>
      <c r="AD2985" t="s">
        <v>12422</v>
      </c>
      <c r="AE2985" t="s">
        <v>6110</v>
      </c>
      <c r="AF2985">
        <v>43</v>
      </c>
      <c r="AG2985">
        <v>1</v>
      </c>
      <c r="AH2985">
        <v>0</v>
      </c>
      <c r="AI2985">
        <v>313.54</v>
      </c>
      <c r="AL2985" t="s">
        <v>12460</v>
      </c>
      <c r="AM2985">
        <v>38064</v>
      </c>
      <c r="AS2985">
        <v>13.1</v>
      </c>
      <c r="AT2985" t="s">
        <v>363</v>
      </c>
      <c r="AU2985" t="s">
        <v>13106</v>
      </c>
      <c r="AV2985" t="s">
        <v>13145</v>
      </c>
    </row>
    <row r="2986" spans="1:48">
      <c r="A2986" s="1">
        <f>HYPERLINK("https://cms.ls-nyc.org/matter/dynamic-profile/view/1880432","18-1880432")</f>
        <v>0</v>
      </c>
      <c r="B2986" t="s">
        <v>120</v>
      </c>
      <c r="C2986" t="s">
        <v>307</v>
      </c>
      <c r="E2986" t="s">
        <v>1300</v>
      </c>
      <c r="F2986" t="s">
        <v>3502</v>
      </c>
      <c r="G2986" t="s">
        <v>3830</v>
      </c>
      <c r="H2986" t="s">
        <v>5526</v>
      </c>
      <c r="I2986" t="s">
        <v>6048</v>
      </c>
      <c r="J2986">
        <v>10301</v>
      </c>
      <c r="K2986" t="s">
        <v>6074</v>
      </c>
      <c r="L2986" t="s">
        <v>6074</v>
      </c>
      <c r="M2986" t="s">
        <v>7232</v>
      </c>
      <c r="N2986" t="s">
        <v>7276</v>
      </c>
      <c r="O2986" t="s">
        <v>7308</v>
      </c>
      <c r="Q2986" t="s">
        <v>7322</v>
      </c>
      <c r="R2986" t="s">
        <v>6076</v>
      </c>
      <c r="S2986" t="s">
        <v>7324</v>
      </c>
      <c r="T2986" t="s">
        <v>7336</v>
      </c>
      <c r="U2986" t="s">
        <v>307</v>
      </c>
      <c r="V2986">
        <v>1215</v>
      </c>
      <c r="W2986" t="s">
        <v>7364</v>
      </c>
      <c r="X2986" t="s">
        <v>7368</v>
      </c>
      <c r="Z2986" t="s">
        <v>9625</v>
      </c>
      <c r="AB2986" t="s">
        <v>12253</v>
      </c>
      <c r="AC2986">
        <v>122</v>
      </c>
      <c r="AD2986" t="s">
        <v>12422</v>
      </c>
      <c r="AE2986" t="s">
        <v>6110</v>
      </c>
      <c r="AF2986">
        <v>5</v>
      </c>
      <c r="AG2986">
        <v>1</v>
      </c>
      <c r="AH2986">
        <v>0</v>
      </c>
      <c r="AI2986">
        <v>313.79</v>
      </c>
      <c r="AJ2986" t="s">
        <v>329</v>
      </c>
      <c r="AK2986" t="s">
        <v>12456</v>
      </c>
      <c r="AL2986" t="s">
        <v>12460</v>
      </c>
      <c r="AM2986">
        <v>38094</v>
      </c>
      <c r="AS2986">
        <v>18.3</v>
      </c>
      <c r="AT2986" t="s">
        <v>421</v>
      </c>
      <c r="AU2986" t="s">
        <v>13103</v>
      </c>
    </row>
    <row r="2987" spans="1:48">
      <c r="A2987" s="1">
        <f>HYPERLINK("https://cms.ls-nyc.org/matter/dynamic-profile/view/1879530","18-1879530")</f>
        <v>0</v>
      </c>
      <c r="B2987" t="s">
        <v>90</v>
      </c>
      <c r="C2987" t="s">
        <v>239</v>
      </c>
      <c r="E2987" t="s">
        <v>1936</v>
      </c>
      <c r="F2987" t="s">
        <v>3503</v>
      </c>
      <c r="G2987" t="s">
        <v>4507</v>
      </c>
      <c r="H2987" t="s">
        <v>5513</v>
      </c>
      <c r="I2987" t="s">
        <v>6043</v>
      </c>
      <c r="J2987">
        <v>11216</v>
      </c>
      <c r="K2987" t="s">
        <v>6074</v>
      </c>
      <c r="L2987" t="s">
        <v>6074</v>
      </c>
      <c r="M2987" t="s">
        <v>6679</v>
      </c>
      <c r="N2987" t="s">
        <v>7282</v>
      </c>
      <c r="O2987" t="s">
        <v>7308</v>
      </c>
      <c r="Q2987" t="s">
        <v>7322</v>
      </c>
      <c r="R2987" t="s">
        <v>6074</v>
      </c>
      <c r="S2987" t="s">
        <v>7324</v>
      </c>
      <c r="T2987" t="s">
        <v>7336</v>
      </c>
      <c r="U2987" t="s">
        <v>406</v>
      </c>
      <c r="V2987">
        <v>2200</v>
      </c>
      <c r="W2987" t="s">
        <v>7362</v>
      </c>
      <c r="X2987" t="s">
        <v>7375</v>
      </c>
      <c r="Z2987" t="s">
        <v>9148</v>
      </c>
      <c r="AB2987" t="s">
        <v>12254</v>
      </c>
      <c r="AC2987">
        <v>82</v>
      </c>
      <c r="AD2987" t="s">
        <v>12422</v>
      </c>
      <c r="AE2987" t="s">
        <v>6110</v>
      </c>
      <c r="AF2987">
        <v>5</v>
      </c>
      <c r="AG2987">
        <v>2</v>
      </c>
      <c r="AH2987">
        <v>5</v>
      </c>
      <c r="AI2987">
        <v>315.29</v>
      </c>
      <c r="AJ2987" t="s">
        <v>350</v>
      </c>
      <c r="AK2987" t="s">
        <v>12456</v>
      </c>
      <c r="AL2987" t="s">
        <v>12460</v>
      </c>
      <c r="AM2987">
        <v>120000</v>
      </c>
      <c r="AN2987" t="s">
        <v>12532</v>
      </c>
      <c r="AS2987">
        <v>0</v>
      </c>
      <c r="AU2987" t="s">
        <v>218</v>
      </c>
    </row>
    <row r="2988" spans="1:48">
      <c r="A2988" s="1">
        <f>HYPERLINK("https://cms.ls-nyc.org/matter/dynamic-profile/view/1879525","18-1879525")</f>
        <v>0</v>
      </c>
      <c r="B2988" t="s">
        <v>90</v>
      </c>
      <c r="C2988" t="s">
        <v>239</v>
      </c>
      <c r="E2988" t="s">
        <v>1936</v>
      </c>
      <c r="F2988" t="s">
        <v>3503</v>
      </c>
      <c r="G2988" t="s">
        <v>4507</v>
      </c>
      <c r="H2988" t="s">
        <v>5513</v>
      </c>
      <c r="I2988" t="s">
        <v>6043</v>
      </c>
      <c r="J2988">
        <v>11216</v>
      </c>
      <c r="K2988" t="s">
        <v>6074</v>
      </c>
      <c r="L2988" t="s">
        <v>6074</v>
      </c>
      <c r="M2988" t="s">
        <v>6104</v>
      </c>
      <c r="N2988" t="s">
        <v>7275</v>
      </c>
      <c r="O2988" t="s">
        <v>7307</v>
      </c>
      <c r="Q2988" t="s">
        <v>7322</v>
      </c>
      <c r="R2988" t="s">
        <v>6074</v>
      </c>
      <c r="S2988" t="s">
        <v>7324</v>
      </c>
      <c r="U2988" t="s">
        <v>406</v>
      </c>
      <c r="V2988">
        <v>2200</v>
      </c>
      <c r="W2988" t="s">
        <v>7362</v>
      </c>
      <c r="X2988" t="s">
        <v>7375</v>
      </c>
      <c r="Z2988" t="s">
        <v>9148</v>
      </c>
      <c r="AB2988" t="s">
        <v>12254</v>
      </c>
      <c r="AC2988">
        <v>82</v>
      </c>
      <c r="AD2988" t="s">
        <v>12422</v>
      </c>
      <c r="AE2988" t="s">
        <v>6110</v>
      </c>
      <c r="AF2988">
        <v>5</v>
      </c>
      <c r="AG2988">
        <v>2</v>
      </c>
      <c r="AH2988">
        <v>5</v>
      </c>
      <c r="AI2988">
        <v>315.29</v>
      </c>
      <c r="AJ2988" t="s">
        <v>350</v>
      </c>
      <c r="AK2988" t="s">
        <v>12456</v>
      </c>
      <c r="AL2988" t="s">
        <v>12460</v>
      </c>
      <c r="AM2988">
        <v>120000</v>
      </c>
      <c r="AN2988" t="s">
        <v>12532</v>
      </c>
      <c r="AS2988">
        <v>0</v>
      </c>
      <c r="AU2988" t="s">
        <v>218</v>
      </c>
    </row>
    <row r="2989" spans="1:48">
      <c r="A2989" s="1">
        <f>HYPERLINK("https://cms.ls-nyc.org/matter/dynamic-profile/view/1892523","19-1892523")</f>
        <v>0</v>
      </c>
      <c r="B2989" t="s">
        <v>118</v>
      </c>
      <c r="C2989" t="s">
        <v>332</v>
      </c>
      <c r="E2989" t="s">
        <v>1937</v>
      </c>
      <c r="F2989" t="s">
        <v>3504</v>
      </c>
      <c r="G2989" t="s">
        <v>5276</v>
      </c>
      <c r="H2989" t="s">
        <v>5529</v>
      </c>
      <c r="I2989" t="s">
        <v>6048</v>
      </c>
      <c r="J2989">
        <v>10304</v>
      </c>
      <c r="K2989" t="s">
        <v>6075</v>
      </c>
      <c r="L2989" t="s">
        <v>6075</v>
      </c>
      <c r="M2989" t="s">
        <v>7233</v>
      </c>
      <c r="N2989" t="s">
        <v>7276</v>
      </c>
      <c r="O2989" t="s">
        <v>7308</v>
      </c>
      <c r="Q2989" t="s">
        <v>7322</v>
      </c>
      <c r="S2989" t="s">
        <v>7324</v>
      </c>
      <c r="T2989" t="s">
        <v>7339</v>
      </c>
      <c r="U2989" t="s">
        <v>7359</v>
      </c>
      <c r="V2989">
        <v>1250</v>
      </c>
      <c r="W2989" t="s">
        <v>7364</v>
      </c>
      <c r="Z2989" t="s">
        <v>9626</v>
      </c>
      <c r="AB2989" t="s">
        <v>12255</v>
      </c>
      <c r="AC2989">
        <v>0</v>
      </c>
      <c r="AD2989" t="s">
        <v>6322</v>
      </c>
      <c r="AF2989">
        <v>5</v>
      </c>
      <c r="AG2989">
        <v>1</v>
      </c>
      <c r="AH2989">
        <v>0</v>
      </c>
      <c r="AI2989">
        <v>318.88</v>
      </c>
      <c r="AL2989" t="s">
        <v>12460</v>
      </c>
      <c r="AM2989">
        <v>39828</v>
      </c>
      <c r="AS2989">
        <v>11.65</v>
      </c>
      <c r="AT2989" t="s">
        <v>382</v>
      </c>
      <c r="AU2989" t="s">
        <v>13103</v>
      </c>
    </row>
    <row r="2990" spans="1:48">
      <c r="A2990" s="1">
        <f>HYPERLINK("https://cms.ls-nyc.org/matter/dynamic-profile/view/1892641","19-1892641")</f>
        <v>0</v>
      </c>
      <c r="B2990" t="s">
        <v>72</v>
      </c>
      <c r="C2990" t="s">
        <v>395</v>
      </c>
      <c r="E2990" t="s">
        <v>975</v>
      </c>
      <c r="F2990" t="s">
        <v>2119</v>
      </c>
      <c r="G2990" t="s">
        <v>3702</v>
      </c>
      <c r="H2990" t="s">
        <v>5977</v>
      </c>
      <c r="I2990" t="s">
        <v>6043</v>
      </c>
      <c r="J2990">
        <v>11233</v>
      </c>
      <c r="K2990" t="s">
        <v>6074</v>
      </c>
      <c r="L2990" t="s">
        <v>6076</v>
      </c>
      <c r="N2990" t="s">
        <v>7279</v>
      </c>
      <c r="O2990" t="s">
        <v>7311</v>
      </c>
      <c r="Q2990" t="s">
        <v>7322</v>
      </c>
      <c r="R2990" t="s">
        <v>6074</v>
      </c>
      <c r="S2990" t="s">
        <v>7324</v>
      </c>
      <c r="T2990" t="s">
        <v>7336</v>
      </c>
      <c r="U2990" t="s">
        <v>330</v>
      </c>
      <c r="V2990">
        <v>812</v>
      </c>
      <c r="W2990" t="s">
        <v>7362</v>
      </c>
      <c r="X2990" t="s">
        <v>7305</v>
      </c>
      <c r="Z2990" t="s">
        <v>9627</v>
      </c>
      <c r="AC2990">
        <v>359</v>
      </c>
      <c r="AD2990" t="s">
        <v>12422</v>
      </c>
      <c r="AF2990">
        <v>18</v>
      </c>
      <c r="AG2990">
        <v>1</v>
      </c>
      <c r="AH2990">
        <v>0</v>
      </c>
      <c r="AI2990">
        <v>320.26</v>
      </c>
      <c r="AL2990" t="s">
        <v>12460</v>
      </c>
      <c r="AM2990">
        <v>40000</v>
      </c>
      <c r="AN2990" t="s">
        <v>12601</v>
      </c>
      <c r="AS2990">
        <v>0</v>
      </c>
      <c r="AU2990" t="s">
        <v>180</v>
      </c>
    </row>
    <row r="2991" spans="1:48">
      <c r="A2991" s="1">
        <f>HYPERLINK("https://cms.ls-nyc.org/matter/dynamic-profile/view/1897392","19-1897392")</f>
        <v>0</v>
      </c>
      <c r="B2991" t="s">
        <v>72</v>
      </c>
      <c r="C2991" t="s">
        <v>347</v>
      </c>
      <c r="E2991" t="s">
        <v>1093</v>
      </c>
      <c r="F2991" t="s">
        <v>3505</v>
      </c>
      <c r="G2991" t="s">
        <v>3701</v>
      </c>
      <c r="H2991" t="s">
        <v>5734</v>
      </c>
      <c r="I2991" t="s">
        <v>6043</v>
      </c>
      <c r="J2991">
        <v>11233</v>
      </c>
      <c r="K2991" t="s">
        <v>6074</v>
      </c>
      <c r="L2991" t="s">
        <v>6076</v>
      </c>
      <c r="N2991" t="s">
        <v>7279</v>
      </c>
      <c r="O2991" t="s">
        <v>7309</v>
      </c>
      <c r="Q2991" t="s">
        <v>7322</v>
      </c>
      <c r="R2991" t="s">
        <v>6074</v>
      </c>
      <c r="S2991" t="s">
        <v>7324</v>
      </c>
      <c r="T2991" t="s">
        <v>7336</v>
      </c>
      <c r="U2991" t="s">
        <v>330</v>
      </c>
      <c r="V2991">
        <v>1162</v>
      </c>
      <c r="W2991" t="s">
        <v>7362</v>
      </c>
      <c r="X2991" t="s">
        <v>7372</v>
      </c>
      <c r="Z2991" t="s">
        <v>9628</v>
      </c>
      <c r="AC2991">
        <v>359</v>
      </c>
      <c r="AD2991" t="s">
        <v>12422</v>
      </c>
      <c r="AF2991">
        <v>30</v>
      </c>
      <c r="AG2991">
        <v>1</v>
      </c>
      <c r="AH2991">
        <v>0</v>
      </c>
      <c r="AI2991">
        <v>320.26</v>
      </c>
      <c r="AL2991" t="s">
        <v>12460</v>
      </c>
      <c r="AM2991">
        <v>40000</v>
      </c>
      <c r="AN2991" t="s">
        <v>12770</v>
      </c>
      <c r="AS2991">
        <v>0</v>
      </c>
      <c r="AU2991" t="s">
        <v>218</v>
      </c>
    </row>
    <row r="2992" spans="1:48">
      <c r="A2992" s="1">
        <f>HYPERLINK("https://cms.ls-nyc.org/matter/dynamic-profile/view/1891444","19-1891444")</f>
        <v>0</v>
      </c>
      <c r="B2992" t="s">
        <v>72</v>
      </c>
      <c r="C2992" t="s">
        <v>278</v>
      </c>
      <c r="E2992" t="s">
        <v>1938</v>
      </c>
      <c r="F2992" t="s">
        <v>2112</v>
      </c>
      <c r="G2992" t="s">
        <v>3701</v>
      </c>
      <c r="H2992" t="s">
        <v>5534</v>
      </c>
      <c r="I2992" t="s">
        <v>6043</v>
      </c>
      <c r="J2992">
        <v>11233</v>
      </c>
      <c r="K2992" t="s">
        <v>6074</v>
      </c>
      <c r="L2992" t="s">
        <v>6074</v>
      </c>
      <c r="N2992" t="s">
        <v>7275</v>
      </c>
      <c r="O2992" t="s">
        <v>7307</v>
      </c>
      <c r="Q2992" t="s">
        <v>7322</v>
      </c>
      <c r="R2992" t="s">
        <v>6074</v>
      </c>
      <c r="S2992" t="s">
        <v>7324</v>
      </c>
      <c r="T2992" t="s">
        <v>7336</v>
      </c>
      <c r="U2992" t="s">
        <v>287</v>
      </c>
      <c r="V2992">
        <v>628</v>
      </c>
      <c r="W2992" t="s">
        <v>7362</v>
      </c>
      <c r="X2992" t="s">
        <v>7375</v>
      </c>
      <c r="Z2992" t="s">
        <v>9629</v>
      </c>
      <c r="AB2992" t="s">
        <v>12256</v>
      </c>
      <c r="AC2992">
        <v>764</v>
      </c>
      <c r="AD2992" t="s">
        <v>12422</v>
      </c>
      <c r="AE2992" t="s">
        <v>6110</v>
      </c>
      <c r="AF2992">
        <v>18</v>
      </c>
      <c r="AG2992">
        <v>1</v>
      </c>
      <c r="AH2992">
        <v>0</v>
      </c>
      <c r="AI2992">
        <v>320.26</v>
      </c>
      <c r="AJ2992" t="s">
        <v>459</v>
      </c>
      <c r="AK2992" t="s">
        <v>12456</v>
      </c>
      <c r="AL2992" t="s">
        <v>12460</v>
      </c>
      <c r="AM2992">
        <v>40000</v>
      </c>
      <c r="AN2992" t="s">
        <v>12771</v>
      </c>
      <c r="AS2992">
        <v>0</v>
      </c>
      <c r="AU2992" t="s">
        <v>180</v>
      </c>
    </row>
    <row r="2993" spans="1:48">
      <c r="A2993" s="1">
        <f>HYPERLINK("https://cms.ls-nyc.org/matter/dynamic-profile/view/1891556","19-1891556")</f>
        <v>0</v>
      </c>
      <c r="B2993" t="s">
        <v>72</v>
      </c>
      <c r="C2993" t="s">
        <v>278</v>
      </c>
      <c r="E2993" t="s">
        <v>828</v>
      </c>
      <c r="F2993" t="s">
        <v>3506</v>
      </c>
      <c r="G2993" t="s">
        <v>3700</v>
      </c>
      <c r="H2993" t="s">
        <v>5786</v>
      </c>
      <c r="I2993" t="s">
        <v>6043</v>
      </c>
      <c r="J2993">
        <v>11233</v>
      </c>
      <c r="K2993" t="s">
        <v>6074</v>
      </c>
      <c r="L2993" t="s">
        <v>6076</v>
      </c>
      <c r="M2993" t="s">
        <v>6101</v>
      </c>
      <c r="N2993" t="s">
        <v>7275</v>
      </c>
      <c r="O2993" t="s">
        <v>7307</v>
      </c>
      <c r="Q2993" t="s">
        <v>7322</v>
      </c>
      <c r="R2993" t="s">
        <v>6074</v>
      </c>
      <c r="S2993" t="s">
        <v>7324</v>
      </c>
      <c r="T2993" t="s">
        <v>7336</v>
      </c>
      <c r="U2993" t="s">
        <v>287</v>
      </c>
      <c r="V2993">
        <v>1000</v>
      </c>
      <c r="W2993" t="s">
        <v>7362</v>
      </c>
      <c r="Z2993" t="s">
        <v>9630</v>
      </c>
      <c r="AC2993">
        <v>359</v>
      </c>
      <c r="AD2993" t="s">
        <v>12422</v>
      </c>
      <c r="AF2993">
        <v>50</v>
      </c>
      <c r="AG2993">
        <v>1</v>
      </c>
      <c r="AH2993">
        <v>0</v>
      </c>
      <c r="AI2993">
        <v>320.26</v>
      </c>
      <c r="AL2993" t="s">
        <v>12460</v>
      </c>
      <c r="AM2993">
        <v>40000</v>
      </c>
      <c r="AN2993" t="s">
        <v>12772</v>
      </c>
      <c r="AS2993">
        <v>0</v>
      </c>
      <c r="AU2993" t="s">
        <v>218</v>
      </c>
    </row>
    <row r="2994" spans="1:48">
      <c r="A2994" s="1">
        <f>HYPERLINK("https://cms.ls-nyc.org/matter/dynamic-profile/view/1891802","19-1891802")</f>
        <v>0</v>
      </c>
      <c r="B2994" t="s">
        <v>72</v>
      </c>
      <c r="C2994" t="s">
        <v>318</v>
      </c>
      <c r="D2994" t="s">
        <v>329</v>
      </c>
      <c r="E2994" t="s">
        <v>828</v>
      </c>
      <c r="F2994" t="s">
        <v>3506</v>
      </c>
      <c r="G2994" t="s">
        <v>3700</v>
      </c>
      <c r="H2994" t="s">
        <v>5786</v>
      </c>
      <c r="I2994" t="s">
        <v>6043</v>
      </c>
      <c r="J2994">
        <v>11233</v>
      </c>
      <c r="K2994" t="s">
        <v>6074</v>
      </c>
      <c r="L2994" t="s">
        <v>6074</v>
      </c>
      <c r="N2994" t="s">
        <v>7275</v>
      </c>
      <c r="O2994" t="s">
        <v>7309</v>
      </c>
      <c r="P2994" t="s">
        <v>7319</v>
      </c>
      <c r="Q2994" t="s">
        <v>7322</v>
      </c>
      <c r="R2994" t="s">
        <v>6074</v>
      </c>
      <c r="S2994" t="s">
        <v>7324</v>
      </c>
      <c r="T2994" t="s">
        <v>7336</v>
      </c>
      <c r="U2994" t="s">
        <v>287</v>
      </c>
      <c r="V2994">
        <v>0</v>
      </c>
      <c r="W2994" t="s">
        <v>7362</v>
      </c>
      <c r="Y2994" t="s">
        <v>7398</v>
      </c>
      <c r="AA2994" t="s">
        <v>6110</v>
      </c>
      <c r="AC2994">
        <v>359</v>
      </c>
      <c r="AD2994" t="s">
        <v>12422</v>
      </c>
      <c r="AE2994" t="s">
        <v>6110</v>
      </c>
      <c r="AF2994">
        <v>0</v>
      </c>
      <c r="AG2994">
        <v>1</v>
      </c>
      <c r="AH2994">
        <v>0</v>
      </c>
      <c r="AI2994">
        <v>320.26</v>
      </c>
      <c r="AL2994" t="s">
        <v>12460</v>
      </c>
      <c r="AM2994">
        <v>40000</v>
      </c>
      <c r="AS2994">
        <v>0.25</v>
      </c>
      <c r="AT2994" t="s">
        <v>329</v>
      </c>
      <c r="AU2994" t="s">
        <v>218</v>
      </c>
    </row>
    <row r="2995" spans="1:48">
      <c r="A2995" s="1">
        <f>HYPERLINK("https://cms.ls-nyc.org/matter/dynamic-profile/view/1892643","19-1892643")</f>
        <v>0</v>
      </c>
      <c r="B2995" t="s">
        <v>72</v>
      </c>
      <c r="C2995" t="s">
        <v>395</v>
      </c>
      <c r="E2995" t="s">
        <v>975</v>
      </c>
      <c r="F2995" t="s">
        <v>2119</v>
      </c>
      <c r="G2995" t="s">
        <v>3702</v>
      </c>
      <c r="H2995" t="s">
        <v>5977</v>
      </c>
      <c r="I2995" t="s">
        <v>6043</v>
      </c>
      <c r="J2995">
        <v>11233</v>
      </c>
      <c r="K2995" t="s">
        <v>6074</v>
      </c>
      <c r="L2995" t="s">
        <v>6076</v>
      </c>
      <c r="N2995" t="s">
        <v>7275</v>
      </c>
      <c r="O2995" t="s">
        <v>7307</v>
      </c>
      <c r="Q2995" t="s">
        <v>7322</v>
      </c>
      <c r="R2995" t="s">
        <v>6074</v>
      </c>
      <c r="S2995" t="s">
        <v>7324</v>
      </c>
      <c r="T2995" t="s">
        <v>7336</v>
      </c>
      <c r="U2995" t="s">
        <v>287</v>
      </c>
      <c r="V2995">
        <v>812</v>
      </c>
      <c r="W2995" t="s">
        <v>7362</v>
      </c>
      <c r="X2995" t="s">
        <v>7305</v>
      </c>
      <c r="Z2995" t="s">
        <v>9627</v>
      </c>
      <c r="AC2995">
        <v>359</v>
      </c>
      <c r="AD2995" t="s">
        <v>12422</v>
      </c>
      <c r="AF2995">
        <v>18</v>
      </c>
      <c r="AG2995">
        <v>1</v>
      </c>
      <c r="AH2995">
        <v>0</v>
      </c>
      <c r="AI2995">
        <v>320.26</v>
      </c>
      <c r="AL2995" t="s">
        <v>12460</v>
      </c>
      <c r="AM2995">
        <v>40000</v>
      </c>
      <c r="AN2995" t="s">
        <v>12773</v>
      </c>
      <c r="AS2995">
        <v>0</v>
      </c>
      <c r="AU2995" t="s">
        <v>180</v>
      </c>
    </row>
    <row r="2996" spans="1:48">
      <c r="A2996" s="1">
        <f>HYPERLINK("https://cms.ls-nyc.org/matter/dynamic-profile/view/1897393","19-1897393")</f>
        <v>0</v>
      </c>
      <c r="B2996" t="s">
        <v>72</v>
      </c>
      <c r="C2996" t="s">
        <v>347</v>
      </c>
      <c r="E2996" t="s">
        <v>1093</v>
      </c>
      <c r="F2996" t="s">
        <v>3505</v>
      </c>
      <c r="G2996" t="s">
        <v>3701</v>
      </c>
      <c r="H2996" t="s">
        <v>5734</v>
      </c>
      <c r="I2996" t="s">
        <v>6043</v>
      </c>
      <c r="J2996">
        <v>11233</v>
      </c>
      <c r="K2996" t="s">
        <v>6074</v>
      </c>
      <c r="L2996" t="s">
        <v>6076</v>
      </c>
      <c r="N2996" t="s">
        <v>7275</v>
      </c>
      <c r="O2996" t="s">
        <v>7307</v>
      </c>
      <c r="Q2996" t="s">
        <v>7322</v>
      </c>
      <c r="R2996" t="s">
        <v>6074</v>
      </c>
      <c r="S2996" t="s">
        <v>7324</v>
      </c>
      <c r="T2996" t="s">
        <v>7336</v>
      </c>
      <c r="U2996" t="s">
        <v>287</v>
      </c>
      <c r="V2996">
        <v>1162</v>
      </c>
      <c r="W2996" t="s">
        <v>7362</v>
      </c>
      <c r="X2996" t="s">
        <v>7372</v>
      </c>
      <c r="Z2996" t="s">
        <v>9628</v>
      </c>
      <c r="AC2996">
        <v>359</v>
      </c>
      <c r="AD2996" t="s">
        <v>12422</v>
      </c>
      <c r="AF2996">
        <v>30</v>
      </c>
      <c r="AG2996">
        <v>1</v>
      </c>
      <c r="AH2996">
        <v>0</v>
      </c>
      <c r="AI2996">
        <v>320.26</v>
      </c>
      <c r="AL2996" t="s">
        <v>12460</v>
      </c>
      <c r="AM2996">
        <v>40000</v>
      </c>
      <c r="AN2996" t="s">
        <v>12490</v>
      </c>
      <c r="AS2996">
        <v>0</v>
      </c>
      <c r="AU2996" t="s">
        <v>218</v>
      </c>
    </row>
    <row r="2997" spans="1:48">
      <c r="A2997" s="1">
        <f>HYPERLINK("https://cms.ls-nyc.org/matter/dynamic-profile/view/1891367","19-1891367")</f>
        <v>0</v>
      </c>
      <c r="B2997" t="s">
        <v>83</v>
      </c>
      <c r="C2997" t="s">
        <v>318</v>
      </c>
      <c r="E2997" t="s">
        <v>1002</v>
      </c>
      <c r="F2997" t="s">
        <v>3507</v>
      </c>
      <c r="G2997" t="s">
        <v>3730</v>
      </c>
      <c r="H2997" t="s">
        <v>5978</v>
      </c>
      <c r="I2997" t="s">
        <v>6043</v>
      </c>
      <c r="J2997">
        <v>11225</v>
      </c>
      <c r="K2997" t="s">
        <v>6074</v>
      </c>
      <c r="L2997" t="s">
        <v>6074</v>
      </c>
      <c r="M2997" t="s">
        <v>7234</v>
      </c>
      <c r="N2997" t="s">
        <v>7279</v>
      </c>
      <c r="O2997" t="s">
        <v>7311</v>
      </c>
      <c r="Q2997" t="s">
        <v>7322</v>
      </c>
      <c r="R2997" t="s">
        <v>6074</v>
      </c>
      <c r="S2997" t="s">
        <v>7324</v>
      </c>
      <c r="U2997" t="s">
        <v>420</v>
      </c>
      <c r="V2997">
        <v>856</v>
      </c>
      <c r="W2997" t="s">
        <v>7362</v>
      </c>
      <c r="X2997" t="s">
        <v>7376</v>
      </c>
      <c r="Z2997" t="s">
        <v>9631</v>
      </c>
      <c r="AB2997" t="s">
        <v>12257</v>
      </c>
      <c r="AC2997">
        <v>89</v>
      </c>
      <c r="AD2997" t="s">
        <v>12422</v>
      </c>
      <c r="AF2997">
        <v>16</v>
      </c>
      <c r="AG2997">
        <v>1</v>
      </c>
      <c r="AH2997">
        <v>0</v>
      </c>
      <c r="AI2997">
        <v>320.26</v>
      </c>
      <c r="AL2997" t="s">
        <v>12460</v>
      </c>
      <c r="AM2997">
        <v>40000</v>
      </c>
      <c r="AS2997">
        <v>1.3</v>
      </c>
      <c r="AT2997" t="s">
        <v>423</v>
      </c>
      <c r="AU2997" t="s">
        <v>88</v>
      </c>
    </row>
    <row r="2998" spans="1:48">
      <c r="A2998" s="1">
        <f>HYPERLINK("https://cms.ls-nyc.org/matter/dynamic-profile/view/1892931","19-1892931")</f>
        <v>0</v>
      </c>
      <c r="B2998" t="s">
        <v>83</v>
      </c>
      <c r="C2998" t="s">
        <v>356</v>
      </c>
      <c r="E2998" t="s">
        <v>1002</v>
      </c>
      <c r="F2998" t="s">
        <v>3507</v>
      </c>
      <c r="G2998" t="s">
        <v>3730</v>
      </c>
      <c r="H2998" t="s">
        <v>5978</v>
      </c>
      <c r="I2998" t="s">
        <v>6043</v>
      </c>
      <c r="J2998">
        <v>11225</v>
      </c>
      <c r="K2998" t="s">
        <v>6074</v>
      </c>
      <c r="L2998" t="s">
        <v>6074</v>
      </c>
      <c r="M2998" t="s">
        <v>7235</v>
      </c>
      <c r="N2998" t="s">
        <v>7279</v>
      </c>
      <c r="O2998" t="s">
        <v>7311</v>
      </c>
      <c r="Q2998" t="s">
        <v>7322</v>
      </c>
      <c r="R2998" t="s">
        <v>6074</v>
      </c>
      <c r="S2998" t="s">
        <v>7324</v>
      </c>
      <c r="U2998" t="s">
        <v>420</v>
      </c>
      <c r="V2998">
        <v>0</v>
      </c>
      <c r="W2998" t="s">
        <v>7362</v>
      </c>
      <c r="X2998" t="s">
        <v>7376</v>
      </c>
      <c r="Z2998" t="s">
        <v>9631</v>
      </c>
      <c r="AB2998" t="s">
        <v>12257</v>
      </c>
      <c r="AC2998">
        <v>86</v>
      </c>
      <c r="AD2998" t="s">
        <v>12422</v>
      </c>
      <c r="AF2998">
        <v>16</v>
      </c>
      <c r="AG2998">
        <v>1</v>
      </c>
      <c r="AH2998">
        <v>0</v>
      </c>
      <c r="AI2998">
        <v>320.26</v>
      </c>
      <c r="AL2998" t="s">
        <v>12460</v>
      </c>
      <c r="AM2998">
        <v>40000</v>
      </c>
      <c r="AS2998">
        <v>3.7</v>
      </c>
      <c r="AT2998" t="s">
        <v>460</v>
      </c>
      <c r="AU2998" t="s">
        <v>88</v>
      </c>
    </row>
    <row r="2999" spans="1:48">
      <c r="A2999" s="1">
        <f>HYPERLINK("https://cms.ls-nyc.org/matter/dynamic-profile/view/1891037","19-1891037")</f>
        <v>0</v>
      </c>
      <c r="B2999" t="s">
        <v>109</v>
      </c>
      <c r="C2999" t="s">
        <v>393</v>
      </c>
      <c r="E2999" t="s">
        <v>1939</v>
      </c>
      <c r="F2999" t="s">
        <v>2175</v>
      </c>
      <c r="G2999" t="s">
        <v>5277</v>
      </c>
      <c r="H2999" t="s">
        <v>5490</v>
      </c>
      <c r="I2999" t="s">
        <v>6047</v>
      </c>
      <c r="J2999">
        <v>10461</v>
      </c>
      <c r="K2999" t="s">
        <v>6074</v>
      </c>
      <c r="L2999" t="s">
        <v>6074</v>
      </c>
      <c r="N2999" t="s">
        <v>7279</v>
      </c>
      <c r="O2999" t="s">
        <v>7307</v>
      </c>
      <c r="Q2999" t="s">
        <v>7322</v>
      </c>
      <c r="R2999" t="s">
        <v>6076</v>
      </c>
      <c r="S2999" t="s">
        <v>7324</v>
      </c>
      <c r="U2999" t="s">
        <v>257</v>
      </c>
      <c r="V2999">
        <v>1265</v>
      </c>
      <c r="W2999" t="s">
        <v>7363</v>
      </c>
      <c r="X2999" t="s">
        <v>7376</v>
      </c>
      <c r="Z2999" t="s">
        <v>9632</v>
      </c>
      <c r="AC2999">
        <v>125</v>
      </c>
      <c r="AD2999" t="s">
        <v>12419</v>
      </c>
      <c r="AE2999" t="s">
        <v>6110</v>
      </c>
      <c r="AF2999">
        <v>4</v>
      </c>
      <c r="AG2999">
        <v>1</v>
      </c>
      <c r="AH2999">
        <v>0</v>
      </c>
      <c r="AI2999">
        <v>320.26</v>
      </c>
      <c r="AL2999" t="s">
        <v>12460</v>
      </c>
      <c r="AM2999">
        <v>40000</v>
      </c>
      <c r="AN2999" t="s">
        <v>12774</v>
      </c>
      <c r="AS2999">
        <v>0</v>
      </c>
      <c r="AU2999" t="s">
        <v>13092</v>
      </c>
    </row>
    <row r="3000" spans="1:48">
      <c r="A3000" s="1">
        <f>HYPERLINK("https://cms.ls-nyc.org/matter/dynamic-profile/view/1892587","19-1892587")</f>
        <v>0</v>
      </c>
      <c r="B3000" t="s">
        <v>120</v>
      </c>
      <c r="C3000" t="s">
        <v>275</v>
      </c>
      <c r="E3000" t="s">
        <v>1940</v>
      </c>
      <c r="F3000" t="s">
        <v>3508</v>
      </c>
      <c r="G3000" t="s">
        <v>4639</v>
      </c>
      <c r="H3000">
        <v>10304</v>
      </c>
      <c r="I3000" t="s">
        <v>6048</v>
      </c>
      <c r="J3000">
        <v>10304</v>
      </c>
      <c r="K3000" t="s">
        <v>6074</v>
      </c>
      <c r="L3000" t="s">
        <v>6074</v>
      </c>
      <c r="M3000" t="s">
        <v>7236</v>
      </c>
      <c r="N3000" t="s">
        <v>7276</v>
      </c>
      <c r="O3000" t="s">
        <v>7308</v>
      </c>
      <c r="Q3000" t="s">
        <v>7322</v>
      </c>
      <c r="R3000" t="s">
        <v>6076</v>
      </c>
      <c r="S3000" t="s">
        <v>7324</v>
      </c>
      <c r="T3000" t="s">
        <v>7336</v>
      </c>
      <c r="U3000" t="s">
        <v>313</v>
      </c>
      <c r="V3000">
        <v>929.62</v>
      </c>
      <c r="W3000" t="s">
        <v>7364</v>
      </c>
      <c r="Z3000" t="s">
        <v>9633</v>
      </c>
      <c r="AA3000" t="s">
        <v>10291</v>
      </c>
      <c r="AB3000" t="s">
        <v>12258</v>
      </c>
      <c r="AC3000">
        <v>104</v>
      </c>
      <c r="AF3000">
        <v>3</v>
      </c>
      <c r="AG3000">
        <v>1</v>
      </c>
      <c r="AH3000">
        <v>0</v>
      </c>
      <c r="AI3000">
        <v>320.26</v>
      </c>
      <c r="AJ3000" t="s">
        <v>12452</v>
      </c>
      <c r="AK3000" t="s">
        <v>12456</v>
      </c>
      <c r="AL3000" t="s">
        <v>12460</v>
      </c>
      <c r="AM3000">
        <v>40000</v>
      </c>
      <c r="AS3000">
        <v>7.1</v>
      </c>
      <c r="AT3000" t="s">
        <v>257</v>
      </c>
      <c r="AU3000" t="s">
        <v>13103</v>
      </c>
    </row>
    <row r="3001" spans="1:48">
      <c r="A3001" s="1">
        <f>HYPERLINK("https://cms.ls-nyc.org/matter/dynamic-profile/view/1895540","19-1895540")</f>
        <v>0</v>
      </c>
      <c r="B3001" t="s">
        <v>128</v>
      </c>
      <c r="C3001" t="s">
        <v>457</v>
      </c>
      <c r="E3001" t="s">
        <v>1941</v>
      </c>
      <c r="F3001" t="s">
        <v>3509</v>
      </c>
      <c r="G3001" t="s">
        <v>3934</v>
      </c>
      <c r="H3001">
        <v>23</v>
      </c>
      <c r="I3001" t="s">
        <v>6049</v>
      </c>
      <c r="J3001">
        <v>10034</v>
      </c>
      <c r="K3001" t="s">
        <v>6074</v>
      </c>
      <c r="L3001" t="s">
        <v>6074</v>
      </c>
      <c r="M3001" t="s">
        <v>7237</v>
      </c>
      <c r="N3001" t="s">
        <v>7273</v>
      </c>
      <c r="O3001" t="s">
        <v>7308</v>
      </c>
      <c r="Q3001" t="s">
        <v>7322</v>
      </c>
      <c r="R3001" t="s">
        <v>6074</v>
      </c>
      <c r="S3001" t="s">
        <v>7324</v>
      </c>
      <c r="T3001" t="s">
        <v>7336</v>
      </c>
      <c r="U3001" t="s">
        <v>457</v>
      </c>
      <c r="V3001">
        <v>2000</v>
      </c>
      <c r="W3001" t="s">
        <v>7365</v>
      </c>
      <c r="X3001" t="s">
        <v>7305</v>
      </c>
      <c r="Z3001" t="s">
        <v>9634</v>
      </c>
      <c r="AB3001" t="s">
        <v>12259</v>
      </c>
      <c r="AC3001">
        <v>25</v>
      </c>
      <c r="AD3001" t="s">
        <v>12422</v>
      </c>
      <c r="AE3001" t="s">
        <v>6110</v>
      </c>
      <c r="AF3001">
        <v>0</v>
      </c>
      <c r="AG3001">
        <v>1</v>
      </c>
      <c r="AH3001">
        <v>0</v>
      </c>
      <c r="AI3001">
        <v>320.26</v>
      </c>
      <c r="AL3001" t="s">
        <v>12460</v>
      </c>
      <c r="AM3001">
        <v>40000</v>
      </c>
      <c r="AS3001">
        <v>3.4</v>
      </c>
      <c r="AT3001" t="s">
        <v>315</v>
      </c>
      <c r="AU3001" t="s">
        <v>13107</v>
      </c>
      <c r="AV3001" t="s">
        <v>13145</v>
      </c>
    </row>
    <row r="3002" spans="1:48">
      <c r="A3002" s="1">
        <f>HYPERLINK("https://cms.ls-nyc.org/matter/dynamic-profile/view/1890455","19-1890455")</f>
        <v>0</v>
      </c>
      <c r="B3002" t="s">
        <v>117</v>
      </c>
      <c r="C3002" t="s">
        <v>330</v>
      </c>
      <c r="E3002" t="s">
        <v>1942</v>
      </c>
      <c r="F3002" t="s">
        <v>2849</v>
      </c>
      <c r="G3002" t="s">
        <v>5278</v>
      </c>
      <c r="H3002" t="s">
        <v>5979</v>
      </c>
      <c r="I3002" t="s">
        <v>6048</v>
      </c>
      <c r="J3002">
        <v>10301</v>
      </c>
      <c r="K3002" t="s">
        <v>6074</v>
      </c>
      <c r="L3002" t="s">
        <v>6074</v>
      </c>
      <c r="M3002" t="s">
        <v>7238</v>
      </c>
      <c r="N3002" t="s">
        <v>7276</v>
      </c>
      <c r="O3002" t="s">
        <v>7308</v>
      </c>
      <c r="Q3002" t="s">
        <v>7322</v>
      </c>
      <c r="R3002" t="s">
        <v>6076</v>
      </c>
      <c r="S3002" t="s">
        <v>7324</v>
      </c>
      <c r="T3002" t="s">
        <v>7339</v>
      </c>
      <c r="U3002" t="s">
        <v>420</v>
      </c>
      <c r="V3002">
        <v>1492</v>
      </c>
      <c r="W3002" t="s">
        <v>7364</v>
      </c>
      <c r="X3002" t="s">
        <v>7367</v>
      </c>
      <c r="Z3002" t="s">
        <v>9635</v>
      </c>
      <c r="AB3002" t="s">
        <v>12260</v>
      </c>
      <c r="AC3002">
        <v>70</v>
      </c>
      <c r="AD3002" t="s">
        <v>6322</v>
      </c>
      <c r="AE3002" t="s">
        <v>6110</v>
      </c>
      <c r="AF3002">
        <v>5</v>
      </c>
      <c r="AG3002">
        <v>1</v>
      </c>
      <c r="AH3002">
        <v>0</v>
      </c>
      <c r="AI3002">
        <v>320.58</v>
      </c>
      <c r="AL3002" t="s">
        <v>12460</v>
      </c>
      <c r="AM3002">
        <v>40040</v>
      </c>
      <c r="AS3002">
        <v>36.95</v>
      </c>
      <c r="AT3002" t="s">
        <v>564</v>
      </c>
      <c r="AU3002" t="s">
        <v>13090</v>
      </c>
    </row>
    <row r="3003" spans="1:48">
      <c r="A3003" s="1">
        <f>HYPERLINK("https://cms.ls-nyc.org/matter/dynamic-profile/view/1879132","18-1879132")</f>
        <v>0</v>
      </c>
      <c r="B3003" t="s">
        <v>111</v>
      </c>
      <c r="C3003" t="s">
        <v>438</v>
      </c>
      <c r="D3003" t="s">
        <v>472</v>
      </c>
      <c r="E3003" t="s">
        <v>1493</v>
      </c>
      <c r="F3003" t="s">
        <v>3510</v>
      </c>
      <c r="G3003" t="s">
        <v>5279</v>
      </c>
      <c r="H3003" t="s">
        <v>5465</v>
      </c>
      <c r="I3003" t="s">
        <v>6047</v>
      </c>
      <c r="J3003">
        <v>10463</v>
      </c>
      <c r="K3003" t="s">
        <v>6074</v>
      </c>
      <c r="L3003" t="s">
        <v>6074</v>
      </c>
      <c r="N3003" t="s">
        <v>6104</v>
      </c>
      <c r="O3003" t="s">
        <v>7306</v>
      </c>
      <c r="P3003" t="s">
        <v>7314</v>
      </c>
      <c r="Q3003" t="s">
        <v>7322</v>
      </c>
      <c r="R3003" t="s">
        <v>6076</v>
      </c>
      <c r="S3003" t="s">
        <v>7324</v>
      </c>
      <c r="U3003" t="s">
        <v>438</v>
      </c>
      <c r="V3003">
        <v>1250</v>
      </c>
      <c r="W3003" t="s">
        <v>7363</v>
      </c>
      <c r="X3003" t="s">
        <v>7376</v>
      </c>
      <c r="Y3003" t="s">
        <v>7386</v>
      </c>
      <c r="Z3003" t="s">
        <v>9636</v>
      </c>
      <c r="AB3003" t="s">
        <v>12261</v>
      </c>
      <c r="AC3003">
        <v>58</v>
      </c>
      <c r="AD3003" t="s">
        <v>12422</v>
      </c>
      <c r="AE3003" t="s">
        <v>6110</v>
      </c>
      <c r="AF3003">
        <v>2</v>
      </c>
      <c r="AG3003">
        <v>1</v>
      </c>
      <c r="AH3003">
        <v>0</v>
      </c>
      <c r="AI3003">
        <v>321.25</v>
      </c>
      <c r="AL3003" t="s">
        <v>12460</v>
      </c>
      <c r="AM3003">
        <v>39000</v>
      </c>
      <c r="AN3003" t="s">
        <v>12775</v>
      </c>
      <c r="AS3003">
        <v>0.25</v>
      </c>
      <c r="AT3003" t="s">
        <v>340</v>
      </c>
      <c r="AU3003" t="s">
        <v>13095</v>
      </c>
    </row>
    <row r="3004" spans="1:48">
      <c r="A3004" s="1">
        <f>HYPERLINK("https://cms.ls-nyc.org/matter/dynamic-profile/view/1878377","18-1878377")</f>
        <v>0</v>
      </c>
      <c r="B3004" t="s">
        <v>86</v>
      </c>
      <c r="C3004" t="s">
        <v>373</v>
      </c>
      <c r="D3004" t="s">
        <v>239</v>
      </c>
      <c r="E3004" t="s">
        <v>1943</v>
      </c>
      <c r="F3004" t="s">
        <v>3511</v>
      </c>
      <c r="G3004" t="s">
        <v>5280</v>
      </c>
      <c r="H3004" t="s">
        <v>5980</v>
      </c>
      <c r="I3004" t="s">
        <v>6049</v>
      </c>
      <c r="J3004">
        <v>10034</v>
      </c>
      <c r="K3004" t="s">
        <v>6074</v>
      </c>
      <c r="L3004" t="s">
        <v>6074</v>
      </c>
      <c r="N3004" t="s">
        <v>6104</v>
      </c>
      <c r="O3004" t="s">
        <v>7306</v>
      </c>
      <c r="P3004" t="s">
        <v>7314</v>
      </c>
      <c r="Q3004" t="s">
        <v>7323</v>
      </c>
      <c r="R3004" t="s">
        <v>6076</v>
      </c>
      <c r="S3004" t="s">
        <v>7324</v>
      </c>
      <c r="T3004" t="s">
        <v>7336</v>
      </c>
      <c r="U3004" t="s">
        <v>373</v>
      </c>
      <c r="V3004">
        <v>1300</v>
      </c>
      <c r="W3004" t="s">
        <v>7365</v>
      </c>
      <c r="X3004" t="s">
        <v>7369</v>
      </c>
      <c r="Y3004" t="s">
        <v>7386</v>
      </c>
      <c r="Z3004" t="s">
        <v>9637</v>
      </c>
      <c r="AB3004" t="s">
        <v>12262</v>
      </c>
      <c r="AC3004">
        <v>20</v>
      </c>
      <c r="AD3004" t="s">
        <v>12425</v>
      </c>
      <c r="AE3004" t="s">
        <v>6110</v>
      </c>
      <c r="AF3004">
        <v>2</v>
      </c>
      <c r="AG3004">
        <v>2</v>
      </c>
      <c r="AH3004">
        <v>0</v>
      </c>
      <c r="AI3004">
        <v>321.99</v>
      </c>
      <c r="AJ3004" t="s">
        <v>12443</v>
      </c>
      <c r="AK3004" t="s">
        <v>12455</v>
      </c>
      <c r="AL3004" t="s">
        <v>12460</v>
      </c>
      <c r="AM3004">
        <v>53000</v>
      </c>
      <c r="AS3004">
        <v>1</v>
      </c>
      <c r="AT3004" t="s">
        <v>407</v>
      </c>
      <c r="AU3004" t="s">
        <v>86</v>
      </c>
    </row>
    <row r="3005" spans="1:48">
      <c r="A3005" s="1">
        <f>HYPERLINK("https://cms.ls-nyc.org/matter/dynamic-profile/view/1885636","18-1885636")</f>
        <v>0</v>
      </c>
      <c r="B3005" t="s">
        <v>115</v>
      </c>
      <c r="C3005" t="s">
        <v>266</v>
      </c>
      <c r="E3005" t="s">
        <v>1944</v>
      </c>
      <c r="F3005" t="s">
        <v>3512</v>
      </c>
      <c r="G3005" t="s">
        <v>4132</v>
      </c>
      <c r="H3005" t="s">
        <v>5598</v>
      </c>
      <c r="I3005" t="s">
        <v>6047</v>
      </c>
      <c r="J3005">
        <v>10463</v>
      </c>
      <c r="K3005" t="s">
        <v>6074</v>
      </c>
      <c r="L3005" t="s">
        <v>6074</v>
      </c>
      <c r="N3005" t="s">
        <v>7273</v>
      </c>
      <c r="O3005" t="s">
        <v>7306</v>
      </c>
      <c r="Q3005" t="s">
        <v>7322</v>
      </c>
      <c r="R3005" t="s">
        <v>6074</v>
      </c>
      <c r="S3005" t="s">
        <v>7324</v>
      </c>
      <c r="U3005" t="s">
        <v>472</v>
      </c>
      <c r="V3005">
        <v>1300</v>
      </c>
      <c r="W3005" t="s">
        <v>7363</v>
      </c>
      <c r="X3005" t="s">
        <v>7376</v>
      </c>
      <c r="Z3005" t="s">
        <v>9638</v>
      </c>
      <c r="AC3005">
        <v>55</v>
      </c>
      <c r="AD3005" t="s">
        <v>12422</v>
      </c>
      <c r="AE3005" t="s">
        <v>6110</v>
      </c>
      <c r="AF3005">
        <v>3</v>
      </c>
      <c r="AG3005">
        <v>2</v>
      </c>
      <c r="AH3005">
        <v>1</v>
      </c>
      <c r="AI3005">
        <v>322.43</v>
      </c>
      <c r="AL3005" t="s">
        <v>12460</v>
      </c>
      <c r="AM3005">
        <v>67000</v>
      </c>
      <c r="AN3005" t="s">
        <v>12587</v>
      </c>
      <c r="AS3005">
        <v>0</v>
      </c>
      <c r="AU3005" t="s">
        <v>13099</v>
      </c>
    </row>
    <row r="3006" spans="1:48">
      <c r="A3006" s="1">
        <f>HYPERLINK("https://cms.ls-nyc.org/matter/dynamic-profile/view/1877920","18-1877920")</f>
        <v>0</v>
      </c>
      <c r="B3006" t="s">
        <v>128</v>
      </c>
      <c r="C3006" t="s">
        <v>432</v>
      </c>
      <c r="E3006" t="s">
        <v>1945</v>
      </c>
      <c r="F3006" t="s">
        <v>3513</v>
      </c>
      <c r="G3006" t="s">
        <v>5281</v>
      </c>
      <c r="H3006" t="s">
        <v>5920</v>
      </c>
      <c r="I3006" t="s">
        <v>6049</v>
      </c>
      <c r="J3006">
        <v>10033</v>
      </c>
      <c r="K3006" t="s">
        <v>6074</v>
      </c>
      <c r="L3006" t="s">
        <v>6074</v>
      </c>
      <c r="N3006" t="s">
        <v>7287</v>
      </c>
      <c r="O3006" t="s">
        <v>7307</v>
      </c>
      <c r="Q3006" t="s">
        <v>7322</v>
      </c>
      <c r="R3006" t="s">
        <v>6076</v>
      </c>
      <c r="S3006" t="s">
        <v>7324</v>
      </c>
      <c r="U3006" t="s">
        <v>432</v>
      </c>
      <c r="V3006">
        <v>2334.37</v>
      </c>
      <c r="W3006" t="s">
        <v>7365</v>
      </c>
      <c r="X3006" t="s">
        <v>7375</v>
      </c>
      <c r="Z3006" t="s">
        <v>9639</v>
      </c>
      <c r="AC3006">
        <v>35</v>
      </c>
      <c r="AD3006" t="s">
        <v>12422</v>
      </c>
      <c r="AE3006" t="s">
        <v>6110</v>
      </c>
      <c r="AF3006">
        <v>3</v>
      </c>
      <c r="AG3006">
        <v>3</v>
      </c>
      <c r="AH3006">
        <v>0</v>
      </c>
      <c r="AI3006">
        <v>323.39</v>
      </c>
      <c r="AJ3006" t="s">
        <v>354</v>
      </c>
      <c r="AK3006" t="s">
        <v>12456</v>
      </c>
      <c r="AL3006" t="s">
        <v>12460</v>
      </c>
      <c r="AM3006">
        <v>67200</v>
      </c>
      <c r="AS3006">
        <v>3.4</v>
      </c>
      <c r="AT3006" t="s">
        <v>393</v>
      </c>
      <c r="AU3006" t="s">
        <v>13106</v>
      </c>
    </row>
    <row r="3007" spans="1:48">
      <c r="A3007" s="1">
        <f>HYPERLINK("https://cms.ls-nyc.org/matter/dynamic-profile/view/1891031","19-1891031")</f>
        <v>0</v>
      </c>
      <c r="B3007" t="s">
        <v>97</v>
      </c>
      <c r="C3007" t="s">
        <v>393</v>
      </c>
      <c r="D3007" t="s">
        <v>356</v>
      </c>
      <c r="E3007" t="s">
        <v>637</v>
      </c>
      <c r="F3007" t="s">
        <v>3055</v>
      </c>
      <c r="G3007" t="s">
        <v>5183</v>
      </c>
      <c r="H3007" t="s">
        <v>5364</v>
      </c>
      <c r="I3007" t="s">
        <v>6047</v>
      </c>
      <c r="J3007">
        <v>10453</v>
      </c>
      <c r="K3007" t="s">
        <v>6074</v>
      </c>
      <c r="L3007" t="s">
        <v>6074</v>
      </c>
      <c r="N3007" t="s">
        <v>6104</v>
      </c>
      <c r="O3007" t="s">
        <v>7306</v>
      </c>
      <c r="P3007" t="s">
        <v>7314</v>
      </c>
      <c r="Q3007" t="s">
        <v>7322</v>
      </c>
      <c r="R3007" t="s">
        <v>6076</v>
      </c>
      <c r="S3007" t="s">
        <v>7324</v>
      </c>
      <c r="U3007" t="s">
        <v>359</v>
      </c>
      <c r="V3007">
        <v>1250</v>
      </c>
      <c r="W3007" t="s">
        <v>7363</v>
      </c>
      <c r="X3007" t="s">
        <v>7376</v>
      </c>
      <c r="Y3007" t="s">
        <v>7386</v>
      </c>
      <c r="Z3007" t="s">
        <v>9461</v>
      </c>
      <c r="AB3007" t="s">
        <v>12121</v>
      </c>
      <c r="AC3007">
        <v>20</v>
      </c>
      <c r="AD3007" t="s">
        <v>12422</v>
      </c>
      <c r="AE3007" t="s">
        <v>6110</v>
      </c>
      <c r="AF3007">
        <v>4</v>
      </c>
      <c r="AG3007">
        <v>3</v>
      </c>
      <c r="AH3007">
        <v>0</v>
      </c>
      <c r="AI3007">
        <v>323.49</v>
      </c>
      <c r="AL3007" t="s">
        <v>12461</v>
      </c>
      <c r="AM3007">
        <v>69000</v>
      </c>
      <c r="AS3007">
        <v>1.4</v>
      </c>
      <c r="AT3007" t="s">
        <v>356</v>
      </c>
      <c r="AU3007" t="s">
        <v>97</v>
      </c>
    </row>
    <row r="3008" spans="1:48">
      <c r="A3008" s="1">
        <f>HYPERLINK("https://cms.ls-nyc.org/matter/dynamic-profile/view/1898334","19-1898334")</f>
        <v>0</v>
      </c>
      <c r="B3008" t="s">
        <v>90</v>
      </c>
      <c r="C3008" t="s">
        <v>343</v>
      </c>
      <c r="E3008" t="s">
        <v>1255</v>
      </c>
      <c r="F3008" t="s">
        <v>3514</v>
      </c>
      <c r="G3008" t="s">
        <v>4507</v>
      </c>
      <c r="H3008" t="s">
        <v>5372</v>
      </c>
      <c r="I3008" t="s">
        <v>6043</v>
      </c>
      <c r="J3008">
        <v>11216</v>
      </c>
      <c r="K3008" t="s">
        <v>6074</v>
      </c>
      <c r="L3008" t="s">
        <v>6074</v>
      </c>
      <c r="M3008" t="s">
        <v>7239</v>
      </c>
      <c r="N3008" t="s">
        <v>7282</v>
      </c>
      <c r="O3008" t="s">
        <v>7308</v>
      </c>
      <c r="Q3008" t="s">
        <v>7322</v>
      </c>
      <c r="R3008" t="s">
        <v>6074</v>
      </c>
      <c r="S3008" t="s">
        <v>7324</v>
      </c>
      <c r="T3008" t="s">
        <v>7336</v>
      </c>
      <c r="U3008" t="s">
        <v>505</v>
      </c>
      <c r="V3008">
        <v>2075</v>
      </c>
      <c r="W3008" t="s">
        <v>7362</v>
      </c>
      <c r="X3008" t="s">
        <v>7375</v>
      </c>
      <c r="Z3008" t="s">
        <v>9640</v>
      </c>
      <c r="AB3008" t="s">
        <v>12263</v>
      </c>
      <c r="AC3008">
        <v>82</v>
      </c>
      <c r="AD3008" t="s">
        <v>12422</v>
      </c>
      <c r="AE3008" t="s">
        <v>6110</v>
      </c>
      <c r="AF3008">
        <v>2</v>
      </c>
      <c r="AG3008">
        <v>2</v>
      </c>
      <c r="AH3008">
        <v>0</v>
      </c>
      <c r="AI3008">
        <v>324.01</v>
      </c>
      <c r="AL3008" t="s">
        <v>12460</v>
      </c>
      <c r="AM3008">
        <v>54790.06</v>
      </c>
      <c r="AN3008" t="s">
        <v>12776</v>
      </c>
      <c r="AS3008">
        <v>0</v>
      </c>
      <c r="AU3008" t="s">
        <v>218</v>
      </c>
      <c r="AV3008" t="s">
        <v>13145</v>
      </c>
    </row>
    <row r="3009" spans="1:48">
      <c r="A3009" s="1">
        <f>HYPERLINK("https://cms.ls-nyc.org/matter/dynamic-profile/view/1890584","19-1890584")</f>
        <v>0</v>
      </c>
      <c r="B3009" t="s">
        <v>72</v>
      </c>
      <c r="C3009" t="s">
        <v>448</v>
      </c>
      <c r="E3009" t="s">
        <v>1250</v>
      </c>
      <c r="F3009" t="s">
        <v>3515</v>
      </c>
      <c r="G3009" t="s">
        <v>3701</v>
      </c>
      <c r="H3009" t="s">
        <v>5630</v>
      </c>
      <c r="I3009" t="s">
        <v>6043</v>
      </c>
      <c r="J3009">
        <v>11233</v>
      </c>
      <c r="K3009" t="s">
        <v>6074</v>
      </c>
      <c r="L3009" t="s">
        <v>6076</v>
      </c>
      <c r="N3009" t="s">
        <v>7279</v>
      </c>
      <c r="O3009" t="s">
        <v>7311</v>
      </c>
      <c r="Q3009" t="s">
        <v>7322</v>
      </c>
      <c r="R3009" t="s">
        <v>6074</v>
      </c>
      <c r="S3009" t="s">
        <v>7324</v>
      </c>
      <c r="T3009" t="s">
        <v>7336</v>
      </c>
      <c r="U3009" t="s">
        <v>330</v>
      </c>
      <c r="V3009">
        <v>1189.18</v>
      </c>
      <c r="W3009" t="s">
        <v>7362</v>
      </c>
      <c r="X3009" t="s">
        <v>7305</v>
      </c>
      <c r="Z3009" t="s">
        <v>9641</v>
      </c>
      <c r="AC3009">
        <v>359</v>
      </c>
      <c r="AD3009" t="s">
        <v>12422</v>
      </c>
      <c r="AE3009" t="s">
        <v>6110</v>
      </c>
      <c r="AF3009">
        <v>44</v>
      </c>
      <c r="AG3009">
        <v>2</v>
      </c>
      <c r="AH3009">
        <v>0</v>
      </c>
      <c r="AI3009">
        <v>325.25</v>
      </c>
      <c r="AL3009" t="s">
        <v>12460</v>
      </c>
      <c r="AM3009">
        <v>55000</v>
      </c>
      <c r="AN3009" t="s">
        <v>12488</v>
      </c>
      <c r="AS3009">
        <v>0</v>
      </c>
      <c r="AU3009" t="s">
        <v>180</v>
      </c>
    </row>
    <row r="3010" spans="1:48">
      <c r="A3010" s="1">
        <f>HYPERLINK("https://cms.ls-nyc.org/matter/dynamic-profile/view/1891600","19-1891600")</f>
        <v>0</v>
      </c>
      <c r="B3010" t="s">
        <v>72</v>
      </c>
      <c r="C3010" t="s">
        <v>364</v>
      </c>
      <c r="E3010" t="s">
        <v>1250</v>
      </c>
      <c r="F3010" t="s">
        <v>3515</v>
      </c>
      <c r="G3010" t="s">
        <v>3701</v>
      </c>
      <c r="H3010" t="s">
        <v>5630</v>
      </c>
      <c r="I3010" t="s">
        <v>6043</v>
      </c>
      <c r="J3010">
        <v>11233</v>
      </c>
      <c r="K3010" t="s">
        <v>6074</v>
      </c>
      <c r="L3010" t="s">
        <v>6076</v>
      </c>
      <c r="N3010" t="s">
        <v>7275</v>
      </c>
      <c r="O3010" t="s">
        <v>7307</v>
      </c>
      <c r="Q3010" t="s">
        <v>7322</v>
      </c>
      <c r="R3010" t="s">
        <v>6074</v>
      </c>
      <c r="S3010" t="s">
        <v>7324</v>
      </c>
      <c r="T3010" t="s">
        <v>7336</v>
      </c>
      <c r="U3010" t="s">
        <v>287</v>
      </c>
      <c r="V3010">
        <v>1189.1</v>
      </c>
      <c r="W3010" t="s">
        <v>7362</v>
      </c>
      <c r="X3010" t="s">
        <v>7305</v>
      </c>
      <c r="Z3010" t="s">
        <v>9641</v>
      </c>
      <c r="AC3010">
        <v>359</v>
      </c>
      <c r="AD3010" t="s">
        <v>12422</v>
      </c>
      <c r="AE3010" t="s">
        <v>6110</v>
      </c>
      <c r="AF3010">
        <v>44</v>
      </c>
      <c r="AG3010">
        <v>2</v>
      </c>
      <c r="AH3010">
        <v>0</v>
      </c>
      <c r="AI3010">
        <v>325.25</v>
      </c>
      <c r="AL3010" t="s">
        <v>12460</v>
      </c>
      <c r="AM3010">
        <v>55000</v>
      </c>
      <c r="AN3010" t="s">
        <v>12777</v>
      </c>
      <c r="AS3010">
        <v>0</v>
      </c>
      <c r="AU3010" t="s">
        <v>180</v>
      </c>
    </row>
    <row r="3011" spans="1:48">
      <c r="A3011" s="1">
        <f>HYPERLINK("https://cms.ls-nyc.org/matter/dynamic-profile/view/1885693","18-1885693")</f>
        <v>0</v>
      </c>
      <c r="B3011" t="s">
        <v>133</v>
      </c>
      <c r="C3011" t="s">
        <v>344</v>
      </c>
      <c r="D3011" t="s">
        <v>344</v>
      </c>
      <c r="E3011" t="s">
        <v>1946</v>
      </c>
      <c r="F3011" t="s">
        <v>2899</v>
      </c>
      <c r="G3011" t="s">
        <v>5282</v>
      </c>
      <c r="H3011">
        <v>52</v>
      </c>
      <c r="I3011" t="s">
        <v>6049</v>
      </c>
      <c r="J3011">
        <v>10032</v>
      </c>
      <c r="K3011" t="s">
        <v>6074</v>
      </c>
      <c r="L3011" t="s">
        <v>6074</v>
      </c>
      <c r="O3011" t="s">
        <v>7306</v>
      </c>
      <c r="P3011" t="s">
        <v>7314</v>
      </c>
      <c r="Q3011" t="s">
        <v>7322</v>
      </c>
      <c r="R3011" t="s">
        <v>6076</v>
      </c>
      <c r="S3011" t="s">
        <v>7324</v>
      </c>
      <c r="U3011" t="s">
        <v>344</v>
      </c>
      <c r="V3011">
        <v>900.88</v>
      </c>
      <c r="W3011" t="s">
        <v>7365</v>
      </c>
      <c r="X3011" t="s">
        <v>7367</v>
      </c>
      <c r="Y3011" t="s">
        <v>7386</v>
      </c>
      <c r="Z3011" t="s">
        <v>9642</v>
      </c>
      <c r="AB3011" t="s">
        <v>12264</v>
      </c>
      <c r="AC3011">
        <v>0</v>
      </c>
      <c r="AD3011" t="s">
        <v>12422</v>
      </c>
      <c r="AE3011" t="s">
        <v>6110</v>
      </c>
      <c r="AF3011">
        <v>20</v>
      </c>
      <c r="AG3011">
        <v>2</v>
      </c>
      <c r="AH3011">
        <v>0</v>
      </c>
      <c r="AI3011">
        <v>325.64</v>
      </c>
      <c r="AL3011" t="s">
        <v>12460</v>
      </c>
      <c r="AM3011">
        <v>53600</v>
      </c>
      <c r="AS3011">
        <v>1</v>
      </c>
      <c r="AT3011" t="s">
        <v>344</v>
      </c>
      <c r="AU3011" t="s">
        <v>13106</v>
      </c>
    </row>
    <row r="3012" spans="1:48">
      <c r="A3012" s="1">
        <f>HYPERLINK("https://cms.ls-nyc.org/matter/dynamic-profile/view/1897759","19-1897759")</f>
        <v>0</v>
      </c>
      <c r="B3012" t="s">
        <v>125</v>
      </c>
      <c r="C3012" t="s">
        <v>263</v>
      </c>
      <c r="E3012" t="s">
        <v>867</v>
      </c>
      <c r="F3012" t="s">
        <v>3516</v>
      </c>
      <c r="G3012" t="s">
        <v>4174</v>
      </c>
      <c r="H3012" t="s">
        <v>5485</v>
      </c>
      <c r="I3012" t="s">
        <v>6049</v>
      </c>
      <c r="J3012">
        <v>10032</v>
      </c>
      <c r="K3012" t="s">
        <v>6074</v>
      </c>
      <c r="L3012" t="s">
        <v>6074</v>
      </c>
      <c r="N3012" t="s">
        <v>7278</v>
      </c>
      <c r="O3012" t="s">
        <v>7306</v>
      </c>
      <c r="Q3012" t="s">
        <v>7322</v>
      </c>
      <c r="R3012" t="s">
        <v>6076</v>
      </c>
      <c r="S3012" t="s">
        <v>7324</v>
      </c>
      <c r="U3012" t="s">
        <v>263</v>
      </c>
      <c r="V3012">
        <v>894.05</v>
      </c>
      <c r="W3012" t="s">
        <v>7365</v>
      </c>
      <c r="X3012" t="s">
        <v>7367</v>
      </c>
      <c r="Z3012" t="s">
        <v>9643</v>
      </c>
      <c r="AB3012" t="s">
        <v>12265</v>
      </c>
      <c r="AC3012">
        <v>48</v>
      </c>
      <c r="AD3012" t="s">
        <v>12422</v>
      </c>
      <c r="AE3012" t="s">
        <v>6110</v>
      </c>
      <c r="AF3012">
        <v>19</v>
      </c>
      <c r="AG3012">
        <v>2</v>
      </c>
      <c r="AH3012">
        <v>3</v>
      </c>
      <c r="AI3012">
        <v>326.15</v>
      </c>
      <c r="AL3012" t="s">
        <v>12460</v>
      </c>
      <c r="AM3012">
        <v>98400</v>
      </c>
      <c r="AS3012">
        <v>2.3</v>
      </c>
      <c r="AT3012" t="s">
        <v>501</v>
      </c>
      <c r="AU3012" t="s">
        <v>13106</v>
      </c>
    </row>
    <row r="3013" spans="1:48">
      <c r="A3013" s="1">
        <f>HYPERLINK("https://cms.ls-nyc.org/matter/dynamic-profile/view/1882754","18-1882754")</f>
        <v>0</v>
      </c>
      <c r="B3013" t="s">
        <v>98</v>
      </c>
      <c r="C3013" t="s">
        <v>296</v>
      </c>
      <c r="E3013" t="s">
        <v>667</v>
      </c>
      <c r="F3013" t="s">
        <v>3502</v>
      </c>
      <c r="G3013" t="s">
        <v>3786</v>
      </c>
      <c r="H3013" t="s">
        <v>5485</v>
      </c>
      <c r="I3013" t="s">
        <v>6047</v>
      </c>
      <c r="J3013">
        <v>10457</v>
      </c>
      <c r="K3013" t="s">
        <v>6074</v>
      </c>
      <c r="L3013" t="s">
        <v>6074</v>
      </c>
      <c r="M3013" t="s">
        <v>6188</v>
      </c>
      <c r="N3013" t="s">
        <v>7279</v>
      </c>
      <c r="O3013" t="s">
        <v>7311</v>
      </c>
      <c r="Q3013" t="s">
        <v>7322</v>
      </c>
      <c r="R3013" t="s">
        <v>6074</v>
      </c>
      <c r="S3013" t="s">
        <v>7324</v>
      </c>
      <c r="U3013" t="s">
        <v>472</v>
      </c>
      <c r="V3013">
        <v>997</v>
      </c>
      <c r="W3013" t="s">
        <v>7363</v>
      </c>
      <c r="X3013" t="s">
        <v>7376</v>
      </c>
      <c r="Z3013" t="s">
        <v>9644</v>
      </c>
      <c r="AB3013" t="s">
        <v>12266</v>
      </c>
      <c r="AC3013">
        <v>47</v>
      </c>
      <c r="AD3013" t="s">
        <v>6322</v>
      </c>
      <c r="AE3013" t="s">
        <v>6110</v>
      </c>
      <c r="AF3013">
        <v>9</v>
      </c>
      <c r="AG3013">
        <v>1</v>
      </c>
      <c r="AH3013">
        <v>0</v>
      </c>
      <c r="AI3013">
        <v>326.19</v>
      </c>
      <c r="AL3013" t="s">
        <v>12460</v>
      </c>
      <c r="AM3013">
        <v>39600</v>
      </c>
      <c r="AS3013">
        <v>0.6</v>
      </c>
      <c r="AT3013" t="s">
        <v>421</v>
      </c>
      <c r="AU3013" t="s">
        <v>13092</v>
      </c>
    </row>
    <row r="3014" spans="1:48">
      <c r="A3014" s="1">
        <f>HYPERLINK("https://cms.ls-nyc.org/matter/dynamic-profile/view/1886571","18-1886571")</f>
        <v>0</v>
      </c>
      <c r="B3014" t="s">
        <v>98</v>
      </c>
      <c r="C3014" t="s">
        <v>346</v>
      </c>
      <c r="D3014" t="s">
        <v>386</v>
      </c>
      <c r="E3014" t="s">
        <v>667</v>
      </c>
      <c r="F3014" t="s">
        <v>3502</v>
      </c>
      <c r="G3014" t="s">
        <v>3786</v>
      </c>
      <c r="H3014" t="s">
        <v>5485</v>
      </c>
      <c r="I3014" t="s">
        <v>6047</v>
      </c>
      <c r="J3014">
        <v>10457</v>
      </c>
      <c r="K3014" t="s">
        <v>6074</v>
      </c>
      <c r="L3014" t="s">
        <v>6074</v>
      </c>
      <c r="N3014" t="s">
        <v>7279</v>
      </c>
      <c r="O3014" t="s">
        <v>7307</v>
      </c>
      <c r="P3014" t="s">
        <v>7315</v>
      </c>
      <c r="Q3014" t="s">
        <v>7322</v>
      </c>
      <c r="R3014" t="s">
        <v>6076</v>
      </c>
      <c r="S3014" t="s">
        <v>7324</v>
      </c>
      <c r="T3014" t="s">
        <v>7336</v>
      </c>
      <c r="U3014" t="s">
        <v>292</v>
      </c>
      <c r="V3014">
        <v>976.13</v>
      </c>
      <c r="W3014" t="s">
        <v>7363</v>
      </c>
      <c r="X3014" t="s">
        <v>7376</v>
      </c>
      <c r="Y3014" t="s">
        <v>7386</v>
      </c>
      <c r="Z3014" t="s">
        <v>9644</v>
      </c>
      <c r="AB3014" t="s">
        <v>12266</v>
      </c>
      <c r="AC3014">
        <v>46</v>
      </c>
      <c r="AD3014" t="s">
        <v>12422</v>
      </c>
      <c r="AE3014" t="s">
        <v>6110</v>
      </c>
      <c r="AF3014">
        <v>4</v>
      </c>
      <c r="AG3014">
        <v>1</v>
      </c>
      <c r="AH3014">
        <v>0</v>
      </c>
      <c r="AI3014">
        <v>326.19</v>
      </c>
      <c r="AL3014" t="s">
        <v>12460</v>
      </c>
      <c r="AM3014">
        <v>39600</v>
      </c>
      <c r="AS3014">
        <v>1</v>
      </c>
      <c r="AT3014" t="s">
        <v>346</v>
      </c>
      <c r="AU3014" t="s">
        <v>98</v>
      </c>
    </row>
    <row r="3015" spans="1:48">
      <c r="A3015" s="1">
        <f>HYPERLINK("https://cms.ls-nyc.org/matter/dynamic-profile/view/1882738","18-1882738")</f>
        <v>0</v>
      </c>
      <c r="B3015" t="s">
        <v>98</v>
      </c>
      <c r="C3015" t="s">
        <v>296</v>
      </c>
      <c r="E3015" t="s">
        <v>667</v>
      </c>
      <c r="F3015" t="s">
        <v>3502</v>
      </c>
      <c r="G3015" t="s">
        <v>3786</v>
      </c>
      <c r="H3015" t="s">
        <v>5485</v>
      </c>
      <c r="I3015" t="s">
        <v>6047</v>
      </c>
      <c r="J3015">
        <v>10457</v>
      </c>
      <c r="K3015" t="s">
        <v>6074</v>
      </c>
      <c r="L3015" t="s">
        <v>6074</v>
      </c>
      <c r="M3015" t="s">
        <v>6191</v>
      </c>
      <c r="N3015" t="s">
        <v>7273</v>
      </c>
      <c r="O3015" t="s">
        <v>7308</v>
      </c>
      <c r="Q3015" t="s">
        <v>7322</v>
      </c>
      <c r="R3015" t="s">
        <v>6074</v>
      </c>
      <c r="S3015" t="s">
        <v>7324</v>
      </c>
      <c r="U3015" t="s">
        <v>472</v>
      </c>
      <c r="V3015">
        <v>997</v>
      </c>
      <c r="W3015" t="s">
        <v>7363</v>
      </c>
      <c r="X3015" t="s">
        <v>7376</v>
      </c>
      <c r="Z3015" t="s">
        <v>9644</v>
      </c>
      <c r="AB3015" t="s">
        <v>12266</v>
      </c>
      <c r="AC3015">
        <v>47</v>
      </c>
      <c r="AD3015" t="s">
        <v>6322</v>
      </c>
      <c r="AE3015" t="s">
        <v>6110</v>
      </c>
      <c r="AF3015">
        <v>9</v>
      </c>
      <c r="AG3015">
        <v>1</v>
      </c>
      <c r="AH3015">
        <v>0</v>
      </c>
      <c r="AI3015">
        <v>326.19</v>
      </c>
      <c r="AL3015" t="s">
        <v>12460</v>
      </c>
      <c r="AM3015">
        <v>39600</v>
      </c>
      <c r="AS3015">
        <v>0.5</v>
      </c>
      <c r="AT3015" t="s">
        <v>424</v>
      </c>
      <c r="AU3015" t="s">
        <v>13092</v>
      </c>
    </row>
    <row r="3016" spans="1:48">
      <c r="A3016" s="1">
        <f>HYPERLINK("https://cms.ls-nyc.org/matter/dynamic-profile/view/1900719","19-1900719")</f>
        <v>0</v>
      </c>
      <c r="B3016" t="s">
        <v>89</v>
      </c>
      <c r="C3016" t="s">
        <v>381</v>
      </c>
      <c r="E3016" t="s">
        <v>1947</v>
      </c>
      <c r="F3016" t="s">
        <v>3517</v>
      </c>
      <c r="G3016" t="s">
        <v>4982</v>
      </c>
      <c r="H3016" t="s">
        <v>5981</v>
      </c>
      <c r="I3016" t="s">
        <v>6043</v>
      </c>
      <c r="J3016">
        <v>11213</v>
      </c>
      <c r="K3016" t="s">
        <v>6074</v>
      </c>
      <c r="L3016" t="s">
        <v>6075</v>
      </c>
      <c r="N3016" t="s">
        <v>6104</v>
      </c>
      <c r="O3016" t="s">
        <v>7309</v>
      </c>
      <c r="Q3016" t="s">
        <v>7322</v>
      </c>
      <c r="R3016" t="s">
        <v>6074</v>
      </c>
      <c r="S3016" t="s">
        <v>7324</v>
      </c>
      <c r="T3016" t="s">
        <v>7336</v>
      </c>
      <c r="U3016" t="s">
        <v>263</v>
      </c>
      <c r="V3016">
        <v>756</v>
      </c>
      <c r="W3016" t="s">
        <v>7362</v>
      </c>
      <c r="X3016" t="s">
        <v>7376</v>
      </c>
      <c r="Z3016" t="s">
        <v>9645</v>
      </c>
      <c r="AB3016" t="s">
        <v>12267</v>
      </c>
      <c r="AC3016">
        <v>34</v>
      </c>
      <c r="AD3016" t="s">
        <v>12422</v>
      </c>
      <c r="AE3016" t="s">
        <v>6110</v>
      </c>
      <c r="AF3016">
        <v>40</v>
      </c>
      <c r="AG3016">
        <v>2</v>
      </c>
      <c r="AH3016">
        <v>0</v>
      </c>
      <c r="AI3016">
        <v>326.43</v>
      </c>
      <c r="AL3016" t="s">
        <v>12460</v>
      </c>
      <c r="AM3016">
        <v>55200</v>
      </c>
      <c r="AN3016" t="s">
        <v>12778</v>
      </c>
      <c r="AS3016">
        <v>0</v>
      </c>
      <c r="AU3016" t="s">
        <v>218</v>
      </c>
      <c r="AV3016" t="s">
        <v>13145</v>
      </c>
    </row>
    <row r="3017" spans="1:48">
      <c r="A3017" s="1">
        <f>HYPERLINK("https://cms.ls-nyc.org/matter/dynamic-profile/view/1874136","18-1874136")</f>
        <v>0</v>
      </c>
      <c r="B3017" t="s">
        <v>199</v>
      </c>
      <c r="C3017" t="s">
        <v>384</v>
      </c>
      <c r="D3017" t="s">
        <v>526</v>
      </c>
      <c r="E3017" t="s">
        <v>1948</v>
      </c>
      <c r="F3017" t="s">
        <v>3518</v>
      </c>
      <c r="G3017" t="s">
        <v>5283</v>
      </c>
      <c r="H3017" t="s">
        <v>5465</v>
      </c>
      <c r="I3017" t="s">
        <v>6049</v>
      </c>
      <c r="J3017">
        <v>10031</v>
      </c>
      <c r="K3017" t="s">
        <v>6074</v>
      </c>
      <c r="L3017" t="s">
        <v>6074</v>
      </c>
      <c r="M3017" t="s">
        <v>7240</v>
      </c>
      <c r="N3017" t="s">
        <v>7273</v>
      </c>
      <c r="O3017" t="s">
        <v>7308</v>
      </c>
      <c r="P3017" t="s">
        <v>7316</v>
      </c>
      <c r="Q3017" t="s">
        <v>7322</v>
      </c>
      <c r="R3017" t="s">
        <v>6076</v>
      </c>
      <c r="S3017" t="s">
        <v>7324</v>
      </c>
      <c r="U3017" t="s">
        <v>442</v>
      </c>
      <c r="V3017">
        <v>843.76</v>
      </c>
      <c r="W3017" t="s">
        <v>7365</v>
      </c>
      <c r="X3017" t="s">
        <v>7367</v>
      </c>
      <c r="Y3017" t="s">
        <v>7388</v>
      </c>
      <c r="Z3017" t="s">
        <v>9646</v>
      </c>
      <c r="AB3017" t="s">
        <v>12268</v>
      </c>
      <c r="AC3017">
        <v>0</v>
      </c>
      <c r="AD3017" t="s">
        <v>12425</v>
      </c>
      <c r="AE3017" t="s">
        <v>12441</v>
      </c>
      <c r="AF3017">
        <v>45</v>
      </c>
      <c r="AG3017">
        <v>1</v>
      </c>
      <c r="AH3017">
        <v>0</v>
      </c>
      <c r="AI3017">
        <v>326.52</v>
      </c>
      <c r="AJ3017" t="s">
        <v>492</v>
      </c>
      <c r="AK3017" t="s">
        <v>12456</v>
      </c>
      <c r="AL3017" t="s">
        <v>12460</v>
      </c>
      <c r="AM3017">
        <v>39639.96</v>
      </c>
      <c r="AS3017">
        <v>8.699999999999999</v>
      </c>
      <c r="AT3017" t="s">
        <v>375</v>
      </c>
      <c r="AU3017" t="s">
        <v>13111</v>
      </c>
    </row>
    <row r="3018" spans="1:48">
      <c r="A3018" s="1">
        <f>HYPERLINK("https://cms.ls-nyc.org/matter/dynamic-profile/view/1833138","17-1833138")</f>
        <v>0</v>
      </c>
      <c r="B3018" t="s">
        <v>128</v>
      </c>
      <c r="C3018" t="s">
        <v>544</v>
      </c>
      <c r="E3018" t="s">
        <v>689</v>
      </c>
      <c r="F3018" t="s">
        <v>2844</v>
      </c>
      <c r="G3018" t="s">
        <v>5284</v>
      </c>
      <c r="H3018">
        <v>55</v>
      </c>
      <c r="I3018" t="s">
        <v>6049</v>
      </c>
      <c r="J3018">
        <v>10034</v>
      </c>
      <c r="K3018" t="s">
        <v>6074</v>
      </c>
      <c r="L3018" t="s">
        <v>6074</v>
      </c>
      <c r="N3018" t="s">
        <v>6104</v>
      </c>
      <c r="O3018" t="s">
        <v>7309</v>
      </c>
      <c r="Q3018" t="s">
        <v>7322</v>
      </c>
      <c r="R3018" t="s">
        <v>6076</v>
      </c>
      <c r="S3018" t="s">
        <v>7324</v>
      </c>
      <c r="U3018" t="s">
        <v>7344</v>
      </c>
      <c r="V3018">
        <v>743.1</v>
      </c>
      <c r="W3018" t="s">
        <v>7365</v>
      </c>
      <c r="X3018" t="s">
        <v>7367</v>
      </c>
      <c r="Z3018" t="s">
        <v>9647</v>
      </c>
      <c r="AB3018" t="s">
        <v>12269</v>
      </c>
      <c r="AC3018">
        <v>26</v>
      </c>
      <c r="AD3018" t="s">
        <v>12422</v>
      </c>
      <c r="AE3018" t="s">
        <v>6110</v>
      </c>
      <c r="AF3018">
        <v>34</v>
      </c>
      <c r="AG3018">
        <v>1</v>
      </c>
      <c r="AH3018">
        <v>0</v>
      </c>
      <c r="AI3018">
        <v>327.36</v>
      </c>
      <c r="AJ3018" t="s">
        <v>7349</v>
      </c>
      <c r="AL3018" t="s">
        <v>12461</v>
      </c>
      <c r="AM3018">
        <v>39480</v>
      </c>
      <c r="AS3018">
        <v>24.3</v>
      </c>
      <c r="AT3018" t="s">
        <v>13075</v>
      </c>
      <c r="AU3018" t="s">
        <v>13107</v>
      </c>
    </row>
    <row r="3019" spans="1:48">
      <c r="A3019" s="1">
        <f>HYPERLINK("https://cms.ls-nyc.org/matter/dynamic-profile/view/1885256","18-1885256")</f>
        <v>0</v>
      </c>
      <c r="B3019" t="s">
        <v>126</v>
      </c>
      <c r="C3019" t="s">
        <v>341</v>
      </c>
      <c r="E3019" t="s">
        <v>1949</v>
      </c>
      <c r="F3019" t="s">
        <v>3276</v>
      </c>
      <c r="G3019" t="s">
        <v>4323</v>
      </c>
      <c r="H3019">
        <v>24</v>
      </c>
      <c r="I3019" t="s">
        <v>6049</v>
      </c>
      <c r="J3019">
        <v>10039</v>
      </c>
      <c r="K3019" t="s">
        <v>6074</v>
      </c>
      <c r="L3019" t="s">
        <v>6074</v>
      </c>
      <c r="M3019" t="s">
        <v>6569</v>
      </c>
      <c r="N3019" t="s">
        <v>7273</v>
      </c>
      <c r="O3019" t="s">
        <v>7308</v>
      </c>
      <c r="Q3019" t="s">
        <v>7322</v>
      </c>
      <c r="R3019" t="s">
        <v>6074</v>
      </c>
      <c r="S3019" t="s">
        <v>7324</v>
      </c>
      <c r="T3019" t="s">
        <v>7336</v>
      </c>
      <c r="U3019" t="s">
        <v>341</v>
      </c>
      <c r="V3019">
        <v>1475</v>
      </c>
      <c r="W3019" t="s">
        <v>7365</v>
      </c>
      <c r="X3019" t="s">
        <v>7375</v>
      </c>
      <c r="Z3019" t="s">
        <v>9648</v>
      </c>
      <c r="AB3019" t="s">
        <v>12270</v>
      </c>
      <c r="AC3019">
        <v>24</v>
      </c>
      <c r="AD3019" t="s">
        <v>12422</v>
      </c>
      <c r="AE3019" t="s">
        <v>6110</v>
      </c>
      <c r="AF3019">
        <v>8</v>
      </c>
      <c r="AG3019">
        <v>2</v>
      </c>
      <c r="AH3019">
        <v>0</v>
      </c>
      <c r="AI3019">
        <v>327.76</v>
      </c>
      <c r="AL3019" t="s">
        <v>12460</v>
      </c>
      <c r="AM3019">
        <v>53950</v>
      </c>
      <c r="AS3019">
        <v>0</v>
      </c>
      <c r="AU3019" t="s">
        <v>13107</v>
      </c>
    </row>
    <row r="3020" spans="1:48">
      <c r="A3020" s="1">
        <f>HYPERLINK("https://cms.ls-nyc.org/matter/dynamic-profile/view/1887499","19-1887499")</f>
        <v>0</v>
      </c>
      <c r="B3020" t="s">
        <v>96</v>
      </c>
      <c r="C3020" t="s">
        <v>340</v>
      </c>
      <c r="E3020" t="s">
        <v>1950</v>
      </c>
      <c r="F3020" t="s">
        <v>2233</v>
      </c>
      <c r="G3020" t="s">
        <v>3791</v>
      </c>
      <c r="H3020">
        <v>54</v>
      </c>
      <c r="I3020" t="s">
        <v>6047</v>
      </c>
      <c r="J3020">
        <v>10453</v>
      </c>
      <c r="K3020" t="s">
        <v>6074</v>
      </c>
      <c r="L3020" t="s">
        <v>6074</v>
      </c>
      <c r="M3020" t="s">
        <v>6192</v>
      </c>
      <c r="N3020" t="s">
        <v>7279</v>
      </c>
      <c r="O3020" t="s">
        <v>7311</v>
      </c>
      <c r="Q3020" t="s">
        <v>7322</v>
      </c>
      <c r="R3020" t="s">
        <v>6074</v>
      </c>
      <c r="S3020" t="s">
        <v>7324</v>
      </c>
      <c r="U3020" t="s">
        <v>457</v>
      </c>
      <c r="V3020">
        <v>1339</v>
      </c>
      <c r="W3020" t="s">
        <v>7363</v>
      </c>
      <c r="X3020" t="s">
        <v>7375</v>
      </c>
      <c r="Z3020" t="s">
        <v>8554</v>
      </c>
      <c r="AB3020" t="s">
        <v>12271</v>
      </c>
      <c r="AC3020">
        <v>46</v>
      </c>
      <c r="AD3020" t="s">
        <v>12422</v>
      </c>
      <c r="AE3020" t="s">
        <v>6110</v>
      </c>
      <c r="AF3020">
        <v>5</v>
      </c>
      <c r="AG3020">
        <v>2</v>
      </c>
      <c r="AH3020">
        <v>0</v>
      </c>
      <c r="AI3020">
        <v>328.07</v>
      </c>
      <c r="AL3020" t="s">
        <v>12461</v>
      </c>
      <c r="AM3020">
        <v>54000</v>
      </c>
      <c r="AS3020">
        <v>0</v>
      </c>
      <c r="AU3020" t="s">
        <v>13099</v>
      </c>
    </row>
    <row r="3021" spans="1:48">
      <c r="A3021" s="1">
        <f>HYPERLINK("https://cms.ls-nyc.org/matter/dynamic-profile/view/1877835","18-1877835")</f>
        <v>0</v>
      </c>
      <c r="B3021" t="s">
        <v>97</v>
      </c>
      <c r="C3021" t="s">
        <v>291</v>
      </c>
      <c r="D3021" t="s">
        <v>389</v>
      </c>
      <c r="E3021" t="s">
        <v>667</v>
      </c>
      <c r="F3021" t="s">
        <v>3519</v>
      </c>
      <c r="G3021" t="s">
        <v>5285</v>
      </c>
      <c r="H3021" t="s">
        <v>5504</v>
      </c>
      <c r="I3021" t="s">
        <v>6047</v>
      </c>
      <c r="J3021">
        <v>10458</v>
      </c>
      <c r="K3021" t="s">
        <v>6074</v>
      </c>
      <c r="L3021" t="s">
        <v>6074</v>
      </c>
      <c r="N3021" t="s">
        <v>6104</v>
      </c>
      <c r="O3021" t="s">
        <v>7306</v>
      </c>
      <c r="P3021" t="s">
        <v>7314</v>
      </c>
      <c r="Q3021" t="s">
        <v>7322</v>
      </c>
      <c r="R3021" t="s">
        <v>6076</v>
      </c>
      <c r="S3021" t="s">
        <v>7324</v>
      </c>
      <c r="U3021" t="s">
        <v>291</v>
      </c>
      <c r="V3021">
        <v>1400</v>
      </c>
      <c r="W3021" t="s">
        <v>7363</v>
      </c>
      <c r="X3021" t="s">
        <v>7376</v>
      </c>
      <c r="Y3021" t="s">
        <v>7386</v>
      </c>
      <c r="Z3021" t="s">
        <v>9649</v>
      </c>
      <c r="AB3021" t="s">
        <v>12272</v>
      </c>
      <c r="AC3021">
        <v>67</v>
      </c>
      <c r="AD3021" t="s">
        <v>12422</v>
      </c>
      <c r="AE3021" t="s">
        <v>6110</v>
      </c>
      <c r="AF3021">
        <v>10</v>
      </c>
      <c r="AG3021">
        <v>2</v>
      </c>
      <c r="AH3021">
        <v>2</v>
      </c>
      <c r="AI3021">
        <v>328.16</v>
      </c>
      <c r="AL3021" t="s">
        <v>12460</v>
      </c>
      <c r="AM3021">
        <v>82368</v>
      </c>
      <c r="AN3021" t="s">
        <v>12779</v>
      </c>
      <c r="AS3021">
        <v>1.7</v>
      </c>
      <c r="AT3021" t="s">
        <v>389</v>
      </c>
      <c r="AU3021" t="s">
        <v>97</v>
      </c>
    </row>
    <row r="3022" spans="1:48">
      <c r="A3022" s="1">
        <f>HYPERLINK("https://cms.ls-nyc.org/matter/dynamic-profile/view/1896710","19-1896710")</f>
        <v>0</v>
      </c>
      <c r="B3022" t="s">
        <v>84</v>
      </c>
      <c r="C3022" t="s">
        <v>387</v>
      </c>
      <c r="E3022" t="s">
        <v>1445</v>
      </c>
      <c r="F3022" t="s">
        <v>2154</v>
      </c>
      <c r="G3022" t="s">
        <v>4841</v>
      </c>
      <c r="H3022">
        <v>15</v>
      </c>
      <c r="I3022" t="s">
        <v>6043</v>
      </c>
      <c r="J3022">
        <v>11226</v>
      </c>
      <c r="K3022" t="s">
        <v>6074</v>
      </c>
      <c r="L3022" t="s">
        <v>6074</v>
      </c>
      <c r="N3022" t="s">
        <v>7273</v>
      </c>
      <c r="O3022" t="s">
        <v>7308</v>
      </c>
      <c r="Q3022" t="s">
        <v>7322</v>
      </c>
      <c r="R3022" t="s">
        <v>6074</v>
      </c>
      <c r="S3022" t="s">
        <v>7324</v>
      </c>
      <c r="U3022" t="s">
        <v>338</v>
      </c>
      <c r="V3022">
        <v>717</v>
      </c>
      <c r="W3022" t="s">
        <v>7362</v>
      </c>
      <c r="Z3022" t="s">
        <v>9650</v>
      </c>
      <c r="AB3022" t="s">
        <v>12273</v>
      </c>
      <c r="AC3022">
        <v>0</v>
      </c>
      <c r="AF3022">
        <v>14</v>
      </c>
      <c r="AG3022">
        <v>3</v>
      </c>
      <c r="AH3022">
        <v>0</v>
      </c>
      <c r="AI3022">
        <v>328.18</v>
      </c>
      <c r="AL3022" t="s">
        <v>12460</v>
      </c>
      <c r="AM3022">
        <v>70000</v>
      </c>
      <c r="AS3022">
        <v>0</v>
      </c>
      <c r="AU3022" t="s">
        <v>88</v>
      </c>
    </row>
    <row r="3023" spans="1:48">
      <c r="A3023" s="1">
        <f>HYPERLINK("https://cms.ls-nyc.org/matter/dynamic-profile/view/1889904","19-1889904")</f>
        <v>0</v>
      </c>
      <c r="B3023" t="s">
        <v>96</v>
      </c>
      <c r="C3023" t="s">
        <v>292</v>
      </c>
      <c r="E3023" t="s">
        <v>1951</v>
      </c>
      <c r="F3023" t="s">
        <v>3239</v>
      </c>
      <c r="G3023" t="s">
        <v>3792</v>
      </c>
      <c r="H3023" t="s">
        <v>5511</v>
      </c>
      <c r="I3023" t="s">
        <v>6047</v>
      </c>
      <c r="J3023">
        <v>10453</v>
      </c>
      <c r="K3023" t="s">
        <v>6074</v>
      </c>
      <c r="L3023" t="s">
        <v>6075</v>
      </c>
      <c r="N3023" t="s">
        <v>7279</v>
      </c>
      <c r="O3023" t="s">
        <v>7309</v>
      </c>
      <c r="Q3023" t="s">
        <v>7322</v>
      </c>
      <c r="R3023" t="s">
        <v>6074</v>
      </c>
      <c r="S3023" t="s">
        <v>7324</v>
      </c>
      <c r="U3023" t="s">
        <v>457</v>
      </c>
      <c r="V3023">
        <v>949</v>
      </c>
      <c r="W3023" t="s">
        <v>7363</v>
      </c>
      <c r="X3023" t="s">
        <v>7376</v>
      </c>
      <c r="Z3023" t="s">
        <v>9651</v>
      </c>
      <c r="AB3023" t="s">
        <v>12274</v>
      </c>
      <c r="AC3023">
        <v>0</v>
      </c>
      <c r="AD3023" t="s">
        <v>12422</v>
      </c>
      <c r="AE3023" t="s">
        <v>12441</v>
      </c>
      <c r="AF3023">
        <v>39</v>
      </c>
      <c r="AG3023">
        <v>1</v>
      </c>
      <c r="AH3023">
        <v>0</v>
      </c>
      <c r="AI3023">
        <v>328.52</v>
      </c>
      <c r="AL3023" t="s">
        <v>12460</v>
      </c>
      <c r="AM3023">
        <v>41032</v>
      </c>
      <c r="AN3023" t="s">
        <v>12780</v>
      </c>
      <c r="AS3023">
        <v>0</v>
      </c>
      <c r="AU3023" t="s">
        <v>13098</v>
      </c>
      <c r="AV3023" t="s">
        <v>13145</v>
      </c>
    </row>
    <row r="3024" spans="1:48">
      <c r="A3024" s="1">
        <f>HYPERLINK("https://cms.ls-nyc.org/matter/dynamic-profile/view/1889883","19-1889883")</f>
        <v>0</v>
      </c>
      <c r="B3024" t="s">
        <v>96</v>
      </c>
      <c r="C3024" t="s">
        <v>292</v>
      </c>
      <c r="E3024" t="s">
        <v>1951</v>
      </c>
      <c r="F3024" t="s">
        <v>3239</v>
      </c>
      <c r="G3024" t="s">
        <v>3792</v>
      </c>
      <c r="H3024" t="s">
        <v>5511</v>
      </c>
      <c r="I3024" t="s">
        <v>6047</v>
      </c>
      <c r="J3024">
        <v>10453</v>
      </c>
      <c r="K3024" t="s">
        <v>6074</v>
      </c>
      <c r="L3024" t="s">
        <v>6076</v>
      </c>
      <c r="M3024" t="s">
        <v>6259</v>
      </c>
      <c r="N3024" t="s">
        <v>7273</v>
      </c>
      <c r="O3024" t="s">
        <v>7308</v>
      </c>
      <c r="Q3024" t="s">
        <v>7322</v>
      </c>
      <c r="R3024" t="s">
        <v>6074</v>
      </c>
      <c r="S3024" t="s">
        <v>7324</v>
      </c>
      <c r="U3024" t="s">
        <v>457</v>
      </c>
      <c r="V3024">
        <v>949</v>
      </c>
      <c r="W3024" t="s">
        <v>7363</v>
      </c>
      <c r="X3024" t="s">
        <v>7376</v>
      </c>
      <c r="Z3024" t="s">
        <v>9651</v>
      </c>
      <c r="AB3024" t="s">
        <v>12274</v>
      </c>
      <c r="AC3024">
        <v>0</v>
      </c>
      <c r="AD3024" t="s">
        <v>12422</v>
      </c>
      <c r="AE3024" t="s">
        <v>12441</v>
      </c>
      <c r="AF3024">
        <v>39</v>
      </c>
      <c r="AG3024">
        <v>1</v>
      </c>
      <c r="AH3024">
        <v>0</v>
      </c>
      <c r="AI3024">
        <v>328.52</v>
      </c>
      <c r="AL3024" t="s">
        <v>12460</v>
      </c>
      <c r="AM3024">
        <v>41032</v>
      </c>
      <c r="AS3024">
        <v>0</v>
      </c>
      <c r="AU3024" t="s">
        <v>13098</v>
      </c>
    </row>
    <row r="3025" spans="1:48">
      <c r="A3025" s="1">
        <f>HYPERLINK("https://cms.ls-nyc.org/matter/dynamic-profile/view/1886109","18-1886109")</f>
        <v>0</v>
      </c>
      <c r="B3025" t="s">
        <v>72</v>
      </c>
      <c r="C3025" t="s">
        <v>326</v>
      </c>
      <c r="E3025" t="s">
        <v>1938</v>
      </c>
      <c r="F3025" t="s">
        <v>2112</v>
      </c>
      <c r="G3025" t="s">
        <v>3701</v>
      </c>
      <c r="H3025" t="s">
        <v>5534</v>
      </c>
      <c r="I3025" t="s">
        <v>6043</v>
      </c>
      <c r="J3025">
        <v>11233</v>
      </c>
      <c r="K3025" t="s">
        <v>6074</v>
      </c>
      <c r="L3025" t="s">
        <v>6074</v>
      </c>
      <c r="M3025" t="s">
        <v>6104</v>
      </c>
      <c r="N3025" t="s">
        <v>7279</v>
      </c>
      <c r="O3025" t="s">
        <v>7309</v>
      </c>
      <c r="Q3025" t="s">
        <v>7322</v>
      </c>
      <c r="R3025" t="s">
        <v>6074</v>
      </c>
      <c r="S3025" t="s">
        <v>7324</v>
      </c>
      <c r="T3025" t="s">
        <v>7336</v>
      </c>
      <c r="U3025" t="s">
        <v>462</v>
      </c>
      <c r="V3025">
        <v>628</v>
      </c>
      <c r="W3025" t="s">
        <v>7362</v>
      </c>
      <c r="X3025" t="s">
        <v>7375</v>
      </c>
      <c r="Z3025" t="s">
        <v>9629</v>
      </c>
      <c r="AA3025" t="s">
        <v>6110</v>
      </c>
      <c r="AB3025" t="s">
        <v>12256</v>
      </c>
      <c r="AC3025">
        <v>764</v>
      </c>
      <c r="AD3025" t="s">
        <v>12422</v>
      </c>
      <c r="AE3025" t="s">
        <v>6110</v>
      </c>
      <c r="AF3025">
        <v>18</v>
      </c>
      <c r="AG3025">
        <v>1</v>
      </c>
      <c r="AH3025">
        <v>0</v>
      </c>
      <c r="AI3025">
        <v>329.49</v>
      </c>
      <c r="AJ3025" t="s">
        <v>459</v>
      </c>
      <c r="AK3025" t="s">
        <v>12456</v>
      </c>
      <c r="AL3025" t="s">
        <v>12460</v>
      </c>
      <c r="AM3025">
        <v>40000</v>
      </c>
      <c r="AS3025">
        <v>0</v>
      </c>
      <c r="AU3025" t="s">
        <v>218</v>
      </c>
    </row>
    <row r="3026" spans="1:48">
      <c r="A3026" s="1">
        <f>HYPERLINK("https://cms.ls-nyc.org/matter/dynamic-profile/view/1887578","19-1887578")</f>
        <v>0</v>
      </c>
      <c r="B3026" t="s">
        <v>92</v>
      </c>
      <c r="C3026" t="s">
        <v>492</v>
      </c>
      <c r="D3026" t="s">
        <v>472</v>
      </c>
      <c r="E3026" t="s">
        <v>1952</v>
      </c>
      <c r="F3026" t="s">
        <v>2226</v>
      </c>
      <c r="G3026" t="s">
        <v>4991</v>
      </c>
      <c r="H3026" t="s">
        <v>5422</v>
      </c>
      <c r="I3026" t="s">
        <v>6043</v>
      </c>
      <c r="J3026">
        <v>11233</v>
      </c>
      <c r="K3026" t="s">
        <v>6074</v>
      </c>
      <c r="L3026" t="s">
        <v>6074</v>
      </c>
      <c r="M3026" t="s">
        <v>7188</v>
      </c>
      <c r="N3026" t="s">
        <v>7279</v>
      </c>
      <c r="O3026" t="s">
        <v>7311</v>
      </c>
      <c r="P3026" t="s">
        <v>7321</v>
      </c>
      <c r="Q3026" t="s">
        <v>7322</v>
      </c>
      <c r="R3026" t="s">
        <v>6074</v>
      </c>
      <c r="S3026" t="s">
        <v>7324</v>
      </c>
      <c r="U3026" t="s">
        <v>7344</v>
      </c>
      <c r="V3026">
        <v>2400</v>
      </c>
      <c r="W3026" t="s">
        <v>7362</v>
      </c>
      <c r="X3026" t="s">
        <v>7372</v>
      </c>
      <c r="Y3026" t="s">
        <v>7387</v>
      </c>
      <c r="Z3026" t="s">
        <v>9652</v>
      </c>
      <c r="AB3026" t="s">
        <v>12275</v>
      </c>
      <c r="AC3026">
        <v>7</v>
      </c>
      <c r="AD3026" t="s">
        <v>12422</v>
      </c>
      <c r="AE3026" t="s">
        <v>6110</v>
      </c>
      <c r="AF3026">
        <v>1</v>
      </c>
      <c r="AG3026">
        <v>1</v>
      </c>
      <c r="AH3026">
        <v>0</v>
      </c>
      <c r="AI3026">
        <v>329.49</v>
      </c>
      <c r="AL3026" t="s">
        <v>12460</v>
      </c>
      <c r="AM3026">
        <v>40000</v>
      </c>
      <c r="AP3026" t="s">
        <v>12908</v>
      </c>
      <c r="AS3026">
        <v>0.4</v>
      </c>
      <c r="AT3026" t="s">
        <v>492</v>
      </c>
      <c r="AU3026" t="s">
        <v>180</v>
      </c>
    </row>
    <row r="3027" spans="1:48">
      <c r="A3027" s="1">
        <f>HYPERLINK("https://cms.ls-nyc.org/matter/dynamic-profile/view/1887582","19-1887582")</f>
        <v>0</v>
      </c>
      <c r="B3027" t="s">
        <v>92</v>
      </c>
      <c r="C3027" t="s">
        <v>492</v>
      </c>
      <c r="D3027" t="s">
        <v>472</v>
      </c>
      <c r="E3027" t="s">
        <v>1952</v>
      </c>
      <c r="F3027" t="s">
        <v>2226</v>
      </c>
      <c r="G3027" t="s">
        <v>4991</v>
      </c>
      <c r="H3027" t="s">
        <v>5422</v>
      </c>
      <c r="I3027" t="s">
        <v>6043</v>
      </c>
      <c r="J3027">
        <v>11233</v>
      </c>
      <c r="K3027" t="s">
        <v>6074</v>
      </c>
      <c r="L3027" t="s">
        <v>6074</v>
      </c>
      <c r="N3027" t="s">
        <v>7275</v>
      </c>
      <c r="O3027" t="s">
        <v>7307</v>
      </c>
      <c r="P3027" t="s">
        <v>7315</v>
      </c>
      <c r="Q3027" t="s">
        <v>7322</v>
      </c>
      <c r="R3027" t="s">
        <v>6074</v>
      </c>
      <c r="S3027" t="s">
        <v>7324</v>
      </c>
      <c r="U3027" t="s">
        <v>462</v>
      </c>
      <c r="V3027">
        <v>2400</v>
      </c>
      <c r="W3027" t="s">
        <v>7362</v>
      </c>
      <c r="X3027" t="s">
        <v>7372</v>
      </c>
      <c r="Y3027" t="s">
        <v>7387</v>
      </c>
      <c r="Z3027" t="s">
        <v>9652</v>
      </c>
      <c r="AB3027" t="s">
        <v>12275</v>
      </c>
      <c r="AC3027">
        <v>7</v>
      </c>
      <c r="AD3027" t="s">
        <v>12422</v>
      </c>
      <c r="AE3027" t="s">
        <v>6110</v>
      </c>
      <c r="AF3027">
        <v>1</v>
      </c>
      <c r="AG3027">
        <v>1</v>
      </c>
      <c r="AH3027">
        <v>0</v>
      </c>
      <c r="AI3027">
        <v>329.49</v>
      </c>
      <c r="AL3027" t="s">
        <v>12460</v>
      </c>
      <c r="AM3027">
        <v>40000</v>
      </c>
      <c r="AP3027" t="s">
        <v>7305</v>
      </c>
      <c r="AS3027">
        <v>0.2</v>
      </c>
      <c r="AT3027" t="s">
        <v>492</v>
      </c>
      <c r="AU3027" t="s">
        <v>180</v>
      </c>
    </row>
    <row r="3028" spans="1:48">
      <c r="A3028" s="1">
        <f>HYPERLINK("https://cms.ls-nyc.org/matter/dynamic-profile/view/1890567","19-1890567")</f>
        <v>0</v>
      </c>
      <c r="B3028" t="s">
        <v>72</v>
      </c>
      <c r="C3028" t="s">
        <v>448</v>
      </c>
      <c r="E3028" t="s">
        <v>1061</v>
      </c>
      <c r="F3028" t="s">
        <v>2762</v>
      </c>
      <c r="G3028" t="s">
        <v>3700</v>
      </c>
      <c r="H3028" t="s">
        <v>5923</v>
      </c>
      <c r="I3028" t="s">
        <v>6043</v>
      </c>
      <c r="J3028">
        <v>11233</v>
      </c>
      <c r="K3028" t="s">
        <v>6074</v>
      </c>
      <c r="L3028" t="s">
        <v>6076</v>
      </c>
      <c r="N3028" t="s">
        <v>7279</v>
      </c>
      <c r="O3028" t="s">
        <v>7311</v>
      </c>
      <c r="Q3028" t="s">
        <v>7322</v>
      </c>
      <c r="R3028" t="s">
        <v>6074</v>
      </c>
      <c r="S3028" t="s">
        <v>7324</v>
      </c>
      <c r="T3028" t="s">
        <v>7336</v>
      </c>
      <c r="U3028" t="s">
        <v>330</v>
      </c>
      <c r="V3028">
        <v>1108.41</v>
      </c>
      <c r="W3028" t="s">
        <v>7362</v>
      </c>
      <c r="X3028" t="s">
        <v>7305</v>
      </c>
      <c r="Z3028" t="s">
        <v>7494</v>
      </c>
      <c r="AC3028">
        <v>359</v>
      </c>
      <c r="AD3028" t="s">
        <v>12422</v>
      </c>
      <c r="AE3028" t="s">
        <v>6110</v>
      </c>
      <c r="AF3028">
        <v>38</v>
      </c>
      <c r="AG3028">
        <v>2</v>
      </c>
      <c r="AH3028">
        <v>0</v>
      </c>
      <c r="AI3028">
        <v>329.64</v>
      </c>
      <c r="AL3028" t="s">
        <v>12460</v>
      </c>
      <c r="AM3028">
        <v>55742</v>
      </c>
      <c r="AN3028" t="s">
        <v>12488</v>
      </c>
      <c r="AS3028">
        <v>0</v>
      </c>
      <c r="AU3028" t="s">
        <v>180</v>
      </c>
    </row>
    <row r="3029" spans="1:48">
      <c r="A3029" s="1">
        <f>HYPERLINK("https://cms.ls-nyc.org/matter/dynamic-profile/view/1891869","19-1891869")</f>
        <v>0</v>
      </c>
      <c r="B3029" t="s">
        <v>72</v>
      </c>
      <c r="C3029" t="s">
        <v>318</v>
      </c>
      <c r="E3029" t="s">
        <v>1061</v>
      </c>
      <c r="F3029" t="s">
        <v>2762</v>
      </c>
      <c r="G3029" t="s">
        <v>3700</v>
      </c>
      <c r="H3029" t="s">
        <v>5923</v>
      </c>
      <c r="I3029" t="s">
        <v>6043</v>
      </c>
      <c r="J3029">
        <v>11233</v>
      </c>
      <c r="K3029" t="s">
        <v>6074</v>
      </c>
      <c r="L3029" t="s">
        <v>6076</v>
      </c>
      <c r="M3029" t="s">
        <v>6110</v>
      </c>
      <c r="N3029" t="s">
        <v>7275</v>
      </c>
      <c r="O3029" t="s">
        <v>7307</v>
      </c>
      <c r="Q3029" t="s">
        <v>7322</v>
      </c>
      <c r="R3029" t="s">
        <v>6074</v>
      </c>
      <c r="S3029" t="s">
        <v>7324</v>
      </c>
      <c r="T3029" t="s">
        <v>7336</v>
      </c>
      <c r="U3029" t="s">
        <v>287</v>
      </c>
      <c r="V3029">
        <v>1108.41</v>
      </c>
      <c r="W3029" t="s">
        <v>7362</v>
      </c>
      <c r="Z3029" t="s">
        <v>7494</v>
      </c>
      <c r="AC3029">
        <v>359</v>
      </c>
      <c r="AD3029" t="s">
        <v>12422</v>
      </c>
      <c r="AE3029" t="s">
        <v>6110</v>
      </c>
      <c r="AF3029">
        <v>38</v>
      </c>
      <c r="AG3029">
        <v>2</v>
      </c>
      <c r="AH3029">
        <v>0</v>
      </c>
      <c r="AI3029">
        <v>329.64</v>
      </c>
      <c r="AL3029" t="s">
        <v>12460</v>
      </c>
      <c r="AM3029">
        <v>55742</v>
      </c>
      <c r="AN3029" t="s">
        <v>12781</v>
      </c>
      <c r="AS3029">
        <v>0</v>
      </c>
      <c r="AU3029" t="s">
        <v>218</v>
      </c>
    </row>
    <row r="3030" spans="1:48">
      <c r="A3030" s="1">
        <f>HYPERLINK("https://cms.ls-nyc.org/matter/dynamic-profile/view/1901214","19-1901214")</f>
        <v>0</v>
      </c>
      <c r="B3030" t="s">
        <v>128</v>
      </c>
      <c r="C3030" t="s">
        <v>496</v>
      </c>
      <c r="E3030" t="s">
        <v>1953</v>
      </c>
      <c r="F3030" t="s">
        <v>3520</v>
      </c>
      <c r="G3030" t="s">
        <v>5286</v>
      </c>
      <c r="H3030" t="s">
        <v>5465</v>
      </c>
      <c r="I3030" t="s">
        <v>6049</v>
      </c>
      <c r="J3030">
        <v>10032</v>
      </c>
      <c r="K3030" t="s">
        <v>6074</v>
      </c>
      <c r="L3030" t="s">
        <v>6075</v>
      </c>
      <c r="N3030" t="s">
        <v>7278</v>
      </c>
      <c r="O3030" t="s">
        <v>7306</v>
      </c>
      <c r="Q3030" t="s">
        <v>7322</v>
      </c>
      <c r="R3030" t="s">
        <v>6076</v>
      </c>
      <c r="S3030" t="s">
        <v>7324</v>
      </c>
      <c r="U3030" t="s">
        <v>496</v>
      </c>
      <c r="V3030">
        <v>3445</v>
      </c>
      <c r="W3030" t="s">
        <v>7365</v>
      </c>
      <c r="X3030" t="s">
        <v>7367</v>
      </c>
      <c r="Z3030" t="s">
        <v>9653</v>
      </c>
      <c r="AC3030">
        <v>48</v>
      </c>
      <c r="AD3030" t="s">
        <v>12422</v>
      </c>
      <c r="AE3030" t="s">
        <v>6110</v>
      </c>
      <c r="AF3030">
        <v>2</v>
      </c>
      <c r="AG3030">
        <v>2</v>
      </c>
      <c r="AH3030">
        <v>0</v>
      </c>
      <c r="AI3030">
        <v>330.1</v>
      </c>
      <c r="AL3030" t="s">
        <v>12460</v>
      </c>
      <c r="AM3030">
        <v>55820</v>
      </c>
      <c r="AS3030">
        <v>0</v>
      </c>
      <c r="AU3030" t="s">
        <v>13106</v>
      </c>
      <c r="AV3030" t="s">
        <v>13145</v>
      </c>
    </row>
    <row r="3031" spans="1:48">
      <c r="A3031" s="1">
        <f>HYPERLINK("https://cms.ls-nyc.org/matter/dynamic-profile/view/1895818","19-1895818")</f>
        <v>0</v>
      </c>
      <c r="B3031" t="s">
        <v>84</v>
      </c>
      <c r="C3031" t="s">
        <v>315</v>
      </c>
      <c r="E3031" t="s">
        <v>1954</v>
      </c>
      <c r="F3031" t="s">
        <v>3521</v>
      </c>
      <c r="G3031" t="s">
        <v>3734</v>
      </c>
      <c r="H3031" t="s">
        <v>5871</v>
      </c>
      <c r="I3031" t="s">
        <v>6043</v>
      </c>
      <c r="J3031">
        <v>11217</v>
      </c>
      <c r="K3031" t="s">
        <v>6075</v>
      </c>
      <c r="L3031" t="s">
        <v>6075</v>
      </c>
      <c r="Q3031" t="s">
        <v>7322</v>
      </c>
      <c r="S3031" t="s">
        <v>7324</v>
      </c>
      <c r="U3031" t="s">
        <v>315</v>
      </c>
      <c r="V3031">
        <v>880.58</v>
      </c>
      <c r="W3031" t="s">
        <v>7362</v>
      </c>
      <c r="Z3031" t="s">
        <v>9654</v>
      </c>
      <c r="AB3031" t="s">
        <v>12276</v>
      </c>
      <c r="AC3031">
        <v>0</v>
      </c>
      <c r="AF3031">
        <v>7</v>
      </c>
      <c r="AG3031">
        <v>2</v>
      </c>
      <c r="AH3031">
        <v>0</v>
      </c>
      <c r="AI3031">
        <v>330.73</v>
      </c>
      <c r="AK3031" t="s">
        <v>12456</v>
      </c>
      <c r="AL3031" t="s">
        <v>12460</v>
      </c>
      <c r="AM3031">
        <v>55927</v>
      </c>
      <c r="AS3031">
        <v>2.6</v>
      </c>
      <c r="AT3031" t="s">
        <v>347</v>
      </c>
      <c r="AU3031" t="s">
        <v>69</v>
      </c>
    </row>
    <row r="3032" spans="1:48">
      <c r="A3032" s="1">
        <f>HYPERLINK("https://cms.ls-nyc.org/matter/dynamic-profile/view/1889342","19-1889342")</f>
        <v>0</v>
      </c>
      <c r="B3032" t="s">
        <v>75</v>
      </c>
      <c r="C3032" t="s">
        <v>261</v>
      </c>
      <c r="E3032" t="s">
        <v>1955</v>
      </c>
      <c r="F3032" t="s">
        <v>3522</v>
      </c>
      <c r="G3032" t="s">
        <v>3721</v>
      </c>
      <c r="H3032" t="s">
        <v>5400</v>
      </c>
      <c r="I3032" t="s">
        <v>6043</v>
      </c>
      <c r="J3032">
        <v>11226</v>
      </c>
      <c r="K3032" t="s">
        <v>6076</v>
      </c>
      <c r="L3032" t="s">
        <v>6074</v>
      </c>
      <c r="N3032" t="s">
        <v>7279</v>
      </c>
      <c r="O3032" t="s">
        <v>7311</v>
      </c>
      <c r="Q3032" t="s">
        <v>7322</v>
      </c>
      <c r="R3032" t="s">
        <v>6074</v>
      </c>
      <c r="S3032" t="s">
        <v>7324</v>
      </c>
      <c r="U3032" t="s">
        <v>267</v>
      </c>
      <c r="V3032">
        <v>904.1900000000001</v>
      </c>
      <c r="W3032" t="s">
        <v>7362</v>
      </c>
      <c r="Z3032" t="s">
        <v>7467</v>
      </c>
      <c r="AC3032">
        <v>0</v>
      </c>
      <c r="AF3032">
        <v>38</v>
      </c>
      <c r="AG3032">
        <v>1</v>
      </c>
      <c r="AH3032">
        <v>0</v>
      </c>
      <c r="AI3032">
        <v>331.18</v>
      </c>
      <c r="AL3032" t="s">
        <v>12460</v>
      </c>
      <c r="AM3032">
        <v>41364</v>
      </c>
      <c r="AS3032">
        <v>0</v>
      </c>
      <c r="AU3032" t="s">
        <v>88</v>
      </c>
    </row>
    <row r="3033" spans="1:48">
      <c r="A3033" s="1">
        <f>HYPERLINK("https://cms.ls-nyc.org/matter/dynamic-profile/view/1888758","19-1888758")</f>
        <v>0</v>
      </c>
      <c r="B3033" t="s">
        <v>70</v>
      </c>
      <c r="C3033" t="s">
        <v>284</v>
      </c>
      <c r="E3033" t="s">
        <v>1955</v>
      </c>
      <c r="F3033" t="s">
        <v>3522</v>
      </c>
      <c r="G3033" t="s">
        <v>3721</v>
      </c>
      <c r="H3033" t="s">
        <v>5400</v>
      </c>
      <c r="I3033" t="s">
        <v>6043</v>
      </c>
      <c r="J3033">
        <v>11226</v>
      </c>
      <c r="K3033" t="s">
        <v>6076</v>
      </c>
      <c r="L3033" t="s">
        <v>6074</v>
      </c>
      <c r="O3033" t="s">
        <v>7311</v>
      </c>
      <c r="Q3033" t="s">
        <v>7322</v>
      </c>
      <c r="R3033" t="s">
        <v>6074</v>
      </c>
      <c r="S3033" t="s">
        <v>7324</v>
      </c>
      <c r="U3033" t="s">
        <v>389</v>
      </c>
      <c r="V3033">
        <v>904.1900000000001</v>
      </c>
      <c r="W3033" t="s">
        <v>7362</v>
      </c>
      <c r="Z3033" t="s">
        <v>7467</v>
      </c>
      <c r="AC3033">
        <v>0</v>
      </c>
      <c r="AF3033">
        <v>38</v>
      </c>
      <c r="AG3033">
        <v>1</v>
      </c>
      <c r="AH3033">
        <v>0</v>
      </c>
      <c r="AI3033">
        <v>331.18</v>
      </c>
      <c r="AL3033" t="s">
        <v>12460</v>
      </c>
      <c r="AM3033">
        <v>41364.96</v>
      </c>
      <c r="AS3033">
        <v>0.1</v>
      </c>
      <c r="AT3033" t="s">
        <v>276</v>
      </c>
      <c r="AU3033" t="s">
        <v>88</v>
      </c>
    </row>
    <row r="3034" spans="1:48">
      <c r="A3034" s="1">
        <f>HYPERLINK("https://cms.ls-nyc.org/matter/dynamic-profile/view/1893003","19-1893003")</f>
        <v>0</v>
      </c>
      <c r="B3034" t="s">
        <v>125</v>
      </c>
      <c r="C3034" t="s">
        <v>332</v>
      </c>
      <c r="E3034" t="s">
        <v>1504</v>
      </c>
      <c r="F3034" t="s">
        <v>2293</v>
      </c>
      <c r="G3034" t="s">
        <v>5287</v>
      </c>
      <c r="H3034">
        <v>34</v>
      </c>
      <c r="I3034" t="s">
        <v>6049</v>
      </c>
      <c r="J3034">
        <v>10034</v>
      </c>
      <c r="K3034" t="s">
        <v>6074</v>
      </c>
      <c r="L3034" t="s">
        <v>6074</v>
      </c>
      <c r="M3034" t="s">
        <v>7241</v>
      </c>
      <c r="N3034" t="s">
        <v>7276</v>
      </c>
      <c r="O3034" t="s">
        <v>7306</v>
      </c>
      <c r="Q3034" t="s">
        <v>7322</v>
      </c>
      <c r="R3034" t="s">
        <v>6076</v>
      </c>
      <c r="S3034" t="s">
        <v>7324</v>
      </c>
      <c r="U3034" t="s">
        <v>367</v>
      </c>
      <c r="V3034">
        <v>1450</v>
      </c>
      <c r="W3034" t="s">
        <v>7365</v>
      </c>
      <c r="X3034" t="s">
        <v>7383</v>
      </c>
      <c r="Z3034" t="s">
        <v>9655</v>
      </c>
      <c r="AB3034" t="s">
        <v>12277</v>
      </c>
      <c r="AC3034">
        <v>55</v>
      </c>
      <c r="AD3034" t="s">
        <v>12422</v>
      </c>
      <c r="AE3034" t="s">
        <v>6110</v>
      </c>
      <c r="AF3034">
        <v>3</v>
      </c>
      <c r="AG3034">
        <v>1</v>
      </c>
      <c r="AH3034">
        <v>0</v>
      </c>
      <c r="AI3034">
        <v>333.07</v>
      </c>
      <c r="AL3034" t="s">
        <v>12461</v>
      </c>
      <c r="AM3034">
        <v>41600</v>
      </c>
      <c r="AS3034">
        <v>15.3</v>
      </c>
      <c r="AT3034" t="s">
        <v>363</v>
      </c>
      <c r="AU3034" t="s">
        <v>13117</v>
      </c>
    </row>
    <row r="3035" spans="1:48">
      <c r="A3035" s="1">
        <f>HYPERLINK("https://cms.ls-nyc.org/matter/dynamic-profile/view/1901175","19-1901175")</f>
        <v>0</v>
      </c>
      <c r="B3035" t="s">
        <v>128</v>
      </c>
      <c r="C3035" t="s">
        <v>324</v>
      </c>
      <c r="E3035" t="s">
        <v>1956</v>
      </c>
      <c r="F3035" t="s">
        <v>2674</v>
      </c>
      <c r="G3035" t="s">
        <v>5288</v>
      </c>
      <c r="H3035" t="s">
        <v>5595</v>
      </c>
      <c r="I3035" t="s">
        <v>6049</v>
      </c>
      <c r="J3035">
        <v>10033</v>
      </c>
      <c r="K3035" t="s">
        <v>6074</v>
      </c>
      <c r="L3035" t="s">
        <v>6075</v>
      </c>
      <c r="N3035" t="s">
        <v>7278</v>
      </c>
      <c r="O3035" t="s">
        <v>7306</v>
      </c>
      <c r="Q3035" t="s">
        <v>7322</v>
      </c>
      <c r="R3035" t="s">
        <v>6076</v>
      </c>
      <c r="S3035" t="s">
        <v>7324</v>
      </c>
      <c r="U3035" t="s">
        <v>324</v>
      </c>
      <c r="V3035">
        <v>1850</v>
      </c>
      <c r="W3035" t="s">
        <v>7365</v>
      </c>
      <c r="X3035" t="s">
        <v>7367</v>
      </c>
      <c r="Z3035" t="s">
        <v>9656</v>
      </c>
      <c r="AC3035">
        <v>53</v>
      </c>
      <c r="AD3035" t="s">
        <v>12422</v>
      </c>
      <c r="AE3035" t="s">
        <v>6110</v>
      </c>
      <c r="AF3035">
        <v>4</v>
      </c>
      <c r="AG3035">
        <v>2</v>
      </c>
      <c r="AH3035">
        <v>1</v>
      </c>
      <c r="AI3035">
        <v>334.23</v>
      </c>
      <c r="AL3035" t="s">
        <v>12461</v>
      </c>
      <c r="AM3035">
        <v>71292</v>
      </c>
      <c r="AS3035">
        <v>0</v>
      </c>
      <c r="AU3035" t="s">
        <v>13106</v>
      </c>
      <c r="AV3035" t="s">
        <v>13145</v>
      </c>
    </row>
    <row r="3036" spans="1:48">
      <c r="A3036" s="1">
        <f>HYPERLINK("https://cms.ls-nyc.org/matter/dynamic-profile/view/1876511","18-1876511")</f>
        <v>0</v>
      </c>
      <c r="B3036" t="s">
        <v>89</v>
      </c>
      <c r="C3036" t="s">
        <v>401</v>
      </c>
      <c r="E3036" t="s">
        <v>1947</v>
      </c>
      <c r="F3036" t="s">
        <v>3517</v>
      </c>
      <c r="G3036" t="s">
        <v>4982</v>
      </c>
      <c r="H3036" t="s">
        <v>5981</v>
      </c>
      <c r="I3036" t="s">
        <v>6043</v>
      </c>
      <c r="J3036">
        <v>11213</v>
      </c>
      <c r="K3036" t="s">
        <v>6074</v>
      </c>
      <c r="L3036" t="s">
        <v>6074</v>
      </c>
      <c r="M3036" t="s">
        <v>6147</v>
      </c>
      <c r="N3036" t="s">
        <v>7273</v>
      </c>
      <c r="O3036" t="s">
        <v>7308</v>
      </c>
      <c r="Q3036" t="s">
        <v>7322</v>
      </c>
      <c r="R3036" t="s">
        <v>6074</v>
      </c>
      <c r="S3036" t="s">
        <v>7324</v>
      </c>
      <c r="U3036" t="s">
        <v>253</v>
      </c>
      <c r="V3036">
        <v>756</v>
      </c>
      <c r="W3036" t="s">
        <v>7362</v>
      </c>
      <c r="X3036" t="s">
        <v>7376</v>
      </c>
      <c r="Z3036" t="s">
        <v>9645</v>
      </c>
      <c r="AB3036" t="s">
        <v>12267</v>
      </c>
      <c r="AC3036">
        <v>34</v>
      </c>
      <c r="AD3036" t="s">
        <v>12422</v>
      </c>
      <c r="AE3036" t="s">
        <v>6110</v>
      </c>
      <c r="AF3036">
        <v>40</v>
      </c>
      <c r="AG3036">
        <v>2</v>
      </c>
      <c r="AH3036">
        <v>0</v>
      </c>
      <c r="AI3036">
        <v>335.36</v>
      </c>
      <c r="AL3036" t="s">
        <v>12460</v>
      </c>
      <c r="AM3036">
        <v>55200</v>
      </c>
      <c r="AS3036">
        <v>0.75</v>
      </c>
      <c r="AT3036" t="s">
        <v>405</v>
      </c>
      <c r="AU3036" t="s">
        <v>218</v>
      </c>
    </row>
    <row r="3037" spans="1:48">
      <c r="A3037" s="1">
        <f>HYPERLINK("https://cms.ls-nyc.org/matter/dynamic-profile/view/1897828","19-1897828")</f>
        <v>0</v>
      </c>
      <c r="B3037" t="s">
        <v>126</v>
      </c>
      <c r="C3037" t="s">
        <v>375</v>
      </c>
      <c r="E3037" t="s">
        <v>737</v>
      </c>
      <c r="F3037" t="s">
        <v>3192</v>
      </c>
      <c r="G3037" t="s">
        <v>4479</v>
      </c>
      <c r="H3037" t="s">
        <v>5436</v>
      </c>
      <c r="I3037" t="s">
        <v>6049</v>
      </c>
      <c r="J3037">
        <v>10035</v>
      </c>
      <c r="K3037" t="s">
        <v>6074</v>
      </c>
      <c r="L3037" t="s">
        <v>6074</v>
      </c>
      <c r="N3037" t="s">
        <v>6104</v>
      </c>
      <c r="O3037" t="s">
        <v>7307</v>
      </c>
      <c r="Q3037" t="s">
        <v>7322</v>
      </c>
      <c r="R3037" t="s">
        <v>6074</v>
      </c>
      <c r="S3037" t="s">
        <v>7324</v>
      </c>
      <c r="T3037" t="s">
        <v>7336</v>
      </c>
      <c r="U3037" t="s">
        <v>375</v>
      </c>
      <c r="V3037">
        <v>1066.31</v>
      </c>
      <c r="W3037" t="s">
        <v>7365</v>
      </c>
      <c r="X3037" t="s">
        <v>7378</v>
      </c>
      <c r="Z3037" t="s">
        <v>9657</v>
      </c>
      <c r="AC3037">
        <v>60</v>
      </c>
      <c r="AD3037" t="s">
        <v>12422</v>
      </c>
      <c r="AE3037" t="s">
        <v>6110</v>
      </c>
      <c r="AF3037">
        <v>15</v>
      </c>
      <c r="AG3037">
        <v>3</v>
      </c>
      <c r="AH3037">
        <v>0</v>
      </c>
      <c r="AI3037">
        <v>335.68</v>
      </c>
      <c r="AL3037" t="s">
        <v>12460</v>
      </c>
      <c r="AM3037">
        <v>71600</v>
      </c>
      <c r="AS3037">
        <v>0</v>
      </c>
      <c r="AU3037" t="s">
        <v>13107</v>
      </c>
    </row>
    <row r="3038" spans="1:48">
      <c r="A3038" s="1">
        <f>HYPERLINK("https://cms.ls-nyc.org/matter/dynamic-profile/view/1881561","18-1881561")</f>
        <v>0</v>
      </c>
      <c r="B3038" t="s">
        <v>81</v>
      </c>
      <c r="C3038" t="s">
        <v>369</v>
      </c>
      <c r="E3038" t="s">
        <v>1957</v>
      </c>
      <c r="F3038" t="s">
        <v>2297</v>
      </c>
      <c r="G3038" t="s">
        <v>4247</v>
      </c>
      <c r="I3038" t="s">
        <v>6043</v>
      </c>
      <c r="J3038">
        <v>11220</v>
      </c>
      <c r="K3038" t="s">
        <v>6074</v>
      </c>
      <c r="L3038" t="s">
        <v>6075</v>
      </c>
      <c r="M3038" t="s">
        <v>7242</v>
      </c>
      <c r="N3038" t="s">
        <v>7279</v>
      </c>
      <c r="O3038" t="s">
        <v>7311</v>
      </c>
      <c r="Q3038" t="s">
        <v>7322</v>
      </c>
      <c r="R3038" t="s">
        <v>6074</v>
      </c>
      <c r="S3038" t="s">
        <v>7324</v>
      </c>
      <c r="U3038" t="s">
        <v>246</v>
      </c>
      <c r="V3038">
        <v>1560</v>
      </c>
      <c r="W3038" t="s">
        <v>7362</v>
      </c>
      <c r="X3038" t="s">
        <v>7376</v>
      </c>
      <c r="Z3038" t="s">
        <v>9658</v>
      </c>
      <c r="AC3038">
        <v>12</v>
      </c>
      <c r="AD3038" t="s">
        <v>12422</v>
      </c>
      <c r="AE3038" t="s">
        <v>12434</v>
      </c>
      <c r="AF3038">
        <v>34</v>
      </c>
      <c r="AG3038">
        <v>1</v>
      </c>
      <c r="AH3038">
        <v>0</v>
      </c>
      <c r="AI3038">
        <v>336.08</v>
      </c>
      <c r="AL3038" t="s">
        <v>12460</v>
      </c>
      <c r="AM3038">
        <v>40800</v>
      </c>
      <c r="AS3038">
        <v>5.35</v>
      </c>
      <c r="AT3038" t="s">
        <v>428</v>
      </c>
      <c r="AU3038" t="s">
        <v>13142</v>
      </c>
      <c r="AV3038" t="s">
        <v>13145</v>
      </c>
    </row>
    <row r="3039" spans="1:48">
      <c r="A3039" s="1">
        <f>HYPERLINK("https://cms.ls-nyc.org/matter/dynamic-profile/view/1891710","19-1891710")</f>
        <v>0</v>
      </c>
      <c r="B3039" t="s">
        <v>72</v>
      </c>
      <c r="C3039" t="s">
        <v>364</v>
      </c>
      <c r="E3039" t="s">
        <v>1958</v>
      </c>
      <c r="F3039" t="s">
        <v>3523</v>
      </c>
      <c r="G3039" t="s">
        <v>3700</v>
      </c>
      <c r="H3039" t="s">
        <v>5982</v>
      </c>
      <c r="I3039" t="s">
        <v>6043</v>
      </c>
      <c r="J3039">
        <v>11233</v>
      </c>
      <c r="K3039" t="s">
        <v>6074</v>
      </c>
      <c r="L3039" t="s">
        <v>6074</v>
      </c>
      <c r="M3039" t="s">
        <v>6110</v>
      </c>
      <c r="N3039" t="s">
        <v>7275</v>
      </c>
      <c r="O3039" t="s">
        <v>7307</v>
      </c>
      <c r="Q3039" t="s">
        <v>7322</v>
      </c>
      <c r="R3039" t="s">
        <v>6074</v>
      </c>
      <c r="S3039" t="s">
        <v>7324</v>
      </c>
      <c r="T3039" t="s">
        <v>7336</v>
      </c>
      <c r="U3039" t="s">
        <v>287</v>
      </c>
      <c r="V3039">
        <v>583.25</v>
      </c>
      <c r="W3039" t="s">
        <v>7362</v>
      </c>
      <c r="Z3039" t="s">
        <v>9659</v>
      </c>
      <c r="AB3039" t="s">
        <v>12278</v>
      </c>
      <c r="AC3039">
        <v>359</v>
      </c>
      <c r="AD3039" t="s">
        <v>12422</v>
      </c>
      <c r="AE3039" t="s">
        <v>6110</v>
      </c>
      <c r="AF3039">
        <v>0</v>
      </c>
      <c r="AG3039">
        <v>1</v>
      </c>
      <c r="AH3039">
        <v>0</v>
      </c>
      <c r="AI3039">
        <v>336.27</v>
      </c>
      <c r="AL3039" t="s">
        <v>12460</v>
      </c>
      <c r="AM3039">
        <v>42000</v>
      </c>
      <c r="AN3039" t="s">
        <v>12782</v>
      </c>
      <c r="AS3039">
        <v>0</v>
      </c>
      <c r="AU3039" t="s">
        <v>218</v>
      </c>
    </row>
    <row r="3040" spans="1:48">
      <c r="A3040" s="1">
        <f>HYPERLINK("https://cms.ls-nyc.org/matter/dynamic-profile/view/1895374","19-1895374")</f>
        <v>0</v>
      </c>
      <c r="B3040" t="s">
        <v>78</v>
      </c>
      <c r="C3040" t="s">
        <v>247</v>
      </c>
      <c r="E3040" t="s">
        <v>1025</v>
      </c>
      <c r="F3040" t="s">
        <v>2429</v>
      </c>
      <c r="G3040" t="s">
        <v>3919</v>
      </c>
      <c r="H3040" t="s">
        <v>5390</v>
      </c>
      <c r="I3040" t="s">
        <v>6043</v>
      </c>
      <c r="J3040">
        <v>11212</v>
      </c>
      <c r="K3040" t="s">
        <v>6074</v>
      </c>
      <c r="L3040" t="s">
        <v>6074</v>
      </c>
      <c r="N3040" t="s">
        <v>7287</v>
      </c>
      <c r="O3040" t="s">
        <v>7312</v>
      </c>
      <c r="Q3040" t="s">
        <v>7322</v>
      </c>
      <c r="R3040" t="s">
        <v>6074</v>
      </c>
      <c r="S3040" t="s">
        <v>7324</v>
      </c>
      <c r="U3040" t="s">
        <v>247</v>
      </c>
      <c r="V3040">
        <v>1122</v>
      </c>
      <c r="W3040" t="s">
        <v>7362</v>
      </c>
      <c r="X3040" t="s">
        <v>7375</v>
      </c>
      <c r="Z3040" t="s">
        <v>9660</v>
      </c>
      <c r="AC3040">
        <v>0</v>
      </c>
      <c r="AD3040" t="s">
        <v>12422</v>
      </c>
      <c r="AF3040">
        <v>3</v>
      </c>
      <c r="AG3040">
        <v>2</v>
      </c>
      <c r="AH3040">
        <v>0</v>
      </c>
      <c r="AI3040">
        <v>336.72</v>
      </c>
      <c r="AL3040" t="s">
        <v>12460</v>
      </c>
      <c r="AM3040">
        <v>56940</v>
      </c>
      <c r="AS3040">
        <v>0</v>
      </c>
      <c r="AU3040" t="s">
        <v>180</v>
      </c>
    </row>
    <row r="3041" spans="1:48">
      <c r="A3041" s="1">
        <f>HYPERLINK("https://cms.ls-nyc.org/matter/dynamic-profile/view/1878114","18-1878114")</f>
        <v>0</v>
      </c>
      <c r="B3041" t="s">
        <v>134</v>
      </c>
      <c r="C3041" t="s">
        <v>255</v>
      </c>
      <c r="D3041" t="s">
        <v>315</v>
      </c>
      <c r="E3041" t="s">
        <v>1959</v>
      </c>
      <c r="F3041" t="s">
        <v>3524</v>
      </c>
      <c r="G3041" t="s">
        <v>5289</v>
      </c>
      <c r="H3041" t="s">
        <v>5983</v>
      </c>
      <c r="I3041" t="s">
        <v>6049</v>
      </c>
      <c r="J3041">
        <v>10029</v>
      </c>
      <c r="K3041" t="s">
        <v>6074</v>
      </c>
      <c r="L3041" t="s">
        <v>6074</v>
      </c>
      <c r="N3041" t="s">
        <v>7301</v>
      </c>
      <c r="O3041" t="s">
        <v>7311</v>
      </c>
      <c r="P3041" t="s">
        <v>7316</v>
      </c>
      <c r="Q3041" t="s">
        <v>7322</v>
      </c>
      <c r="R3041" t="s">
        <v>6076</v>
      </c>
      <c r="S3041" t="s">
        <v>7324</v>
      </c>
      <c r="T3041" t="s">
        <v>7336</v>
      </c>
      <c r="U3041" t="s">
        <v>483</v>
      </c>
      <c r="V3041">
        <v>1123</v>
      </c>
      <c r="W3041" t="s">
        <v>7365</v>
      </c>
      <c r="X3041" t="s">
        <v>7383</v>
      </c>
      <c r="Y3041" t="s">
        <v>7390</v>
      </c>
      <c r="Z3041" t="s">
        <v>9661</v>
      </c>
      <c r="AB3041" t="s">
        <v>12279</v>
      </c>
      <c r="AC3041">
        <v>180</v>
      </c>
      <c r="AD3041" t="s">
        <v>12423</v>
      </c>
      <c r="AE3041" t="s">
        <v>6110</v>
      </c>
      <c r="AF3041">
        <v>54</v>
      </c>
      <c r="AG3041">
        <v>2</v>
      </c>
      <c r="AH3041">
        <v>0</v>
      </c>
      <c r="AI3041">
        <v>340</v>
      </c>
      <c r="AJ3041" t="s">
        <v>492</v>
      </c>
      <c r="AK3041" t="s">
        <v>12456</v>
      </c>
      <c r="AL3041" t="s">
        <v>12460</v>
      </c>
      <c r="AM3041">
        <v>55964</v>
      </c>
      <c r="AO3041" t="s">
        <v>12847</v>
      </c>
      <c r="AQ3041" t="s">
        <v>12910</v>
      </c>
      <c r="AR3041" t="s">
        <v>13061</v>
      </c>
      <c r="AS3041">
        <v>54</v>
      </c>
      <c r="AT3041" t="s">
        <v>315</v>
      </c>
      <c r="AU3041" t="s">
        <v>13117</v>
      </c>
    </row>
    <row r="3042" spans="1:48">
      <c r="A3042" s="1">
        <f>HYPERLINK("https://cms.ls-nyc.org/matter/dynamic-profile/view/1901021","19-1901021")</f>
        <v>0</v>
      </c>
      <c r="B3042" t="s">
        <v>222</v>
      </c>
      <c r="C3042" t="s">
        <v>382</v>
      </c>
      <c r="E3042" t="s">
        <v>913</v>
      </c>
      <c r="F3042" t="s">
        <v>3525</v>
      </c>
      <c r="G3042" t="s">
        <v>4495</v>
      </c>
      <c r="H3042">
        <v>801</v>
      </c>
      <c r="I3042" t="s">
        <v>6049</v>
      </c>
      <c r="J3042">
        <v>10029</v>
      </c>
      <c r="K3042" t="s">
        <v>6074</v>
      </c>
      <c r="L3042" t="s">
        <v>6075</v>
      </c>
      <c r="N3042" t="s">
        <v>7290</v>
      </c>
      <c r="O3042" t="s">
        <v>7309</v>
      </c>
      <c r="Q3042" t="s">
        <v>7322</v>
      </c>
      <c r="R3042" t="s">
        <v>6076</v>
      </c>
      <c r="S3042" t="s">
        <v>7333</v>
      </c>
      <c r="T3042" t="s">
        <v>7336</v>
      </c>
      <c r="U3042" t="s">
        <v>382</v>
      </c>
      <c r="V3042">
        <v>987</v>
      </c>
      <c r="W3042" t="s">
        <v>7365</v>
      </c>
      <c r="X3042" t="s">
        <v>7370</v>
      </c>
      <c r="Z3042" t="s">
        <v>9662</v>
      </c>
      <c r="AB3042" t="s">
        <v>12280</v>
      </c>
      <c r="AC3042">
        <v>108</v>
      </c>
      <c r="AD3042" t="s">
        <v>12420</v>
      </c>
      <c r="AE3042" t="s">
        <v>12434</v>
      </c>
      <c r="AF3042">
        <v>20</v>
      </c>
      <c r="AG3042">
        <v>1</v>
      </c>
      <c r="AH3042">
        <v>0</v>
      </c>
      <c r="AI3042">
        <v>340.27</v>
      </c>
      <c r="AL3042" t="s">
        <v>12460</v>
      </c>
      <c r="AM3042">
        <v>42500</v>
      </c>
      <c r="AS3042">
        <v>0</v>
      </c>
      <c r="AU3042" t="s">
        <v>13107</v>
      </c>
      <c r="AV3042" t="s">
        <v>13145</v>
      </c>
    </row>
    <row r="3043" spans="1:48">
      <c r="A3043" s="1">
        <f>HYPERLINK("https://cms.ls-nyc.org/matter/dynamic-profile/view/1896342","19-1896342")</f>
        <v>0</v>
      </c>
      <c r="B3043" t="s">
        <v>54</v>
      </c>
      <c r="C3043" t="s">
        <v>302</v>
      </c>
      <c r="E3043" t="s">
        <v>880</v>
      </c>
      <c r="F3043" t="s">
        <v>2429</v>
      </c>
      <c r="G3043" t="s">
        <v>3900</v>
      </c>
      <c r="H3043">
        <v>10</v>
      </c>
      <c r="I3043" t="s">
        <v>6025</v>
      </c>
      <c r="J3043">
        <v>11691</v>
      </c>
      <c r="K3043" t="s">
        <v>6074</v>
      </c>
      <c r="L3043" t="s">
        <v>6074</v>
      </c>
      <c r="N3043" t="s">
        <v>7279</v>
      </c>
      <c r="O3043" t="s">
        <v>7311</v>
      </c>
      <c r="Q3043" t="s">
        <v>7322</v>
      </c>
      <c r="R3043" t="s">
        <v>6074</v>
      </c>
      <c r="S3043" t="s">
        <v>7324</v>
      </c>
      <c r="U3043" t="s">
        <v>302</v>
      </c>
      <c r="V3043">
        <v>660</v>
      </c>
      <c r="W3043" t="s">
        <v>7361</v>
      </c>
      <c r="Z3043" t="s">
        <v>8578</v>
      </c>
      <c r="AB3043" t="s">
        <v>12281</v>
      </c>
      <c r="AC3043">
        <v>43</v>
      </c>
      <c r="AF3043">
        <v>10</v>
      </c>
      <c r="AG3043">
        <v>2</v>
      </c>
      <c r="AH3043">
        <v>0</v>
      </c>
      <c r="AI3043">
        <v>340.63</v>
      </c>
      <c r="AL3043" t="s">
        <v>12460</v>
      </c>
      <c r="AM3043">
        <v>57600</v>
      </c>
      <c r="AS3043">
        <v>0</v>
      </c>
      <c r="AU3043" t="s">
        <v>13078</v>
      </c>
    </row>
    <row r="3044" spans="1:48">
      <c r="A3044" s="1">
        <f>HYPERLINK("https://cms.ls-nyc.org/matter/dynamic-profile/view/1896347","19-1896347")</f>
        <v>0</v>
      </c>
      <c r="B3044" t="s">
        <v>54</v>
      </c>
      <c r="C3044" t="s">
        <v>302</v>
      </c>
      <c r="E3044" t="s">
        <v>880</v>
      </c>
      <c r="F3044" t="s">
        <v>2429</v>
      </c>
      <c r="G3044" t="s">
        <v>3900</v>
      </c>
      <c r="H3044">
        <v>10</v>
      </c>
      <c r="I3044" t="s">
        <v>6025</v>
      </c>
      <c r="J3044">
        <v>11691</v>
      </c>
      <c r="K3044" t="s">
        <v>6074</v>
      </c>
      <c r="L3044" t="s">
        <v>6074</v>
      </c>
      <c r="N3044" t="s">
        <v>7279</v>
      </c>
      <c r="O3044" t="s">
        <v>7307</v>
      </c>
      <c r="Q3044" t="s">
        <v>7322</v>
      </c>
      <c r="R3044" t="s">
        <v>6074</v>
      </c>
      <c r="S3044" t="s">
        <v>7324</v>
      </c>
      <c r="U3044" t="s">
        <v>302</v>
      </c>
      <c r="V3044">
        <v>660</v>
      </c>
      <c r="W3044" t="s">
        <v>7361</v>
      </c>
      <c r="X3044" t="s">
        <v>7366</v>
      </c>
      <c r="Z3044" t="s">
        <v>8578</v>
      </c>
      <c r="AB3044" t="s">
        <v>12281</v>
      </c>
      <c r="AC3044">
        <v>43</v>
      </c>
      <c r="AF3044">
        <v>10</v>
      </c>
      <c r="AG3044">
        <v>2</v>
      </c>
      <c r="AH3044">
        <v>0</v>
      </c>
      <c r="AI3044">
        <v>340.63</v>
      </c>
      <c r="AL3044" t="s">
        <v>12460</v>
      </c>
      <c r="AM3044">
        <v>57600</v>
      </c>
      <c r="AS3044">
        <v>0</v>
      </c>
      <c r="AU3044" t="s">
        <v>13078</v>
      </c>
    </row>
    <row r="3045" spans="1:48">
      <c r="A3045" s="1">
        <f>HYPERLINK("https://cms.ls-nyc.org/matter/dynamic-profile/view/1899910","19-1899910")</f>
        <v>0</v>
      </c>
      <c r="B3045" t="s">
        <v>104</v>
      </c>
      <c r="C3045" t="s">
        <v>317</v>
      </c>
      <c r="E3045" t="s">
        <v>1960</v>
      </c>
      <c r="F3045" t="s">
        <v>2285</v>
      </c>
      <c r="G3045" t="s">
        <v>5290</v>
      </c>
      <c r="H3045" t="s">
        <v>5625</v>
      </c>
      <c r="I3045" t="s">
        <v>6047</v>
      </c>
      <c r="J3045">
        <v>10467</v>
      </c>
      <c r="K3045" t="s">
        <v>6074</v>
      </c>
      <c r="L3045" t="s">
        <v>6075</v>
      </c>
      <c r="M3045" t="s">
        <v>7243</v>
      </c>
      <c r="N3045" t="s">
        <v>7281</v>
      </c>
      <c r="O3045" t="s">
        <v>7311</v>
      </c>
      <c r="Q3045" t="s">
        <v>7322</v>
      </c>
      <c r="R3045" t="s">
        <v>6076</v>
      </c>
      <c r="S3045" t="s">
        <v>7331</v>
      </c>
      <c r="U3045" t="s">
        <v>317</v>
      </c>
      <c r="V3045">
        <v>1350</v>
      </c>
      <c r="W3045" t="s">
        <v>7363</v>
      </c>
      <c r="X3045" t="s">
        <v>7367</v>
      </c>
      <c r="Z3045" t="s">
        <v>9663</v>
      </c>
      <c r="AB3045" t="s">
        <v>12282</v>
      </c>
      <c r="AC3045">
        <v>0</v>
      </c>
      <c r="AD3045" t="s">
        <v>12419</v>
      </c>
      <c r="AE3045" t="s">
        <v>12434</v>
      </c>
      <c r="AF3045">
        <v>18</v>
      </c>
      <c r="AG3045">
        <v>1</v>
      </c>
      <c r="AH3045">
        <v>0</v>
      </c>
      <c r="AI3045">
        <v>340.83</v>
      </c>
      <c r="AL3045" t="s">
        <v>12460</v>
      </c>
      <c r="AM3045">
        <v>42570</v>
      </c>
      <c r="AN3045" t="s">
        <v>12783</v>
      </c>
      <c r="AS3045">
        <v>0.1</v>
      </c>
      <c r="AT3045" t="s">
        <v>317</v>
      </c>
      <c r="AU3045" t="s">
        <v>104</v>
      </c>
      <c r="AV3045" t="s">
        <v>13145</v>
      </c>
    </row>
    <row r="3046" spans="1:48">
      <c r="A3046" s="1">
        <f>HYPERLINK("https://cms.ls-nyc.org/matter/dynamic-profile/view/1884532","18-1884532")</f>
        <v>0</v>
      </c>
      <c r="B3046" t="s">
        <v>103</v>
      </c>
      <c r="C3046" t="s">
        <v>504</v>
      </c>
      <c r="E3046" t="s">
        <v>956</v>
      </c>
      <c r="F3046" t="s">
        <v>2633</v>
      </c>
      <c r="G3046" t="s">
        <v>3810</v>
      </c>
      <c r="H3046" t="s">
        <v>5984</v>
      </c>
      <c r="I3046" t="s">
        <v>6047</v>
      </c>
      <c r="J3046">
        <v>10451</v>
      </c>
      <c r="K3046" t="s">
        <v>6074</v>
      </c>
      <c r="L3046" t="s">
        <v>6074</v>
      </c>
      <c r="M3046" t="s">
        <v>6201</v>
      </c>
      <c r="N3046" t="s">
        <v>7273</v>
      </c>
      <c r="O3046" t="s">
        <v>7308</v>
      </c>
      <c r="Q3046" t="s">
        <v>7322</v>
      </c>
      <c r="R3046" t="s">
        <v>6074</v>
      </c>
      <c r="S3046" t="s">
        <v>7324</v>
      </c>
      <c r="U3046" t="s">
        <v>472</v>
      </c>
      <c r="V3046">
        <v>1750</v>
      </c>
      <c r="W3046" t="s">
        <v>7363</v>
      </c>
      <c r="X3046" t="s">
        <v>7376</v>
      </c>
      <c r="Z3046" t="s">
        <v>9664</v>
      </c>
      <c r="AB3046" t="s">
        <v>12283</v>
      </c>
      <c r="AC3046">
        <v>100</v>
      </c>
      <c r="AD3046" t="s">
        <v>12425</v>
      </c>
      <c r="AE3046" t="s">
        <v>6110</v>
      </c>
      <c r="AF3046">
        <v>2</v>
      </c>
      <c r="AG3046">
        <v>4</v>
      </c>
      <c r="AH3046">
        <v>0</v>
      </c>
      <c r="AI3046">
        <v>341.04</v>
      </c>
      <c r="AL3046" t="s">
        <v>12461</v>
      </c>
      <c r="AM3046">
        <v>85600</v>
      </c>
      <c r="AS3046">
        <v>0</v>
      </c>
      <c r="AU3046" t="s">
        <v>13095</v>
      </c>
    </row>
    <row r="3047" spans="1:48">
      <c r="A3047" s="1">
        <f>HYPERLINK("https://cms.ls-nyc.org/matter/dynamic-profile/view/1885359","18-1885359")</f>
        <v>0</v>
      </c>
      <c r="B3047" t="s">
        <v>115</v>
      </c>
      <c r="C3047" t="s">
        <v>250</v>
      </c>
      <c r="E3047" t="s">
        <v>1961</v>
      </c>
      <c r="F3047" t="s">
        <v>976</v>
      </c>
      <c r="G3047" t="s">
        <v>4132</v>
      </c>
      <c r="H3047" t="s">
        <v>5485</v>
      </c>
      <c r="I3047" t="s">
        <v>6047</v>
      </c>
      <c r="J3047">
        <v>10463</v>
      </c>
      <c r="K3047" t="s">
        <v>6074</v>
      </c>
      <c r="L3047" t="s">
        <v>6074</v>
      </c>
      <c r="M3047" t="s">
        <v>6566</v>
      </c>
      <c r="N3047" t="s">
        <v>7273</v>
      </c>
      <c r="O3047" t="s">
        <v>7308</v>
      </c>
      <c r="Q3047" t="s">
        <v>7322</v>
      </c>
      <c r="R3047" t="s">
        <v>6074</v>
      </c>
      <c r="S3047" t="s">
        <v>7324</v>
      </c>
      <c r="U3047" t="s">
        <v>472</v>
      </c>
      <c r="V3047">
        <v>1047.38</v>
      </c>
      <c r="W3047" t="s">
        <v>7363</v>
      </c>
      <c r="X3047" t="s">
        <v>7376</v>
      </c>
      <c r="Z3047" t="s">
        <v>9085</v>
      </c>
      <c r="AC3047">
        <v>55</v>
      </c>
      <c r="AD3047" t="s">
        <v>12422</v>
      </c>
      <c r="AE3047" t="s">
        <v>6110</v>
      </c>
      <c r="AF3047">
        <v>4</v>
      </c>
      <c r="AG3047">
        <v>1</v>
      </c>
      <c r="AH3047">
        <v>0</v>
      </c>
      <c r="AI3047">
        <v>342.77</v>
      </c>
      <c r="AL3047" t="s">
        <v>12460</v>
      </c>
      <c r="AM3047">
        <v>41611.74</v>
      </c>
      <c r="AN3047" t="s">
        <v>12587</v>
      </c>
      <c r="AS3047">
        <v>0</v>
      </c>
      <c r="AU3047" t="s">
        <v>13099</v>
      </c>
    </row>
    <row r="3048" spans="1:48">
      <c r="A3048" s="1">
        <f>HYPERLINK("https://cms.ls-nyc.org/matter/dynamic-profile/view/1847006","17-1847006")</f>
        <v>0</v>
      </c>
      <c r="B3048" t="s">
        <v>117</v>
      </c>
      <c r="C3048" t="s">
        <v>545</v>
      </c>
      <c r="E3048" t="s">
        <v>1364</v>
      </c>
      <c r="F3048" t="s">
        <v>2760</v>
      </c>
      <c r="G3048" t="s">
        <v>5291</v>
      </c>
      <c r="H3048" t="s">
        <v>5411</v>
      </c>
      <c r="I3048" t="s">
        <v>6048</v>
      </c>
      <c r="J3048">
        <v>10301</v>
      </c>
      <c r="K3048" t="s">
        <v>6074</v>
      </c>
      <c r="L3048" t="s">
        <v>6074</v>
      </c>
      <c r="M3048" t="s">
        <v>6204</v>
      </c>
      <c r="N3048" t="s">
        <v>7275</v>
      </c>
      <c r="O3048" t="s">
        <v>7309</v>
      </c>
      <c r="Q3048" t="s">
        <v>7322</v>
      </c>
      <c r="R3048" t="s">
        <v>6074</v>
      </c>
      <c r="S3048" t="s">
        <v>7324</v>
      </c>
      <c r="T3048" t="s">
        <v>7336</v>
      </c>
      <c r="U3048" t="s">
        <v>239</v>
      </c>
      <c r="V3048">
        <v>0</v>
      </c>
      <c r="W3048" t="s">
        <v>7364</v>
      </c>
      <c r="X3048" t="s">
        <v>7368</v>
      </c>
      <c r="Z3048" t="s">
        <v>9665</v>
      </c>
      <c r="AB3048" t="s">
        <v>12284</v>
      </c>
      <c r="AC3048">
        <v>100</v>
      </c>
      <c r="AD3048" t="s">
        <v>12422</v>
      </c>
      <c r="AE3048" t="s">
        <v>6110</v>
      </c>
      <c r="AF3048">
        <v>3</v>
      </c>
      <c r="AG3048">
        <v>2</v>
      </c>
      <c r="AH3048">
        <v>1</v>
      </c>
      <c r="AI3048">
        <v>342.8</v>
      </c>
      <c r="AJ3048" t="s">
        <v>12453</v>
      </c>
      <c r="AK3048" t="s">
        <v>12456</v>
      </c>
      <c r="AL3048" t="s">
        <v>12460</v>
      </c>
      <c r="AM3048">
        <v>70000</v>
      </c>
      <c r="AS3048">
        <v>2.2</v>
      </c>
      <c r="AT3048" t="s">
        <v>448</v>
      </c>
      <c r="AU3048" t="s">
        <v>123</v>
      </c>
    </row>
    <row r="3049" spans="1:48">
      <c r="A3049" s="1">
        <f>HYPERLINK("https://cms.ls-nyc.org/matter/dynamic-profile/view/1892850","19-1892850")</f>
        <v>0</v>
      </c>
      <c r="B3049" t="s">
        <v>72</v>
      </c>
      <c r="C3049" t="s">
        <v>356</v>
      </c>
      <c r="E3049" t="s">
        <v>1962</v>
      </c>
      <c r="F3049" t="s">
        <v>2133</v>
      </c>
      <c r="G3049" t="s">
        <v>4324</v>
      </c>
      <c r="H3049" t="s">
        <v>5985</v>
      </c>
      <c r="I3049" t="s">
        <v>6043</v>
      </c>
      <c r="J3049">
        <v>11233</v>
      </c>
      <c r="K3049" t="s">
        <v>6074</v>
      </c>
      <c r="L3049" t="s">
        <v>6076</v>
      </c>
      <c r="N3049" t="s">
        <v>7279</v>
      </c>
      <c r="O3049" t="s">
        <v>7311</v>
      </c>
      <c r="Q3049" t="s">
        <v>7322</v>
      </c>
      <c r="R3049" t="s">
        <v>6074</v>
      </c>
      <c r="S3049" t="s">
        <v>7324</v>
      </c>
      <c r="T3049" t="s">
        <v>7336</v>
      </c>
      <c r="U3049" t="s">
        <v>330</v>
      </c>
      <c r="V3049">
        <v>833</v>
      </c>
      <c r="W3049" t="s">
        <v>7362</v>
      </c>
      <c r="X3049" t="s">
        <v>7305</v>
      </c>
      <c r="Z3049" t="s">
        <v>9666</v>
      </c>
      <c r="AC3049">
        <v>359</v>
      </c>
      <c r="AD3049" t="s">
        <v>12422</v>
      </c>
      <c r="AF3049">
        <v>1</v>
      </c>
      <c r="AG3049">
        <v>1</v>
      </c>
      <c r="AH3049">
        <v>0</v>
      </c>
      <c r="AI3049">
        <v>344.28</v>
      </c>
      <c r="AJ3049" t="s">
        <v>459</v>
      </c>
      <c r="AK3049" t="s">
        <v>12456</v>
      </c>
      <c r="AL3049" t="s">
        <v>12460</v>
      </c>
      <c r="AM3049">
        <v>43000</v>
      </c>
      <c r="AN3049" t="s">
        <v>12488</v>
      </c>
      <c r="AS3049">
        <v>0</v>
      </c>
      <c r="AU3049" t="s">
        <v>180</v>
      </c>
    </row>
    <row r="3050" spans="1:48">
      <c r="A3050" s="1">
        <f>HYPERLINK("https://cms.ls-nyc.org/matter/dynamic-profile/view/1892854","19-1892854")</f>
        <v>0</v>
      </c>
      <c r="B3050" t="s">
        <v>72</v>
      </c>
      <c r="C3050" t="s">
        <v>356</v>
      </c>
      <c r="E3050" t="s">
        <v>1962</v>
      </c>
      <c r="F3050" t="s">
        <v>2133</v>
      </c>
      <c r="G3050" t="s">
        <v>4324</v>
      </c>
      <c r="H3050" t="s">
        <v>5985</v>
      </c>
      <c r="I3050" t="s">
        <v>6043</v>
      </c>
      <c r="J3050">
        <v>11233</v>
      </c>
      <c r="K3050" t="s">
        <v>6074</v>
      </c>
      <c r="L3050" t="s">
        <v>6076</v>
      </c>
      <c r="N3050" t="s">
        <v>7275</v>
      </c>
      <c r="O3050" t="s">
        <v>7307</v>
      </c>
      <c r="Q3050" t="s">
        <v>7322</v>
      </c>
      <c r="R3050" t="s">
        <v>6074</v>
      </c>
      <c r="S3050" t="s">
        <v>7324</v>
      </c>
      <c r="T3050" t="s">
        <v>7336</v>
      </c>
      <c r="U3050" t="s">
        <v>287</v>
      </c>
      <c r="V3050">
        <v>833</v>
      </c>
      <c r="W3050" t="s">
        <v>7362</v>
      </c>
      <c r="X3050" t="s">
        <v>7305</v>
      </c>
      <c r="Z3050" t="s">
        <v>9666</v>
      </c>
      <c r="AC3050">
        <v>0</v>
      </c>
      <c r="AD3050" t="s">
        <v>12422</v>
      </c>
      <c r="AF3050">
        <v>1</v>
      </c>
      <c r="AG3050">
        <v>1</v>
      </c>
      <c r="AH3050">
        <v>0</v>
      </c>
      <c r="AI3050">
        <v>344.28</v>
      </c>
      <c r="AJ3050" t="s">
        <v>459</v>
      </c>
      <c r="AK3050" t="s">
        <v>12456</v>
      </c>
      <c r="AL3050" t="s">
        <v>12460</v>
      </c>
      <c r="AM3050">
        <v>43000</v>
      </c>
      <c r="AN3050" t="s">
        <v>12784</v>
      </c>
      <c r="AS3050">
        <v>0</v>
      </c>
      <c r="AU3050" t="s">
        <v>180</v>
      </c>
    </row>
    <row r="3051" spans="1:48">
      <c r="A3051" s="1">
        <f>HYPERLINK("https://cms.ls-nyc.org/matter/dynamic-profile/view/1873081","18-1873081")</f>
        <v>0</v>
      </c>
      <c r="B3051" t="s">
        <v>110</v>
      </c>
      <c r="C3051" t="s">
        <v>289</v>
      </c>
      <c r="D3051" t="s">
        <v>501</v>
      </c>
      <c r="E3051" t="s">
        <v>1963</v>
      </c>
      <c r="F3051" t="s">
        <v>3526</v>
      </c>
      <c r="G3051" t="s">
        <v>5292</v>
      </c>
      <c r="H3051" t="s">
        <v>5531</v>
      </c>
      <c r="I3051" t="s">
        <v>6073</v>
      </c>
      <c r="J3051">
        <v>10467</v>
      </c>
      <c r="K3051" t="s">
        <v>6074</v>
      </c>
      <c r="L3051" t="s">
        <v>6074</v>
      </c>
      <c r="M3051" t="s">
        <v>7244</v>
      </c>
      <c r="N3051" t="s">
        <v>7274</v>
      </c>
      <c r="O3051" t="s">
        <v>7308</v>
      </c>
      <c r="P3051" t="s">
        <v>7318</v>
      </c>
      <c r="Q3051" t="s">
        <v>7322</v>
      </c>
      <c r="R3051" t="s">
        <v>6076</v>
      </c>
      <c r="S3051" t="s">
        <v>7324</v>
      </c>
      <c r="T3051" t="s">
        <v>7339</v>
      </c>
      <c r="U3051" t="s">
        <v>502</v>
      </c>
      <c r="V3051">
        <v>840.63</v>
      </c>
      <c r="W3051" t="s">
        <v>7363</v>
      </c>
      <c r="X3051" t="s">
        <v>7366</v>
      </c>
      <c r="Y3051" t="s">
        <v>7391</v>
      </c>
      <c r="Z3051" t="s">
        <v>9667</v>
      </c>
      <c r="AB3051" t="s">
        <v>12285</v>
      </c>
      <c r="AC3051">
        <v>66</v>
      </c>
      <c r="AD3051" t="s">
        <v>12425</v>
      </c>
      <c r="AE3051" t="s">
        <v>6110</v>
      </c>
      <c r="AF3051">
        <v>60</v>
      </c>
      <c r="AG3051">
        <v>1</v>
      </c>
      <c r="AH3051">
        <v>0</v>
      </c>
      <c r="AI3051">
        <v>345.07</v>
      </c>
      <c r="AJ3051" t="s">
        <v>492</v>
      </c>
      <c r="AK3051" t="s">
        <v>12456</v>
      </c>
      <c r="AL3051" t="s">
        <v>12460</v>
      </c>
      <c r="AM3051">
        <v>41892</v>
      </c>
      <c r="AN3051" t="s">
        <v>12720</v>
      </c>
      <c r="AO3051" t="s">
        <v>12850</v>
      </c>
      <c r="AP3051" t="s">
        <v>7305</v>
      </c>
      <c r="AQ3051" t="s">
        <v>12910</v>
      </c>
      <c r="AR3051" t="s">
        <v>13062</v>
      </c>
      <c r="AS3051">
        <v>6.6</v>
      </c>
      <c r="AT3051" t="s">
        <v>258</v>
      </c>
      <c r="AU3051" t="s">
        <v>13092</v>
      </c>
    </row>
    <row r="3052" spans="1:48">
      <c r="A3052" s="1">
        <f>HYPERLINK("https://cms.ls-nyc.org/matter/dynamic-profile/view/1887160","19-1887160")</f>
        <v>0</v>
      </c>
      <c r="B3052" t="s">
        <v>78</v>
      </c>
      <c r="C3052" t="s">
        <v>546</v>
      </c>
      <c r="E3052" t="s">
        <v>1025</v>
      </c>
      <c r="F3052" t="s">
        <v>2429</v>
      </c>
      <c r="G3052" t="s">
        <v>3919</v>
      </c>
      <c r="H3052" t="s">
        <v>5390</v>
      </c>
      <c r="I3052" t="s">
        <v>6043</v>
      </c>
      <c r="J3052">
        <v>11212</v>
      </c>
      <c r="K3052" t="s">
        <v>6074</v>
      </c>
      <c r="L3052" t="s">
        <v>6074</v>
      </c>
      <c r="M3052" t="s">
        <v>7245</v>
      </c>
      <c r="N3052" t="s">
        <v>7276</v>
      </c>
      <c r="O3052" t="s">
        <v>7308</v>
      </c>
      <c r="Q3052" t="s">
        <v>7322</v>
      </c>
      <c r="S3052" t="s">
        <v>7324</v>
      </c>
      <c r="U3052" t="s">
        <v>7360</v>
      </c>
      <c r="V3052">
        <v>1122</v>
      </c>
      <c r="W3052" t="s">
        <v>7362</v>
      </c>
      <c r="X3052" t="s">
        <v>7375</v>
      </c>
      <c r="Z3052" t="s">
        <v>9660</v>
      </c>
      <c r="AC3052">
        <v>0</v>
      </c>
      <c r="AD3052" t="s">
        <v>12422</v>
      </c>
      <c r="AF3052">
        <v>3</v>
      </c>
      <c r="AG3052">
        <v>2</v>
      </c>
      <c r="AH3052">
        <v>0</v>
      </c>
      <c r="AI3052">
        <v>345.93</v>
      </c>
      <c r="AL3052" t="s">
        <v>12460</v>
      </c>
      <c r="AM3052">
        <v>56940</v>
      </c>
      <c r="AS3052">
        <v>22.6</v>
      </c>
      <c r="AT3052" t="s">
        <v>363</v>
      </c>
      <c r="AU3052" t="s">
        <v>13143</v>
      </c>
    </row>
    <row r="3053" spans="1:48">
      <c r="A3053" s="1">
        <f>HYPERLINK("https://cms.ls-nyc.org/matter/dynamic-profile/view/1886163","18-1886163")</f>
        <v>0</v>
      </c>
      <c r="B3053" t="s">
        <v>72</v>
      </c>
      <c r="C3053" t="s">
        <v>326</v>
      </c>
      <c r="E3053" t="s">
        <v>1958</v>
      </c>
      <c r="F3053" t="s">
        <v>3523</v>
      </c>
      <c r="G3053" t="s">
        <v>3700</v>
      </c>
      <c r="H3053" t="s">
        <v>5982</v>
      </c>
      <c r="I3053" t="s">
        <v>6043</v>
      </c>
      <c r="J3053">
        <v>11233</v>
      </c>
      <c r="K3053" t="s">
        <v>6074</v>
      </c>
      <c r="L3053" t="s">
        <v>6074</v>
      </c>
      <c r="M3053" t="s">
        <v>6081</v>
      </c>
      <c r="N3053" t="s">
        <v>7279</v>
      </c>
      <c r="O3053" t="s">
        <v>7309</v>
      </c>
      <c r="Q3053" t="s">
        <v>7322</v>
      </c>
      <c r="R3053" t="s">
        <v>6074</v>
      </c>
      <c r="S3053" t="s">
        <v>7324</v>
      </c>
      <c r="T3053" t="s">
        <v>7336</v>
      </c>
      <c r="U3053" t="s">
        <v>462</v>
      </c>
      <c r="V3053">
        <v>583.25</v>
      </c>
      <c r="W3053" t="s">
        <v>7362</v>
      </c>
      <c r="Z3053" t="s">
        <v>9659</v>
      </c>
      <c r="AA3053" t="s">
        <v>6110</v>
      </c>
      <c r="AB3053" t="s">
        <v>12278</v>
      </c>
      <c r="AC3053">
        <v>764</v>
      </c>
      <c r="AD3053" t="s">
        <v>12422</v>
      </c>
      <c r="AE3053" t="s">
        <v>6110</v>
      </c>
      <c r="AF3053">
        <v>0</v>
      </c>
      <c r="AG3053">
        <v>1</v>
      </c>
      <c r="AH3053">
        <v>0</v>
      </c>
      <c r="AI3053">
        <v>345.96</v>
      </c>
      <c r="AL3053" t="s">
        <v>12460</v>
      </c>
      <c r="AM3053">
        <v>42000</v>
      </c>
      <c r="AS3053">
        <v>0</v>
      </c>
      <c r="AU3053" t="s">
        <v>218</v>
      </c>
    </row>
    <row r="3054" spans="1:48">
      <c r="A3054" s="1">
        <f>HYPERLINK("https://cms.ls-nyc.org/matter/dynamic-profile/view/1877707","18-1877707")</f>
        <v>0</v>
      </c>
      <c r="B3054" t="s">
        <v>97</v>
      </c>
      <c r="C3054" t="s">
        <v>383</v>
      </c>
      <c r="D3054" t="s">
        <v>389</v>
      </c>
      <c r="E3054" t="s">
        <v>1520</v>
      </c>
      <c r="F3054" t="s">
        <v>1490</v>
      </c>
      <c r="G3054" t="s">
        <v>5293</v>
      </c>
      <c r="H3054" t="s">
        <v>5435</v>
      </c>
      <c r="I3054" t="s">
        <v>6047</v>
      </c>
      <c r="J3054">
        <v>10467</v>
      </c>
      <c r="K3054" t="s">
        <v>6074</v>
      </c>
      <c r="L3054" t="s">
        <v>6074</v>
      </c>
      <c r="N3054" t="s">
        <v>6104</v>
      </c>
      <c r="O3054" t="s">
        <v>7306</v>
      </c>
      <c r="P3054" t="s">
        <v>7314</v>
      </c>
      <c r="Q3054" t="s">
        <v>7322</v>
      </c>
      <c r="R3054" t="s">
        <v>6076</v>
      </c>
      <c r="S3054" t="s">
        <v>7324</v>
      </c>
      <c r="U3054" t="s">
        <v>464</v>
      </c>
      <c r="V3054">
        <v>1010.78</v>
      </c>
      <c r="W3054" t="s">
        <v>7363</v>
      </c>
      <c r="X3054" t="s">
        <v>7376</v>
      </c>
      <c r="Y3054" t="s">
        <v>7386</v>
      </c>
      <c r="Z3054" t="s">
        <v>8447</v>
      </c>
      <c r="AC3054">
        <v>49</v>
      </c>
      <c r="AD3054" t="s">
        <v>12422</v>
      </c>
      <c r="AE3054" t="s">
        <v>6110</v>
      </c>
      <c r="AF3054">
        <v>14</v>
      </c>
      <c r="AG3054">
        <v>1</v>
      </c>
      <c r="AH3054">
        <v>0</v>
      </c>
      <c r="AI3054">
        <v>345.96</v>
      </c>
      <c r="AL3054" t="s">
        <v>12460</v>
      </c>
      <c r="AM3054">
        <v>42000</v>
      </c>
      <c r="AS3054">
        <v>1.4</v>
      </c>
      <c r="AT3054" t="s">
        <v>389</v>
      </c>
      <c r="AU3054" t="s">
        <v>97</v>
      </c>
    </row>
    <row r="3055" spans="1:48">
      <c r="A3055" s="1">
        <f>HYPERLINK("https://cms.ls-nyc.org/matter/dynamic-profile/view/1885014","18-1885014")</f>
        <v>0</v>
      </c>
      <c r="B3055" t="s">
        <v>83</v>
      </c>
      <c r="C3055" t="s">
        <v>435</v>
      </c>
      <c r="E3055" t="s">
        <v>1823</v>
      </c>
      <c r="F3055" t="s">
        <v>2104</v>
      </c>
      <c r="G3055" t="s">
        <v>4650</v>
      </c>
      <c r="H3055" t="s">
        <v>5595</v>
      </c>
      <c r="I3055" t="s">
        <v>6043</v>
      </c>
      <c r="J3055">
        <v>11226</v>
      </c>
      <c r="K3055" t="s">
        <v>6074</v>
      </c>
      <c r="L3055" t="s">
        <v>6074</v>
      </c>
      <c r="M3055" t="s">
        <v>6932</v>
      </c>
      <c r="N3055" t="s">
        <v>7279</v>
      </c>
      <c r="O3055" t="s">
        <v>7310</v>
      </c>
      <c r="Q3055" t="s">
        <v>7322</v>
      </c>
      <c r="R3055" t="s">
        <v>6074</v>
      </c>
      <c r="S3055" t="s">
        <v>7324</v>
      </c>
      <c r="U3055" t="s">
        <v>396</v>
      </c>
      <c r="V3055">
        <v>1350</v>
      </c>
      <c r="W3055" t="s">
        <v>7362</v>
      </c>
      <c r="X3055" t="s">
        <v>7376</v>
      </c>
      <c r="Z3055" t="s">
        <v>9668</v>
      </c>
      <c r="AC3055">
        <v>48</v>
      </c>
      <c r="AD3055" t="s">
        <v>12422</v>
      </c>
      <c r="AF3055">
        <v>10</v>
      </c>
      <c r="AG3055">
        <v>1</v>
      </c>
      <c r="AH3055">
        <v>2</v>
      </c>
      <c r="AI3055">
        <v>346.01</v>
      </c>
      <c r="AL3055" t="s">
        <v>12460</v>
      </c>
      <c r="AM3055">
        <v>71900</v>
      </c>
      <c r="AS3055">
        <v>0.4</v>
      </c>
      <c r="AT3055" t="s">
        <v>435</v>
      </c>
      <c r="AU3055" t="s">
        <v>88</v>
      </c>
    </row>
    <row r="3056" spans="1:48">
      <c r="A3056" s="1">
        <f>HYPERLINK("https://cms.ls-nyc.org/matter/dynamic-profile/view/1886867","19-1886867")</f>
        <v>0</v>
      </c>
      <c r="B3056" t="s">
        <v>101</v>
      </c>
      <c r="C3056" t="s">
        <v>422</v>
      </c>
      <c r="E3056" t="s">
        <v>878</v>
      </c>
      <c r="F3056" t="s">
        <v>3527</v>
      </c>
      <c r="G3056" t="s">
        <v>3939</v>
      </c>
      <c r="H3056" t="s">
        <v>5495</v>
      </c>
      <c r="I3056" t="s">
        <v>6047</v>
      </c>
      <c r="J3056">
        <v>10456</v>
      </c>
      <c r="K3056" t="s">
        <v>6074</v>
      </c>
      <c r="L3056" t="s">
        <v>6074</v>
      </c>
      <c r="M3056" t="s">
        <v>6303</v>
      </c>
      <c r="N3056" t="s">
        <v>7279</v>
      </c>
      <c r="O3056" t="s">
        <v>7311</v>
      </c>
      <c r="Q3056" t="s">
        <v>7322</v>
      </c>
      <c r="R3056" t="s">
        <v>6074</v>
      </c>
      <c r="S3056" t="s">
        <v>7324</v>
      </c>
      <c r="U3056" t="s">
        <v>457</v>
      </c>
      <c r="V3056">
        <v>1035</v>
      </c>
      <c r="W3056" t="s">
        <v>7363</v>
      </c>
      <c r="X3056" t="s">
        <v>7376</v>
      </c>
      <c r="Z3056" t="s">
        <v>9669</v>
      </c>
      <c r="AB3056" t="s">
        <v>12286</v>
      </c>
      <c r="AC3056">
        <v>131</v>
      </c>
      <c r="AD3056" t="s">
        <v>12422</v>
      </c>
      <c r="AE3056" t="s">
        <v>6110</v>
      </c>
      <c r="AF3056">
        <v>20</v>
      </c>
      <c r="AG3056">
        <v>3</v>
      </c>
      <c r="AH3056">
        <v>0</v>
      </c>
      <c r="AI3056">
        <v>346.49</v>
      </c>
      <c r="AL3056" t="s">
        <v>12460</v>
      </c>
      <c r="AM3056">
        <v>72000</v>
      </c>
      <c r="AS3056">
        <v>0</v>
      </c>
      <c r="AU3056" t="s">
        <v>13095</v>
      </c>
    </row>
    <row r="3057" spans="1:48">
      <c r="A3057" s="1">
        <f>HYPERLINK("https://cms.ls-nyc.org/matter/dynamic-profile/view/1889283","19-1889283")</f>
        <v>0</v>
      </c>
      <c r="B3057" t="s">
        <v>122</v>
      </c>
      <c r="C3057" t="s">
        <v>358</v>
      </c>
      <c r="E3057" t="s">
        <v>935</v>
      </c>
      <c r="F3057" t="s">
        <v>2174</v>
      </c>
      <c r="G3057" t="s">
        <v>5294</v>
      </c>
      <c r="H3057" t="s">
        <v>5986</v>
      </c>
      <c r="I3057" t="s">
        <v>6048</v>
      </c>
      <c r="J3057">
        <v>10301</v>
      </c>
      <c r="K3057" t="s">
        <v>6074</v>
      </c>
      <c r="L3057" t="s">
        <v>6075</v>
      </c>
      <c r="M3057" t="s">
        <v>7246</v>
      </c>
      <c r="N3057" t="s">
        <v>7274</v>
      </c>
      <c r="O3057" t="s">
        <v>7308</v>
      </c>
      <c r="Q3057" t="s">
        <v>7322</v>
      </c>
      <c r="R3057" t="s">
        <v>6076</v>
      </c>
      <c r="S3057" t="s">
        <v>7324</v>
      </c>
      <c r="T3057" t="s">
        <v>7336</v>
      </c>
      <c r="U3057" t="s">
        <v>358</v>
      </c>
      <c r="V3057">
        <v>723</v>
      </c>
      <c r="W3057" t="s">
        <v>7364</v>
      </c>
      <c r="Z3057" t="s">
        <v>9670</v>
      </c>
      <c r="AB3057" t="s">
        <v>12287</v>
      </c>
      <c r="AC3057">
        <v>110</v>
      </c>
      <c r="AD3057" t="s">
        <v>12422</v>
      </c>
      <c r="AE3057" t="s">
        <v>6110</v>
      </c>
      <c r="AF3057">
        <v>46</v>
      </c>
      <c r="AG3057">
        <v>2</v>
      </c>
      <c r="AH3057">
        <v>0</v>
      </c>
      <c r="AI3057">
        <v>347.72</v>
      </c>
      <c r="AL3057" t="s">
        <v>12460</v>
      </c>
      <c r="AM3057">
        <v>58800</v>
      </c>
      <c r="AS3057">
        <v>35.69</v>
      </c>
      <c r="AT3057" t="s">
        <v>280</v>
      </c>
      <c r="AU3057" t="s">
        <v>13103</v>
      </c>
      <c r="AV3057" t="s">
        <v>13145</v>
      </c>
    </row>
    <row r="3058" spans="1:48">
      <c r="A3058" s="1">
        <f>HYPERLINK("https://cms.ls-nyc.org/matter/dynamic-profile/view/1875504","18-1875504")</f>
        <v>0</v>
      </c>
      <c r="B3058" t="s">
        <v>135</v>
      </c>
      <c r="C3058" t="s">
        <v>480</v>
      </c>
      <c r="E3058" t="s">
        <v>913</v>
      </c>
      <c r="F3058" t="s">
        <v>3525</v>
      </c>
      <c r="G3058" t="s">
        <v>4495</v>
      </c>
      <c r="H3058">
        <v>801</v>
      </c>
      <c r="I3058" t="s">
        <v>6049</v>
      </c>
      <c r="J3058">
        <v>10029</v>
      </c>
      <c r="K3058" t="s">
        <v>6074</v>
      </c>
      <c r="L3058" t="s">
        <v>6074</v>
      </c>
      <c r="M3058" t="s">
        <v>7247</v>
      </c>
      <c r="N3058" t="s">
        <v>7276</v>
      </c>
      <c r="O3058" t="s">
        <v>7308</v>
      </c>
      <c r="Q3058" t="s">
        <v>7322</v>
      </c>
      <c r="R3058" t="s">
        <v>6076</v>
      </c>
      <c r="S3058" t="s">
        <v>7324</v>
      </c>
      <c r="T3058" t="s">
        <v>7336</v>
      </c>
      <c r="U3058" t="s">
        <v>480</v>
      </c>
      <c r="V3058">
        <v>987</v>
      </c>
      <c r="W3058" t="s">
        <v>7365</v>
      </c>
      <c r="X3058" t="s">
        <v>7368</v>
      </c>
      <c r="Z3058" t="s">
        <v>9662</v>
      </c>
      <c r="AB3058" t="s">
        <v>12280</v>
      </c>
      <c r="AC3058">
        <v>108</v>
      </c>
      <c r="AD3058" t="s">
        <v>12420</v>
      </c>
      <c r="AE3058" t="s">
        <v>12434</v>
      </c>
      <c r="AF3058">
        <v>20</v>
      </c>
      <c r="AG3058">
        <v>1</v>
      </c>
      <c r="AH3058">
        <v>0</v>
      </c>
      <c r="AI3058">
        <v>350.08</v>
      </c>
      <c r="AJ3058" t="s">
        <v>354</v>
      </c>
      <c r="AK3058" t="s">
        <v>12456</v>
      </c>
      <c r="AL3058" t="s">
        <v>12460</v>
      </c>
      <c r="AM3058">
        <v>42500</v>
      </c>
      <c r="AS3058">
        <v>27.2</v>
      </c>
      <c r="AT3058" t="s">
        <v>501</v>
      </c>
      <c r="AU3058" t="s">
        <v>13107</v>
      </c>
      <c r="AV3058" t="s">
        <v>13145</v>
      </c>
    </row>
    <row r="3059" spans="1:48">
      <c r="A3059" s="1">
        <f>HYPERLINK("https://cms.ls-nyc.org/matter/dynamic-profile/view/1886662","18-1886662")</f>
        <v>0</v>
      </c>
      <c r="B3059" t="s">
        <v>134</v>
      </c>
      <c r="C3059" t="s">
        <v>465</v>
      </c>
      <c r="E3059" t="s">
        <v>1964</v>
      </c>
      <c r="F3059" t="s">
        <v>3528</v>
      </c>
      <c r="G3059" t="s">
        <v>4308</v>
      </c>
      <c r="H3059" t="s">
        <v>5379</v>
      </c>
      <c r="I3059" t="s">
        <v>6049</v>
      </c>
      <c r="J3059">
        <v>10029</v>
      </c>
      <c r="K3059" t="s">
        <v>6074</v>
      </c>
      <c r="L3059" t="s">
        <v>6074</v>
      </c>
      <c r="N3059" t="s">
        <v>7273</v>
      </c>
      <c r="O3059" t="s">
        <v>7310</v>
      </c>
      <c r="Q3059" t="s">
        <v>7322</v>
      </c>
      <c r="R3059" t="s">
        <v>6074</v>
      </c>
      <c r="S3059" t="s">
        <v>7324</v>
      </c>
      <c r="T3059" t="s">
        <v>7336</v>
      </c>
      <c r="U3059" t="s">
        <v>465</v>
      </c>
      <c r="V3059">
        <v>2300</v>
      </c>
      <c r="W3059" t="s">
        <v>7365</v>
      </c>
      <c r="X3059" t="s">
        <v>7375</v>
      </c>
      <c r="Z3059" t="s">
        <v>9671</v>
      </c>
      <c r="AB3059" t="s">
        <v>12288</v>
      </c>
      <c r="AC3059">
        <v>0</v>
      </c>
      <c r="AD3059" t="s">
        <v>12419</v>
      </c>
      <c r="AE3059" t="s">
        <v>6110</v>
      </c>
      <c r="AF3059">
        <v>1</v>
      </c>
      <c r="AG3059">
        <v>4</v>
      </c>
      <c r="AH3059">
        <v>0</v>
      </c>
      <c r="AI3059">
        <v>350.6</v>
      </c>
      <c r="AL3059" t="s">
        <v>12482</v>
      </c>
      <c r="AM3059">
        <v>88000</v>
      </c>
      <c r="AS3059">
        <v>11.5</v>
      </c>
      <c r="AT3059" t="s">
        <v>363</v>
      </c>
      <c r="AU3059" t="s">
        <v>13107</v>
      </c>
    </row>
    <row r="3060" spans="1:48">
      <c r="A3060" s="1">
        <f>HYPERLINK("https://cms.ls-nyc.org/matter/dynamic-profile/view/1893325","19-1893325")</f>
        <v>0</v>
      </c>
      <c r="B3060" t="s">
        <v>90</v>
      </c>
      <c r="C3060" t="s">
        <v>313</v>
      </c>
      <c r="E3060" t="s">
        <v>609</v>
      </c>
      <c r="F3060" t="s">
        <v>3529</v>
      </c>
      <c r="G3060" t="s">
        <v>3738</v>
      </c>
      <c r="H3060" t="s">
        <v>5987</v>
      </c>
      <c r="I3060" t="s">
        <v>6043</v>
      </c>
      <c r="J3060">
        <v>11212</v>
      </c>
      <c r="K3060" t="s">
        <v>6074</v>
      </c>
      <c r="L3060" t="s">
        <v>6074</v>
      </c>
      <c r="N3060" t="s">
        <v>7279</v>
      </c>
      <c r="O3060" t="s">
        <v>7311</v>
      </c>
      <c r="Q3060" t="s">
        <v>7322</v>
      </c>
      <c r="R3060" t="s">
        <v>6074</v>
      </c>
      <c r="S3060" t="s">
        <v>7324</v>
      </c>
      <c r="T3060" t="s">
        <v>7336</v>
      </c>
      <c r="U3060" t="s">
        <v>277</v>
      </c>
      <c r="V3060">
        <v>1489</v>
      </c>
      <c r="W3060" t="s">
        <v>7362</v>
      </c>
      <c r="X3060" t="s">
        <v>7376</v>
      </c>
      <c r="Z3060" t="s">
        <v>9672</v>
      </c>
      <c r="AB3060" t="s">
        <v>12289</v>
      </c>
      <c r="AC3060">
        <v>38</v>
      </c>
      <c r="AD3060" t="s">
        <v>12422</v>
      </c>
      <c r="AE3060" t="s">
        <v>6110</v>
      </c>
      <c r="AF3060">
        <v>6</v>
      </c>
      <c r="AG3060">
        <v>2</v>
      </c>
      <c r="AH3060">
        <v>0</v>
      </c>
      <c r="AI3060">
        <v>351.79</v>
      </c>
      <c r="AL3060" t="s">
        <v>12460</v>
      </c>
      <c r="AM3060">
        <v>59488</v>
      </c>
      <c r="AN3060" t="s">
        <v>12785</v>
      </c>
      <c r="AS3060">
        <v>0</v>
      </c>
      <c r="AU3060" t="s">
        <v>180</v>
      </c>
    </row>
    <row r="3061" spans="1:48">
      <c r="A3061" s="1">
        <f>HYPERLINK("https://cms.ls-nyc.org/matter/dynamic-profile/view/1893317","19-1893317")</f>
        <v>0</v>
      </c>
      <c r="B3061" t="s">
        <v>90</v>
      </c>
      <c r="C3061" t="s">
        <v>313</v>
      </c>
      <c r="E3061" t="s">
        <v>609</v>
      </c>
      <c r="F3061" t="s">
        <v>3529</v>
      </c>
      <c r="G3061" t="s">
        <v>3738</v>
      </c>
      <c r="H3061" t="s">
        <v>5987</v>
      </c>
      <c r="I3061" t="s">
        <v>6043</v>
      </c>
      <c r="J3061">
        <v>11212</v>
      </c>
      <c r="K3061" t="s">
        <v>6074</v>
      </c>
      <c r="L3061" t="s">
        <v>6074</v>
      </c>
      <c r="N3061" t="s">
        <v>7273</v>
      </c>
      <c r="O3061" t="s">
        <v>7308</v>
      </c>
      <c r="Q3061" t="s">
        <v>7322</v>
      </c>
      <c r="R3061" t="s">
        <v>6074</v>
      </c>
      <c r="S3061" t="s">
        <v>7324</v>
      </c>
      <c r="T3061" t="s">
        <v>7336</v>
      </c>
      <c r="U3061" t="s">
        <v>277</v>
      </c>
      <c r="V3061">
        <v>1489</v>
      </c>
      <c r="W3061" t="s">
        <v>7362</v>
      </c>
      <c r="X3061" t="s">
        <v>7376</v>
      </c>
      <c r="Z3061" t="s">
        <v>9672</v>
      </c>
      <c r="AB3061" t="s">
        <v>12289</v>
      </c>
      <c r="AC3061">
        <v>38</v>
      </c>
      <c r="AD3061" t="s">
        <v>12422</v>
      </c>
      <c r="AE3061" t="s">
        <v>6110</v>
      </c>
      <c r="AF3061">
        <v>6</v>
      </c>
      <c r="AG3061">
        <v>2</v>
      </c>
      <c r="AH3061">
        <v>0</v>
      </c>
      <c r="AI3061">
        <v>351.79</v>
      </c>
      <c r="AL3061" t="s">
        <v>12460</v>
      </c>
      <c r="AM3061">
        <v>59488</v>
      </c>
      <c r="AS3061">
        <v>0</v>
      </c>
      <c r="AU3061" t="s">
        <v>180</v>
      </c>
    </row>
    <row r="3062" spans="1:48">
      <c r="A3062" s="1">
        <f>HYPERLINK("https://cms.ls-nyc.org/matter/dynamic-profile/view/1893328","19-1893328")</f>
        <v>0</v>
      </c>
      <c r="B3062" t="s">
        <v>90</v>
      </c>
      <c r="C3062" t="s">
        <v>313</v>
      </c>
      <c r="E3062" t="s">
        <v>609</v>
      </c>
      <c r="F3062" t="s">
        <v>3529</v>
      </c>
      <c r="G3062" t="s">
        <v>3738</v>
      </c>
      <c r="H3062" t="s">
        <v>5987</v>
      </c>
      <c r="I3062" t="s">
        <v>6043</v>
      </c>
      <c r="J3062">
        <v>11212</v>
      </c>
      <c r="K3062" t="s">
        <v>6074</v>
      </c>
      <c r="L3062" t="s">
        <v>6074</v>
      </c>
      <c r="N3062" t="s">
        <v>6104</v>
      </c>
      <c r="O3062" t="s">
        <v>7307</v>
      </c>
      <c r="Q3062" t="s">
        <v>7322</v>
      </c>
      <c r="R3062" t="s">
        <v>6074</v>
      </c>
      <c r="S3062" t="s">
        <v>7324</v>
      </c>
      <c r="T3062" t="s">
        <v>7336</v>
      </c>
      <c r="U3062" t="s">
        <v>277</v>
      </c>
      <c r="V3062">
        <v>1489</v>
      </c>
      <c r="W3062" t="s">
        <v>7362</v>
      </c>
      <c r="X3062" t="s">
        <v>7376</v>
      </c>
      <c r="Z3062" t="s">
        <v>9672</v>
      </c>
      <c r="AB3062" t="s">
        <v>12289</v>
      </c>
      <c r="AC3062">
        <v>38</v>
      </c>
      <c r="AD3062" t="s">
        <v>12422</v>
      </c>
      <c r="AE3062" t="s">
        <v>6110</v>
      </c>
      <c r="AF3062">
        <v>6</v>
      </c>
      <c r="AG3062">
        <v>2</v>
      </c>
      <c r="AH3062">
        <v>0</v>
      </c>
      <c r="AI3062">
        <v>351.79</v>
      </c>
      <c r="AL3062" t="s">
        <v>12460</v>
      </c>
      <c r="AM3062">
        <v>59488</v>
      </c>
      <c r="AN3062" t="s">
        <v>12786</v>
      </c>
      <c r="AS3062">
        <v>0</v>
      </c>
      <c r="AU3062" t="s">
        <v>180</v>
      </c>
    </row>
    <row r="3063" spans="1:48">
      <c r="A3063" s="1">
        <f>HYPERLINK("https://cms.ls-nyc.org/matter/dynamic-profile/view/1895942","19-1895942")</f>
        <v>0</v>
      </c>
      <c r="B3063" t="s">
        <v>116</v>
      </c>
      <c r="C3063" t="s">
        <v>315</v>
      </c>
      <c r="D3063" t="s">
        <v>343</v>
      </c>
      <c r="E3063" t="s">
        <v>1513</v>
      </c>
      <c r="F3063" t="s">
        <v>3001</v>
      </c>
      <c r="G3063" t="s">
        <v>5295</v>
      </c>
      <c r="H3063">
        <v>9</v>
      </c>
      <c r="I3063" t="s">
        <v>6047</v>
      </c>
      <c r="J3063">
        <v>10452</v>
      </c>
      <c r="K3063" t="s">
        <v>6074</v>
      </c>
      <c r="L3063" t="s">
        <v>6074</v>
      </c>
      <c r="N3063" t="s">
        <v>7276</v>
      </c>
      <c r="O3063" t="s">
        <v>7306</v>
      </c>
      <c r="P3063" t="s">
        <v>7315</v>
      </c>
      <c r="Q3063" t="s">
        <v>7322</v>
      </c>
      <c r="R3063" t="s">
        <v>6076</v>
      </c>
      <c r="S3063" t="s">
        <v>7324</v>
      </c>
      <c r="T3063" t="s">
        <v>7339</v>
      </c>
      <c r="U3063" t="s">
        <v>315</v>
      </c>
      <c r="V3063">
        <v>0</v>
      </c>
      <c r="W3063" t="s">
        <v>7363</v>
      </c>
      <c r="X3063" t="s">
        <v>7376</v>
      </c>
      <c r="Y3063" t="s">
        <v>7386</v>
      </c>
      <c r="Z3063" t="s">
        <v>8791</v>
      </c>
      <c r="AB3063" t="s">
        <v>9856</v>
      </c>
      <c r="AC3063">
        <v>0</v>
      </c>
      <c r="AD3063" t="s">
        <v>12422</v>
      </c>
      <c r="AF3063">
        <v>18</v>
      </c>
      <c r="AG3063">
        <v>1</v>
      </c>
      <c r="AH3063">
        <v>0</v>
      </c>
      <c r="AI3063">
        <v>352.28</v>
      </c>
      <c r="AL3063" t="s">
        <v>12460</v>
      </c>
      <c r="AM3063">
        <v>44000</v>
      </c>
      <c r="AS3063">
        <v>4.25</v>
      </c>
      <c r="AT3063" t="s">
        <v>417</v>
      </c>
      <c r="AU3063" t="s">
        <v>116</v>
      </c>
      <c r="AV3063" t="s">
        <v>13145</v>
      </c>
    </row>
    <row r="3064" spans="1:48">
      <c r="A3064" s="1">
        <f>HYPERLINK("https://cms.ls-nyc.org/matter/dynamic-profile/view/1898845","19-1898845")</f>
        <v>0</v>
      </c>
      <c r="B3064" t="s">
        <v>72</v>
      </c>
      <c r="C3064" t="s">
        <v>294</v>
      </c>
      <c r="E3064" t="s">
        <v>898</v>
      </c>
      <c r="F3064" t="s">
        <v>3530</v>
      </c>
      <c r="G3064" t="s">
        <v>3700</v>
      </c>
      <c r="H3064" t="s">
        <v>5988</v>
      </c>
      <c r="I3064" t="s">
        <v>6043</v>
      </c>
      <c r="J3064">
        <v>11233</v>
      </c>
      <c r="K3064" t="s">
        <v>6074</v>
      </c>
      <c r="L3064" t="s">
        <v>6076</v>
      </c>
      <c r="N3064" t="s">
        <v>7279</v>
      </c>
      <c r="O3064" t="s">
        <v>7311</v>
      </c>
      <c r="Q3064" t="s">
        <v>7322</v>
      </c>
      <c r="R3064" t="s">
        <v>6074</v>
      </c>
      <c r="S3064" t="s">
        <v>7324</v>
      </c>
      <c r="T3064" t="s">
        <v>7336</v>
      </c>
      <c r="U3064" t="s">
        <v>330</v>
      </c>
      <c r="V3064">
        <v>0</v>
      </c>
      <c r="W3064" t="s">
        <v>7362</v>
      </c>
      <c r="X3064" t="s">
        <v>7305</v>
      </c>
      <c r="Z3064" t="s">
        <v>9673</v>
      </c>
      <c r="AC3064">
        <v>359</v>
      </c>
      <c r="AD3064" t="s">
        <v>12422</v>
      </c>
      <c r="AF3064">
        <v>6</v>
      </c>
      <c r="AG3064">
        <v>1</v>
      </c>
      <c r="AH3064">
        <v>1</v>
      </c>
      <c r="AI3064">
        <v>354.82</v>
      </c>
      <c r="AL3064" t="s">
        <v>12460</v>
      </c>
      <c r="AM3064">
        <v>60000</v>
      </c>
      <c r="AN3064" t="s">
        <v>12488</v>
      </c>
      <c r="AS3064">
        <v>0</v>
      </c>
      <c r="AU3064" t="s">
        <v>180</v>
      </c>
    </row>
    <row r="3065" spans="1:48">
      <c r="A3065" s="1">
        <f>HYPERLINK("https://cms.ls-nyc.org/matter/dynamic-profile/view/1898951","19-1898951")</f>
        <v>0</v>
      </c>
      <c r="B3065" t="s">
        <v>72</v>
      </c>
      <c r="C3065" t="s">
        <v>276</v>
      </c>
      <c r="E3065" t="s">
        <v>1965</v>
      </c>
      <c r="F3065" t="s">
        <v>3026</v>
      </c>
      <c r="G3065" t="s">
        <v>4324</v>
      </c>
      <c r="H3065" t="s">
        <v>5989</v>
      </c>
      <c r="I3065" t="s">
        <v>6043</v>
      </c>
      <c r="J3065">
        <v>11233</v>
      </c>
      <c r="K3065" t="s">
        <v>6074</v>
      </c>
      <c r="L3065" t="s">
        <v>6075</v>
      </c>
      <c r="N3065" t="s">
        <v>7279</v>
      </c>
      <c r="O3065" t="s">
        <v>7311</v>
      </c>
      <c r="Q3065" t="s">
        <v>7322</v>
      </c>
      <c r="R3065" t="s">
        <v>6074</v>
      </c>
      <c r="S3065" t="s">
        <v>7324</v>
      </c>
      <c r="T3065" t="s">
        <v>7336</v>
      </c>
      <c r="U3065" t="s">
        <v>330</v>
      </c>
      <c r="V3065">
        <v>888.58</v>
      </c>
      <c r="W3065" t="s">
        <v>7362</v>
      </c>
      <c r="X3065" t="s">
        <v>7305</v>
      </c>
      <c r="Z3065" t="s">
        <v>9674</v>
      </c>
      <c r="AC3065">
        <v>359</v>
      </c>
      <c r="AD3065" t="s">
        <v>12422</v>
      </c>
      <c r="AF3065">
        <v>11</v>
      </c>
      <c r="AG3065">
        <v>1</v>
      </c>
      <c r="AH3065">
        <v>1</v>
      </c>
      <c r="AI3065">
        <v>354.82</v>
      </c>
      <c r="AL3065" t="s">
        <v>12460</v>
      </c>
      <c r="AM3065">
        <v>60000</v>
      </c>
      <c r="AN3065" t="s">
        <v>12488</v>
      </c>
      <c r="AS3065">
        <v>0</v>
      </c>
      <c r="AU3065" t="s">
        <v>180</v>
      </c>
      <c r="AV3065" t="s">
        <v>6110</v>
      </c>
    </row>
    <row r="3066" spans="1:48">
      <c r="A3066" s="1">
        <f>HYPERLINK("https://cms.ls-nyc.org/matter/dynamic-profile/view/1898847","19-1898847")</f>
        <v>0</v>
      </c>
      <c r="B3066" t="s">
        <v>72</v>
      </c>
      <c r="C3066" t="s">
        <v>294</v>
      </c>
      <c r="E3066" t="s">
        <v>898</v>
      </c>
      <c r="F3066" t="s">
        <v>3530</v>
      </c>
      <c r="G3066" t="s">
        <v>3700</v>
      </c>
      <c r="H3066" t="s">
        <v>5988</v>
      </c>
      <c r="I3066" t="s">
        <v>6043</v>
      </c>
      <c r="J3066">
        <v>11233</v>
      </c>
      <c r="K3066" t="s">
        <v>6074</v>
      </c>
      <c r="L3066" t="s">
        <v>6076</v>
      </c>
      <c r="N3066" t="s">
        <v>7275</v>
      </c>
      <c r="O3066" t="s">
        <v>7307</v>
      </c>
      <c r="Q3066" t="s">
        <v>7322</v>
      </c>
      <c r="R3066" t="s">
        <v>6074</v>
      </c>
      <c r="S3066" t="s">
        <v>7324</v>
      </c>
      <c r="T3066" t="s">
        <v>7336</v>
      </c>
      <c r="U3066" t="s">
        <v>287</v>
      </c>
      <c r="V3066">
        <v>0</v>
      </c>
      <c r="W3066" t="s">
        <v>7362</v>
      </c>
      <c r="X3066" t="s">
        <v>7305</v>
      </c>
      <c r="Z3066" t="s">
        <v>9673</v>
      </c>
      <c r="AC3066">
        <v>359</v>
      </c>
      <c r="AD3066" t="s">
        <v>12422</v>
      </c>
      <c r="AF3066">
        <v>6</v>
      </c>
      <c r="AG3066">
        <v>1</v>
      </c>
      <c r="AH3066">
        <v>1</v>
      </c>
      <c r="AI3066">
        <v>354.82</v>
      </c>
      <c r="AL3066" t="s">
        <v>12460</v>
      </c>
      <c r="AM3066">
        <v>60000</v>
      </c>
      <c r="AN3066" t="s">
        <v>12787</v>
      </c>
      <c r="AS3066">
        <v>0</v>
      </c>
      <c r="AU3066" t="s">
        <v>180</v>
      </c>
    </row>
    <row r="3067" spans="1:48">
      <c r="A3067" s="1">
        <f>HYPERLINK("https://cms.ls-nyc.org/matter/dynamic-profile/view/1898953","19-1898953")</f>
        <v>0</v>
      </c>
      <c r="B3067" t="s">
        <v>72</v>
      </c>
      <c r="C3067" t="s">
        <v>276</v>
      </c>
      <c r="E3067" t="s">
        <v>1965</v>
      </c>
      <c r="F3067" t="s">
        <v>3026</v>
      </c>
      <c r="G3067" t="s">
        <v>4324</v>
      </c>
      <c r="H3067" t="s">
        <v>5989</v>
      </c>
      <c r="I3067" t="s">
        <v>6043</v>
      </c>
      <c r="J3067">
        <v>11233</v>
      </c>
      <c r="K3067" t="s">
        <v>6074</v>
      </c>
      <c r="L3067" t="s">
        <v>6075</v>
      </c>
      <c r="N3067" t="s">
        <v>7275</v>
      </c>
      <c r="O3067" t="s">
        <v>7307</v>
      </c>
      <c r="Q3067" t="s">
        <v>7322</v>
      </c>
      <c r="R3067" t="s">
        <v>6074</v>
      </c>
      <c r="S3067" t="s">
        <v>7324</v>
      </c>
      <c r="T3067" t="s">
        <v>7336</v>
      </c>
      <c r="U3067" t="s">
        <v>287</v>
      </c>
      <c r="V3067">
        <v>888.58</v>
      </c>
      <c r="W3067" t="s">
        <v>7362</v>
      </c>
      <c r="X3067" t="s">
        <v>7305</v>
      </c>
      <c r="Z3067" t="s">
        <v>9674</v>
      </c>
      <c r="AC3067">
        <v>359</v>
      </c>
      <c r="AD3067" t="s">
        <v>12422</v>
      </c>
      <c r="AF3067">
        <v>11</v>
      </c>
      <c r="AG3067">
        <v>1</v>
      </c>
      <c r="AH3067">
        <v>1</v>
      </c>
      <c r="AI3067">
        <v>354.82</v>
      </c>
      <c r="AL3067" t="s">
        <v>12460</v>
      </c>
      <c r="AM3067">
        <v>60000</v>
      </c>
      <c r="AN3067" t="s">
        <v>12788</v>
      </c>
      <c r="AS3067">
        <v>0</v>
      </c>
      <c r="AU3067" t="s">
        <v>180</v>
      </c>
      <c r="AV3067" t="s">
        <v>6110</v>
      </c>
    </row>
    <row r="3068" spans="1:48">
      <c r="A3068" s="1">
        <f>HYPERLINK("https://cms.ls-nyc.org/matter/dynamic-profile/view/1895343","19-1895343")</f>
        <v>0</v>
      </c>
      <c r="B3068" t="s">
        <v>78</v>
      </c>
      <c r="C3068" t="s">
        <v>247</v>
      </c>
      <c r="E3068" t="s">
        <v>643</v>
      </c>
      <c r="F3068" t="s">
        <v>638</v>
      </c>
      <c r="G3068" t="s">
        <v>3919</v>
      </c>
      <c r="I3068" t="s">
        <v>6043</v>
      </c>
      <c r="J3068">
        <v>11212</v>
      </c>
      <c r="K3068" t="s">
        <v>6074</v>
      </c>
      <c r="L3068" t="s">
        <v>6074</v>
      </c>
      <c r="N3068" t="s">
        <v>7287</v>
      </c>
      <c r="O3068" t="s">
        <v>7312</v>
      </c>
      <c r="Q3068" t="s">
        <v>7322</v>
      </c>
      <c r="R3068" t="s">
        <v>6074</v>
      </c>
      <c r="S3068" t="s">
        <v>7324</v>
      </c>
      <c r="U3068" t="s">
        <v>247</v>
      </c>
      <c r="V3068">
        <v>770.47</v>
      </c>
      <c r="W3068" t="s">
        <v>7362</v>
      </c>
      <c r="X3068" t="s">
        <v>7375</v>
      </c>
      <c r="Z3068" t="s">
        <v>9675</v>
      </c>
      <c r="AB3068" t="s">
        <v>12290</v>
      </c>
      <c r="AC3068">
        <v>19</v>
      </c>
      <c r="AD3068" t="s">
        <v>12422</v>
      </c>
      <c r="AE3068" t="s">
        <v>6110</v>
      </c>
      <c r="AF3068">
        <v>21</v>
      </c>
      <c r="AG3068">
        <v>2</v>
      </c>
      <c r="AH3068">
        <v>0</v>
      </c>
      <c r="AI3068">
        <v>354.82</v>
      </c>
      <c r="AL3068" t="s">
        <v>12460</v>
      </c>
      <c r="AM3068">
        <v>60000</v>
      </c>
      <c r="AS3068">
        <v>0</v>
      </c>
      <c r="AU3068" t="s">
        <v>180</v>
      </c>
    </row>
    <row r="3069" spans="1:48">
      <c r="A3069" s="1">
        <f>HYPERLINK("https://cms.ls-nyc.org/matter/dynamic-profile/view/1881231","18-1881231")</f>
        <v>0</v>
      </c>
      <c r="B3069" t="s">
        <v>130</v>
      </c>
      <c r="C3069" t="s">
        <v>240</v>
      </c>
      <c r="E3069" t="s">
        <v>1966</v>
      </c>
      <c r="F3069" t="s">
        <v>2845</v>
      </c>
      <c r="G3069" t="s">
        <v>4635</v>
      </c>
      <c r="H3069" t="s">
        <v>5354</v>
      </c>
      <c r="I3069" t="s">
        <v>6049</v>
      </c>
      <c r="J3069">
        <v>10040</v>
      </c>
      <c r="K3069" t="s">
        <v>6074</v>
      </c>
      <c r="L3069" t="s">
        <v>6074</v>
      </c>
      <c r="N3069" t="s">
        <v>7273</v>
      </c>
      <c r="O3069" t="s">
        <v>7306</v>
      </c>
      <c r="Q3069" t="s">
        <v>7322</v>
      </c>
      <c r="R3069" t="s">
        <v>6074</v>
      </c>
      <c r="S3069" t="s">
        <v>7324</v>
      </c>
      <c r="U3069" t="s">
        <v>240</v>
      </c>
      <c r="V3069">
        <v>1650</v>
      </c>
      <c r="W3069" t="s">
        <v>7365</v>
      </c>
      <c r="X3069" t="s">
        <v>7367</v>
      </c>
      <c r="Z3069" t="s">
        <v>9676</v>
      </c>
      <c r="AB3069" t="s">
        <v>12291</v>
      </c>
      <c r="AC3069">
        <v>42</v>
      </c>
      <c r="AD3069" t="s">
        <v>12422</v>
      </c>
      <c r="AE3069" t="s">
        <v>6110</v>
      </c>
      <c r="AF3069">
        <v>9</v>
      </c>
      <c r="AG3069">
        <v>2</v>
      </c>
      <c r="AH3069">
        <v>2</v>
      </c>
      <c r="AI3069">
        <v>358.57</v>
      </c>
      <c r="AJ3069" t="s">
        <v>12446</v>
      </c>
      <c r="AK3069" t="s">
        <v>12458</v>
      </c>
      <c r="AL3069" t="s">
        <v>12461</v>
      </c>
      <c r="AM3069">
        <v>90000</v>
      </c>
      <c r="AS3069">
        <v>0</v>
      </c>
      <c r="AU3069" t="s">
        <v>13106</v>
      </c>
    </row>
    <row r="3070" spans="1:48">
      <c r="A3070" s="1">
        <f>HYPERLINK("https://cms.ls-nyc.org/matter/dynamic-profile/view/1890850","19-1890850")</f>
        <v>0</v>
      </c>
      <c r="B3070" t="s">
        <v>133</v>
      </c>
      <c r="C3070" t="s">
        <v>251</v>
      </c>
      <c r="E3070" t="s">
        <v>1967</v>
      </c>
      <c r="F3070" t="s">
        <v>3531</v>
      </c>
      <c r="G3070" t="s">
        <v>4839</v>
      </c>
      <c r="H3070" t="s">
        <v>5852</v>
      </c>
      <c r="I3070" t="s">
        <v>6049</v>
      </c>
      <c r="J3070">
        <v>10033</v>
      </c>
      <c r="K3070" t="s">
        <v>6074</v>
      </c>
      <c r="L3070" t="s">
        <v>6074</v>
      </c>
      <c r="O3070" t="s">
        <v>7306</v>
      </c>
      <c r="Q3070" t="s">
        <v>7322</v>
      </c>
      <c r="R3070" t="s">
        <v>6074</v>
      </c>
      <c r="S3070" t="s">
        <v>7324</v>
      </c>
      <c r="U3070" t="s">
        <v>251</v>
      </c>
      <c r="V3070">
        <v>2020</v>
      </c>
      <c r="W3070" t="s">
        <v>7365</v>
      </c>
      <c r="X3070" t="s">
        <v>7371</v>
      </c>
      <c r="Z3070" t="s">
        <v>9677</v>
      </c>
      <c r="AC3070">
        <v>60</v>
      </c>
      <c r="AD3070" t="s">
        <v>12422</v>
      </c>
      <c r="AE3070" t="s">
        <v>6110</v>
      </c>
      <c r="AF3070">
        <v>6</v>
      </c>
      <c r="AG3070">
        <v>1</v>
      </c>
      <c r="AH3070">
        <v>3</v>
      </c>
      <c r="AI3070">
        <v>359.22</v>
      </c>
      <c r="AJ3070" t="s">
        <v>234</v>
      </c>
      <c r="AK3070" t="s">
        <v>12456</v>
      </c>
      <c r="AL3070" t="s">
        <v>12460</v>
      </c>
      <c r="AM3070">
        <v>92500</v>
      </c>
      <c r="AS3070">
        <v>3.05</v>
      </c>
      <c r="AT3070" t="s">
        <v>505</v>
      </c>
      <c r="AU3070" t="s">
        <v>13106</v>
      </c>
    </row>
    <row r="3071" spans="1:48">
      <c r="A3071" s="1">
        <f>HYPERLINK("https://cms.ls-nyc.org/matter/dynamic-profile/view/1868754","18-1868754")</f>
        <v>0</v>
      </c>
      <c r="B3071" t="s">
        <v>111</v>
      </c>
      <c r="C3071" t="s">
        <v>547</v>
      </c>
      <c r="D3071" t="s">
        <v>484</v>
      </c>
      <c r="E3071" t="s">
        <v>1968</v>
      </c>
      <c r="F3071" t="s">
        <v>646</v>
      </c>
      <c r="G3071" t="s">
        <v>5296</v>
      </c>
      <c r="H3071" t="s">
        <v>5990</v>
      </c>
      <c r="I3071" t="s">
        <v>6047</v>
      </c>
      <c r="J3071">
        <v>10466</v>
      </c>
      <c r="K3071" t="s">
        <v>6074</v>
      </c>
      <c r="L3071" t="s">
        <v>6074</v>
      </c>
      <c r="M3071" t="s">
        <v>7248</v>
      </c>
      <c r="N3071" t="s">
        <v>7274</v>
      </c>
      <c r="O3071" t="s">
        <v>7307</v>
      </c>
      <c r="P3071" t="s">
        <v>7314</v>
      </c>
      <c r="Q3071" t="s">
        <v>7322</v>
      </c>
      <c r="S3071" t="s">
        <v>7324</v>
      </c>
      <c r="U3071" t="s">
        <v>467</v>
      </c>
      <c r="V3071">
        <v>5000</v>
      </c>
      <c r="W3071" t="s">
        <v>7363</v>
      </c>
      <c r="X3071" t="s">
        <v>7371</v>
      </c>
      <c r="Y3071" t="s">
        <v>7386</v>
      </c>
      <c r="Z3071" t="s">
        <v>9678</v>
      </c>
      <c r="AB3071" t="s">
        <v>12292</v>
      </c>
      <c r="AC3071">
        <v>0</v>
      </c>
      <c r="AD3071" t="s">
        <v>12419</v>
      </c>
      <c r="AE3071" t="s">
        <v>6110</v>
      </c>
      <c r="AF3071">
        <v>30</v>
      </c>
      <c r="AG3071">
        <v>7</v>
      </c>
      <c r="AH3071">
        <v>0</v>
      </c>
      <c r="AI3071">
        <v>359.43</v>
      </c>
      <c r="AM3071">
        <v>136800</v>
      </c>
      <c r="AN3071" t="s">
        <v>12789</v>
      </c>
      <c r="AS3071">
        <v>6.3</v>
      </c>
      <c r="AT3071" t="s">
        <v>484</v>
      </c>
      <c r="AU3071" t="s">
        <v>13144</v>
      </c>
    </row>
    <row r="3072" spans="1:48">
      <c r="A3072" s="1">
        <f>HYPERLINK("https://cms.ls-nyc.org/matter/dynamic-profile/view/1900725","19-1900725")</f>
        <v>0</v>
      </c>
      <c r="B3072" t="s">
        <v>89</v>
      </c>
      <c r="C3072" t="s">
        <v>381</v>
      </c>
      <c r="E3072" t="s">
        <v>677</v>
      </c>
      <c r="F3072" t="s">
        <v>3532</v>
      </c>
      <c r="G3072" t="s">
        <v>5036</v>
      </c>
      <c r="H3072">
        <v>27</v>
      </c>
      <c r="I3072" t="s">
        <v>6043</v>
      </c>
      <c r="J3072">
        <v>11213</v>
      </c>
      <c r="K3072" t="s">
        <v>6074</v>
      </c>
      <c r="L3072" t="s">
        <v>6075</v>
      </c>
      <c r="N3072" t="s">
        <v>6104</v>
      </c>
      <c r="O3072" t="s">
        <v>7309</v>
      </c>
      <c r="Q3072" t="s">
        <v>7322</v>
      </c>
      <c r="R3072" t="s">
        <v>6074</v>
      </c>
      <c r="S3072" t="s">
        <v>7324</v>
      </c>
      <c r="T3072" t="s">
        <v>7336</v>
      </c>
      <c r="U3072" t="s">
        <v>263</v>
      </c>
      <c r="V3072">
        <v>861.2</v>
      </c>
      <c r="W3072" t="s">
        <v>7362</v>
      </c>
      <c r="X3072" t="s">
        <v>7376</v>
      </c>
      <c r="Z3072" t="s">
        <v>9679</v>
      </c>
      <c r="AB3072" t="s">
        <v>12293</v>
      </c>
      <c r="AC3072">
        <v>31</v>
      </c>
      <c r="AD3072" t="s">
        <v>12422</v>
      </c>
      <c r="AE3072" t="s">
        <v>6110</v>
      </c>
      <c r="AF3072">
        <v>34</v>
      </c>
      <c r="AG3072">
        <v>2</v>
      </c>
      <c r="AH3072">
        <v>0</v>
      </c>
      <c r="AI3072">
        <v>359.55</v>
      </c>
      <c r="AL3072" t="s">
        <v>12460</v>
      </c>
      <c r="AM3072">
        <v>60800</v>
      </c>
      <c r="AN3072" t="s">
        <v>12790</v>
      </c>
      <c r="AS3072">
        <v>0</v>
      </c>
      <c r="AU3072" t="s">
        <v>218</v>
      </c>
      <c r="AV3072" t="s">
        <v>13145</v>
      </c>
    </row>
    <row r="3073" spans="1:48">
      <c r="A3073" s="1">
        <f>HYPERLINK("https://cms.ls-nyc.org/matter/dynamic-profile/view/1898982","19-1898982")</f>
        <v>0</v>
      </c>
      <c r="B3073" t="s">
        <v>72</v>
      </c>
      <c r="C3073" t="s">
        <v>276</v>
      </c>
      <c r="E3073" t="s">
        <v>1452</v>
      </c>
      <c r="F3073" t="s">
        <v>2104</v>
      </c>
      <c r="G3073" t="s">
        <v>3700</v>
      </c>
      <c r="H3073" t="s">
        <v>5971</v>
      </c>
      <c r="I3073" t="s">
        <v>6043</v>
      </c>
      <c r="J3073">
        <v>11233</v>
      </c>
      <c r="K3073" t="s">
        <v>6074</v>
      </c>
      <c r="L3073" t="s">
        <v>6075</v>
      </c>
      <c r="N3073" t="s">
        <v>7279</v>
      </c>
      <c r="O3073" t="s">
        <v>7311</v>
      </c>
      <c r="Q3073" t="s">
        <v>7322</v>
      </c>
      <c r="R3073" t="s">
        <v>6074</v>
      </c>
      <c r="S3073" t="s">
        <v>7324</v>
      </c>
      <c r="T3073" t="s">
        <v>7336</v>
      </c>
      <c r="U3073" t="s">
        <v>330</v>
      </c>
      <c r="V3073">
        <v>1162</v>
      </c>
      <c r="W3073" t="s">
        <v>7362</v>
      </c>
      <c r="X3073" t="s">
        <v>7305</v>
      </c>
      <c r="Z3073" t="s">
        <v>9680</v>
      </c>
      <c r="AC3073">
        <v>359</v>
      </c>
      <c r="AD3073" t="s">
        <v>12422</v>
      </c>
      <c r="AF3073">
        <v>55</v>
      </c>
      <c r="AG3073">
        <v>1</v>
      </c>
      <c r="AH3073">
        <v>0</v>
      </c>
      <c r="AI3073">
        <v>360.29</v>
      </c>
      <c r="AL3073" t="s">
        <v>12460</v>
      </c>
      <c r="AM3073">
        <v>45000</v>
      </c>
      <c r="AN3073" t="s">
        <v>12649</v>
      </c>
      <c r="AS3073">
        <v>0</v>
      </c>
      <c r="AU3073" t="s">
        <v>180</v>
      </c>
      <c r="AV3073" t="s">
        <v>6110</v>
      </c>
    </row>
    <row r="3074" spans="1:48">
      <c r="A3074" s="1">
        <f>HYPERLINK("https://cms.ls-nyc.org/matter/dynamic-profile/view/1898983","19-1898983")</f>
        <v>0</v>
      </c>
      <c r="B3074" t="s">
        <v>72</v>
      </c>
      <c r="C3074" t="s">
        <v>276</v>
      </c>
      <c r="E3074" t="s">
        <v>1452</v>
      </c>
      <c r="F3074" t="s">
        <v>2104</v>
      </c>
      <c r="G3074" t="s">
        <v>3700</v>
      </c>
      <c r="H3074" t="s">
        <v>5971</v>
      </c>
      <c r="I3074" t="s">
        <v>6043</v>
      </c>
      <c r="J3074">
        <v>11233</v>
      </c>
      <c r="K3074" t="s">
        <v>6074</v>
      </c>
      <c r="L3074" t="s">
        <v>6075</v>
      </c>
      <c r="N3074" t="s">
        <v>7275</v>
      </c>
      <c r="O3074" t="s">
        <v>7307</v>
      </c>
      <c r="Q3074" t="s">
        <v>7322</v>
      </c>
      <c r="R3074" t="s">
        <v>6074</v>
      </c>
      <c r="S3074" t="s">
        <v>7324</v>
      </c>
      <c r="T3074" t="s">
        <v>7336</v>
      </c>
      <c r="U3074" t="s">
        <v>287</v>
      </c>
      <c r="V3074">
        <v>1162</v>
      </c>
      <c r="W3074" t="s">
        <v>7362</v>
      </c>
      <c r="X3074" t="s">
        <v>7305</v>
      </c>
      <c r="Z3074" t="s">
        <v>9680</v>
      </c>
      <c r="AC3074">
        <v>359</v>
      </c>
      <c r="AD3074" t="s">
        <v>12422</v>
      </c>
      <c r="AF3074">
        <v>55</v>
      </c>
      <c r="AG3074">
        <v>1</v>
      </c>
      <c r="AH3074">
        <v>0</v>
      </c>
      <c r="AI3074">
        <v>360.29</v>
      </c>
      <c r="AL3074" t="s">
        <v>12460</v>
      </c>
      <c r="AM3074">
        <v>45000</v>
      </c>
      <c r="AN3074" t="s">
        <v>12791</v>
      </c>
      <c r="AS3074">
        <v>0</v>
      </c>
      <c r="AU3074" t="s">
        <v>180</v>
      </c>
      <c r="AV3074" t="s">
        <v>6110</v>
      </c>
    </row>
    <row r="3075" spans="1:48">
      <c r="A3075" s="1">
        <f>HYPERLINK("https://cms.ls-nyc.org/matter/dynamic-profile/view/1893779","19-1893779")</f>
        <v>0</v>
      </c>
      <c r="B3075" t="s">
        <v>105</v>
      </c>
      <c r="C3075" t="s">
        <v>275</v>
      </c>
      <c r="D3075" t="s">
        <v>247</v>
      </c>
      <c r="E3075" t="s">
        <v>1278</v>
      </c>
      <c r="F3075" t="s">
        <v>3533</v>
      </c>
      <c r="G3075" t="s">
        <v>5297</v>
      </c>
      <c r="H3075" t="s">
        <v>5398</v>
      </c>
      <c r="I3075" t="s">
        <v>6047</v>
      </c>
      <c r="J3075">
        <v>10451</v>
      </c>
      <c r="K3075" t="s">
        <v>6074</v>
      </c>
      <c r="L3075" t="s">
        <v>6074</v>
      </c>
      <c r="N3075" t="s">
        <v>6104</v>
      </c>
      <c r="O3075" t="s">
        <v>7306</v>
      </c>
      <c r="P3075" t="s">
        <v>7314</v>
      </c>
      <c r="Q3075" t="s">
        <v>7322</v>
      </c>
      <c r="R3075" t="s">
        <v>6076</v>
      </c>
      <c r="S3075" t="s">
        <v>7324</v>
      </c>
      <c r="U3075" t="s">
        <v>247</v>
      </c>
      <c r="V3075">
        <v>2450</v>
      </c>
      <c r="W3075" t="s">
        <v>7363</v>
      </c>
      <c r="X3075" t="s">
        <v>7376</v>
      </c>
      <c r="Y3075" t="s">
        <v>7386</v>
      </c>
      <c r="Z3075" t="s">
        <v>9681</v>
      </c>
      <c r="AB3075" t="s">
        <v>12294</v>
      </c>
      <c r="AC3075">
        <v>0</v>
      </c>
      <c r="AD3075" t="s">
        <v>12422</v>
      </c>
      <c r="AE3075" t="s">
        <v>6110</v>
      </c>
      <c r="AF3075">
        <v>3</v>
      </c>
      <c r="AG3075">
        <v>1</v>
      </c>
      <c r="AH3075">
        <v>0</v>
      </c>
      <c r="AI3075">
        <v>360.29</v>
      </c>
      <c r="AL3075" t="s">
        <v>12460</v>
      </c>
      <c r="AM3075">
        <v>45000</v>
      </c>
      <c r="AS3075">
        <v>1.2</v>
      </c>
      <c r="AT3075" t="s">
        <v>270</v>
      </c>
      <c r="AU3075" t="s">
        <v>105</v>
      </c>
    </row>
    <row r="3076" spans="1:48">
      <c r="A3076" s="1">
        <f>HYPERLINK("https://cms.ls-nyc.org/matter/dynamic-profile/view/1890842","19-1890842")</f>
        <v>0</v>
      </c>
      <c r="B3076" t="s">
        <v>133</v>
      </c>
      <c r="C3076" t="s">
        <v>251</v>
      </c>
      <c r="E3076" t="s">
        <v>1969</v>
      </c>
      <c r="F3076" t="s">
        <v>3534</v>
      </c>
      <c r="G3076" t="s">
        <v>4839</v>
      </c>
      <c r="H3076" t="s">
        <v>5545</v>
      </c>
      <c r="I3076" t="s">
        <v>6049</v>
      </c>
      <c r="J3076">
        <v>10033</v>
      </c>
      <c r="K3076" t="s">
        <v>6074</v>
      </c>
      <c r="L3076" t="s">
        <v>6074</v>
      </c>
      <c r="O3076" t="s">
        <v>7306</v>
      </c>
      <c r="Q3076" t="s">
        <v>7322</v>
      </c>
      <c r="R3076" t="s">
        <v>6074</v>
      </c>
      <c r="S3076" t="s">
        <v>7324</v>
      </c>
      <c r="U3076" t="s">
        <v>251</v>
      </c>
      <c r="V3076">
        <v>0</v>
      </c>
      <c r="W3076" t="s">
        <v>7365</v>
      </c>
      <c r="X3076" t="s">
        <v>7371</v>
      </c>
      <c r="Z3076" t="s">
        <v>9682</v>
      </c>
      <c r="AB3076" t="s">
        <v>12295</v>
      </c>
      <c r="AC3076">
        <v>60</v>
      </c>
      <c r="AD3076" t="s">
        <v>12422</v>
      </c>
      <c r="AE3076" t="s">
        <v>6110</v>
      </c>
      <c r="AF3076">
        <v>0</v>
      </c>
      <c r="AG3076">
        <v>1</v>
      </c>
      <c r="AH3076">
        <v>0</v>
      </c>
      <c r="AI3076">
        <v>360.29</v>
      </c>
      <c r="AJ3076" t="s">
        <v>234</v>
      </c>
      <c r="AK3076" t="s">
        <v>12456</v>
      </c>
      <c r="AL3076" t="s">
        <v>12460</v>
      </c>
      <c r="AM3076">
        <v>45000</v>
      </c>
      <c r="AS3076">
        <v>0</v>
      </c>
      <c r="AU3076" t="s">
        <v>13106</v>
      </c>
    </row>
    <row r="3077" spans="1:48">
      <c r="A3077" s="1">
        <f>HYPERLINK("https://cms.ls-nyc.org/matter/dynamic-profile/view/1900977","19-1900977")</f>
        <v>0</v>
      </c>
      <c r="B3077" t="s">
        <v>133</v>
      </c>
      <c r="C3077" t="s">
        <v>382</v>
      </c>
      <c r="D3077" t="s">
        <v>324</v>
      </c>
      <c r="E3077" t="s">
        <v>1970</v>
      </c>
      <c r="F3077" t="s">
        <v>2356</v>
      </c>
      <c r="G3077" t="s">
        <v>5298</v>
      </c>
      <c r="H3077" t="s">
        <v>5470</v>
      </c>
      <c r="I3077" t="s">
        <v>6049</v>
      </c>
      <c r="J3077">
        <v>10032</v>
      </c>
      <c r="K3077" t="s">
        <v>6074</v>
      </c>
      <c r="L3077" t="s">
        <v>6075</v>
      </c>
      <c r="O3077" t="s">
        <v>7306</v>
      </c>
      <c r="P3077" t="s">
        <v>7314</v>
      </c>
      <c r="Q3077" t="s">
        <v>7322</v>
      </c>
      <c r="R3077" t="s">
        <v>6076</v>
      </c>
      <c r="S3077" t="s">
        <v>7324</v>
      </c>
      <c r="U3077" t="s">
        <v>382</v>
      </c>
      <c r="V3077">
        <v>1381.42</v>
      </c>
      <c r="W3077" t="s">
        <v>7365</v>
      </c>
      <c r="X3077" t="s">
        <v>7367</v>
      </c>
      <c r="Y3077" t="s">
        <v>7386</v>
      </c>
      <c r="Z3077" t="s">
        <v>9683</v>
      </c>
      <c r="AB3077" t="s">
        <v>12296</v>
      </c>
      <c r="AC3077">
        <v>54</v>
      </c>
      <c r="AD3077" t="s">
        <v>12422</v>
      </c>
      <c r="AE3077" t="s">
        <v>6110</v>
      </c>
      <c r="AF3077">
        <v>35</v>
      </c>
      <c r="AG3077">
        <v>1</v>
      </c>
      <c r="AH3077">
        <v>0</v>
      </c>
      <c r="AI3077">
        <v>360.29</v>
      </c>
      <c r="AL3077" t="s">
        <v>12461</v>
      </c>
      <c r="AM3077">
        <v>45000</v>
      </c>
      <c r="AS3077">
        <v>1</v>
      </c>
      <c r="AT3077" t="s">
        <v>423</v>
      </c>
      <c r="AU3077" t="s">
        <v>13106</v>
      </c>
      <c r="AV3077" t="s">
        <v>13145</v>
      </c>
    </row>
    <row r="3078" spans="1:48">
      <c r="A3078" s="1">
        <f>HYPERLINK("https://cms.ls-nyc.org/matter/dynamic-profile/view/1885190","18-1885190")</f>
        <v>0</v>
      </c>
      <c r="B3078" t="s">
        <v>197</v>
      </c>
      <c r="C3078" t="s">
        <v>341</v>
      </c>
      <c r="D3078" t="s">
        <v>462</v>
      </c>
      <c r="E3078" t="s">
        <v>707</v>
      </c>
      <c r="F3078" t="s">
        <v>2192</v>
      </c>
      <c r="G3078" t="s">
        <v>5299</v>
      </c>
      <c r="H3078">
        <v>17</v>
      </c>
      <c r="I3078" t="s">
        <v>6049</v>
      </c>
      <c r="J3078">
        <v>10032</v>
      </c>
      <c r="K3078" t="s">
        <v>6074</v>
      </c>
      <c r="L3078" t="s">
        <v>6074</v>
      </c>
      <c r="M3078" t="s">
        <v>7249</v>
      </c>
      <c r="N3078" t="s">
        <v>7274</v>
      </c>
      <c r="O3078" t="s">
        <v>7306</v>
      </c>
      <c r="P3078" t="s">
        <v>7314</v>
      </c>
      <c r="Q3078" t="s">
        <v>7322</v>
      </c>
      <c r="R3078" t="s">
        <v>6076</v>
      </c>
      <c r="S3078" t="s">
        <v>7324</v>
      </c>
      <c r="U3078" t="s">
        <v>341</v>
      </c>
      <c r="V3078">
        <v>742.08</v>
      </c>
      <c r="W3078" t="s">
        <v>7365</v>
      </c>
      <c r="X3078" t="s">
        <v>7373</v>
      </c>
      <c r="Y3078" t="s">
        <v>7386</v>
      </c>
      <c r="Z3078" t="s">
        <v>9684</v>
      </c>
      <c r="AB3078" t="s">
        <v>12297</v>
      </c>
      <c r="AC3078">
        <v>0</v>
      </c>
      <c r="AD3078" t="s">
        <v>12425</v>
      </c>
      <c r="AF3078">
        <v>40</v>
      </c>
      <c r="AG3078">
        <v>2</v>
      </c>
      <c r="AH3078">
        <v>0</v>
      </c>
      <c r="AI3078">
        <v>360.87</v>
      </c>
      <c r="AL3078" t="s">
        <v>12461</v>
      </c>
      <c r="AM3078">
        <v>59400</v>
      </c>
      <c r="AS3078">
        <v>0.3</v>
      </c>
      <c r="AT3078" t="s">
        <v>428</v>
      </c>
      <c r="AU3078" t="s">
        <v>13109</v>
      </c>
    </row>
    <row r="3079" spans="1:48">
      <c r="A3079" s="1">
        <f>HYPERLINK("https://cms.ls-nyc.org/matter/dynamic-profile/view/1886683","18-1886683")</f>
        <v>0</v>
      </c>
      <c r="B3079" t="s">
        <v>102</v>
      </c>
      <c r="C3079" t="s">
        <v>428</v>
      </c>
      <c r="E3079" t="s">
        <v>1016</v>
      </c>
      <c r="F3079" t="s">
        <v>3535</v>
      </c>
      <c r="G3079" t="s">
        <v>3779</v>
      </c>
      <c r="H3079" t="s">
        <v>5991</v>
      </c>
      <c r="I3079" t="s">
        <v>6047</v>
      </c>
      <c r="J3079">
        <v>10460</v>
      </c>
      <c r="K3079" t="s">
        <v>6074</v>
      </c>
      <c r="L3079" t="s">
        <v>6074</v>
      </c>
      <c r="M3079" t="s">
        <v>6182</v>
      </c>
      <c r="N3079" t="s">
        <v>7273</v>
      </c>
      <c r="O3079" t="s">
        <v>7308</v>
      </c>
      <c r="Q3079" t="s">
        <v>7322</v>
      </c>
      <c r="R3079" t="s">
        <v>6074</v>
      </c>
      <c r="S3079" t="s">
        <v>7324</v>
      </c>
      <c r="U3079" t="s">
        <v>457</v>
      </c>
      <c r="V3079">
        <v>1967</v>
      </c>
      <c r="W3079" t="s">
        <v>7363</v>
      </c>
      <c r="X3079" t="s">
        <v>7376</v>
      </c>
      <c r="Z3079" t="s">
        <v>9685</v>
      </c>
      <c r="AB3079" t="s">
        <v>12298</v>
      </c>
      <c r="AC3079">
        <v>168</v>
      </c>
      <c r="AD3079" t="s">
        <v>12426</v>
      </c>
      <c r="AE3079" t="s">
        <v>12434</v>
      </c>
      <c r="AF3079">
        <v>3</v>
      </c>
      <c r="AG3079">
        <v>2</v>
      </c>
      <c r="AH3079">
        <v>0</v>
      </c>
      <c r="AI3079">
        <v>363.3</v>
      </c>
      <c r="AL3079" t="s">
        <v>12460</v>
      </c>
      <c r="AM3079">
        <v>59800</v>
      </c>
      <c r="AS3079">
        <v>5</v>
      </c>
      <c r="AT3079" t="s">
        <v>446</v>
      </c>
      <c r="AU3079" t="s">
        <v>13113</v>
      </c>
    </row>
    <row r="3080" spans="1:48">
      <c r="A3080" s="1">
        <f>HYPERLINK("https://cms.ls-nyc.org/matter/dynamic-profile/view/1881352","18-1881352")</f>
        <v>0</v>
      </c>
      <c r="B3080" t="s">
        <v>83</v>
      </c>
      <c r="C3080" t="s">
        <v>414</v>
      </c>
      <c r="D3080" t="s">
        <v>346</v>
      </c>
      <c r="E3080" t="s">
        <v>1971</v>
      </c>
      <c r="F3080" t="s">
        <v>3536</v>
      </c>
      <c r="G3080" t="s">
        <v>4650</v>
      </c>
      <c r="H3080" t="s">
        <v>5398</v>
      </c>
      <c r="I3080" t="s">
        <v>6043</v>
      </c>
      <c r="J3080">
        <v>11226</v>
      </c>
      <c r="K3080" t="s">
        <v>6074</v>
      </c>
      <c r="L3080" t="s">
        <v>6074</v>
      </c>
      <c r="N3080" t="s">
        <v>6104</v>
      </c>
      <c r="O3080" t="s">
        <v>7307</v>
      </c>
      <c r="P3080" t="s">
        <v>7314</v>
      </c>
      <c r="Q3080" t="s">
        <v>7322</v>
      </c>
      <c r="R3080" t="s">
        <v>6076</v>
      </c>
      <c r="S3080" t="s">
        <v>7324</v>
      </c>
      <c r="U3080" t="s">
        <v>442</v>
      </c>
      <c r="V3080">
        <v>1450</v>
      </c>
      <c r="W3080" t="s">
        <v>7362</v>
      </c>
      <c r="X3080" t="s">
        <v>7375</v>
      </c>
      <c r="Y3080" t="s">
        <v>7386</v>
      </c>
      <c r="Z3080" t="s">
        <v>9255</v>
      </c>
      <c r="AC3080">
        <v>48</v>
      </c>
      <c r="AD3080" t="s">
        <v>12422</v>
      </c>
      <c r="AE3080" t="s">
        <v>6110</v>
      </c>
      <c r="AF3080">
        <v>4</v>
      </c>
      <c r="AG3080">
        <v>2</v>
      </c>
      <c r="AH3080">
        <v>0</v>
      </c>
      <c r="AI3080">
        <v>364.52</v>
      </c>
      <c r="AL3080" t="s">
        <v>12460</v>
      </c>
      <c r="AM3080">
        <v>60000</v>
      </c>
      <c r="AS3080">
        <v>2.4</v>
      </c>
      <c r="AT3080" t="s">
        <v>305</v>
      </c>
      <c r="AU3080" t="s">
        <v>83</v>
      </c>
    </row>
    <row r="3081" spans="1:48">
      <c r="A3081" s="1">
        <f>HYPERLINK("https://cms.ls-nyc.org/matter/dynamic-profile/view/1875766","18-1875766")</f>
        <v>0</v>
      </c>
      <c r="B3081" t="s">
        <v>78</v>
      </c>
      <c r="C3081" t="s">
        <v>353</v>
      </c>
      <c r="E3081" t="s">
        <v>643</v>
      </c>
      <c r="F3081" t="s">
        <v>638</v>
      </c>
      <c r="G3081" t="s">
        <v>3919</v>
      </c>
      <c r="I3081" t="s">
        <v>6043</v>
      </c>
      <c r="J3081">
        <v>11212</v>
      </c>
      <c r="K3081" t="s">
        <v>6074</v>
      </c>
      <c r="L3081" t="s">
        <v>6074</v>
      </c>
      <c r="N3081" t="s">
        <v>6104</v>
      </c>
      <c r="O3081" t="s">
        <v>7307</v>
      </c>
      <c r="Q3081" t="s">
        <v>7322</v>
      </c>
      <c r="R3081" t="s">
        <v>6074</v>
      </c>
      <c r="S3081" t="s">
        <v>7324</v>
      </c>
      <c r="U3081" t="s">
        <v>353</v>
      </c>
      <c r="V3081">
        <v>770.47</v>
      </c>
      <c r="W3081" t="s">
        <v>7362</v>
      </c>
      <c r="X3081" t="s">
        <v>7375</v>
      </c>
      <c r="Z3081" t="s">
        <v>9675</v>
      </c>
      <c r="AB3081" t="s">
        <v>12290</v>
      </c>
      <c r="AC3081">
        <v>19</v>
      </c>
      <c r="AD3081" t="s">
        <v>12422</v>
      </c>
      <c r="AE3081" t="s">
        <v>6110</v>
      </c>
      <c r="AF3081">
        <v>21</v>
      </c>
      <c r="AG3081">
        <v>2</v>
      </c>
      <c r="AH3081">
        <v>0</v>
      </c>
      <c r="AI3081">
        <v>364.52</v>
      </c>
      <c r="AL3081" t="s">
        <v>12460</v>
      </c>
      <c r="AM3081">
        <v>60000</v>
      </c>
      <c r="AN3081" t="s">
        <v>12528</v>
      </c>
      <c r="AS3081">
        <v>10</v>
      </c>
      <c r="AT3081" t="s">
        <v>389</v>
      </c>
      <c r="AU3081" t="s">
        <v>91</v>
      </c>
    </row>
    <row r="3082" spans="1:48">
      <c r="A3082" s="1">
        <f>HYPERLINK("https://cms.ls-nyc.org/matter/dynamic-profile/view/1885380","18-1885380")</f>
        <v>0</v>
      </c>
      <c r="B3082" t="s">
        <v>116</v>
      </c>
      <c r="C3082" t="s">
        <v>250</v>
      </c>
      <c r="D3082" t="s">
        <v>389</v>
      </c>
      <c r="E3082" t="s">
        <v>1972</v>
      </c>
      <c r="F3082" t="s">
        <v>2770</v>
      </c>
      <c r="G3082" t="s">
        <v>5300</v>
      </c>
      <c r="H3082" t="s">
        <v>5485</v>
      </c>
      <c r="I3082" t="s">
        <v>6047</v>
      </c>
      <c r="J3082">
        <v>10452</v>
      </c>
      <c r="K3082" t="s">
        <v>6074</v>
      </c>
      <c r="L3082" t="s">
        <v>6074</v>
      </c>
      <c r="N3082" t="s">
        <v>6104</v>
      </c>
      <c r="O3082" t="s">
        <v>7307</v>
      </c>
      <c r="P3082" t="s">
        <v>7315</v>
      </c>
      <c r="Q3082" t="s">
        <v>7322</v>
      </c>
      <c r="R3082" t="s">
        <v>6076</v>
      </c>
      <c r="S3082" t="s">
        <v>7324</v>
      </c>
      <c r="U3082" t="s">
        <v>250</v>
      </c>
      <c r="V3082">
        <v>1277.64</v>
      </c>
      <c r="W3082" t="s">
        <v>7363</v>
      </c>
      <c r="X3082" t="s">
        <v>7305</v>
      </c>
      <c r="Y3082" t="s">
        <v>7386</v>
      </c>
      <c r="Z3082" t="s">
        <v>7817</v>
      </c>
      <c r="AB3082" t="s">
        <v>12299</v>
      </c>
      <c r="AC3082">
        <v>129</v>
      </c>
      <c r="AD3082" t="s">
        <v>12422</v>
      </c>
      <c r="AE3082" t="s">
        <v>6110</v>
      </c>
      <c r="AF3082">
        <v>20</v>
      </c>
      <c r="AG3082">
        <v>2</v>
      </c>
      <c r="AH3082">
        <v>0</v>
      </c>
      <c r="AI3082">
        <v>364.52</v>
      </c>
      <c r="AL3082" t="s">
        <v>12460</v>
      </c>
      <c r="AM3082">
        <v>60000</v>
      </c>
      <c r="AS3082">
        <v>0.75</v>
      </c>
      <c r="AT3082" t="s">
        <v>389</v>
      </c>
      <c r="AU3082" t="s">
        <v>116</v>
      </c>
    </row>
    <row r="3083" spans="1:48">
      <c r="A3083" s="1">
        <f>HYPERLINK("https://cms.ls-nyc.org/matter/dynamic-profile/view/1885558","18-1885558")</f>
        <v>0</v>
      </c>
      <c r="B3083" t="s">
        <v>102</v>
      </c>
      <c r="C3083" t="s">
        <v>504</v>
      </c>
      <c r="E3083" t="s">
        <v>1717</v>
      </c>
      <c r="F3083" t="s">
        <v>2270</v>
      </c>
      <c r="G3083" t="s">
        <v>3779</v>
      </c>
      <c r="H3083" t="s">
        <v>5992</v>
      </c>
      <c r="I3083" t="s">
        <v>6047</v>
      </c>
      <c r="J3083">
        <v>10460</v>
      </c>
      <c r="K3083" t="s">
        <v>6074</v>
      </c>
      <c r="L3083" t="s">
        <v>6074</v>
      </c>
      <c r="M3083" t="s">
        <v>6182</v>
      </c>
      <c r="N3083" t="s">
        <v>7273</v>
      </c>
      <c r="O3083" t="s">
        <v>7308</v>
      </c>
      <c r="Q3083" t="s">
        <v>7322</v>
      </c>
      <c r="R3083" t="s">
        <v>6074</v>
      </c>
      <c r="S3083" t="s">
        <v>7324</v>
      </c>
      <c r="U3083" t="s">
        <v>457</v>
      </c>
      <c r="V3083">
        <v>1367</v>
      </c>
      <c r="W3083" t="s">
        <v>7363</v>
      </c>
      <c r="X3083" t="s">
        <v>7376</v>
      </c>
      <c r="Z3083" t="s">
        <v>7565</v>
      </c>
      <c r="AB3083" t="s">
        <v>12300</v>
      </c>
      <c r="AC3083">
        <v>168</v>
      </c>
      <c r="AD3083" t="s">
        <v>12426</v>
      </c>
      <c r="AE3083" t="s">
        <v>6110</v>
      </c>
      <c r="AF3083">
        <v>24</v>
      </c>
      <c r="AG3083">
        <v>1</v>
      </c>
      <c r="AH3083">
        <v>0</v>
      </c>
      <c r="AI3083">
        <v>365</v>
      </c>
      <c r="AL3083" t="s">
        <v>12460</v>
      </c>
      <c r="AM3083">
        <v>44311</v>
      </c>
      <c r="AS3083">
        <v>0</v>
      </c>
      <c r="AU3083" t="s">
        <v>13095</v>
      </c>
    </row>
    <row r="3084" spans="1:48">
      <c r="A3084" s="1">
        <f>HYPERLINK("https://cms.ls-nyc.org/matter/dynamic-profile/view/1892094","19-1892094")</f>
        <v>0</v>
      </c>
      <c r="B3084" t="s">
        <v>72</v>
      </c>
      <c r="C3084" t="s">
        <v>405</v>
      </c>
      <c r="E3084" t="s">
        <v>711</v>
      </c>
      <c r="F3084" t="s">
        <v>2104</v>
      </c>
      <c r="G3084" t="s">
        <v>3700</v>
      </c>
      <c r="H3084" t="s">
        <v>5993</v>
      </c>
      <c r="I3084" t="s">
        <v>6043</v>
      </c>
      <c r="J3084">
        <v>11233</v>
      </c>
      <c r="K3084" t="s">
        <v>6074</v>
      </c>
      <c r="L3084" t="s">
        <v>6076</v>
      </c>
      <c r="N3084" t="s">
        <v>7279</v>
      </c>
      <c r="O3084" t="s">
        <v>7311</v>
      </c>
      <c r="Q3084" t="s">
        <v>7322</v>
      </c>
      <c r="R3084" t="s">
        <v>6074</v>
      </c>
      <c r="S3084" t="s">
        <v>7324</v>
      </c>
      <c r="T3084" t="s">
        <v>7336</v>
      </c>
      <c r="U3084" t="s">
        <v>330</v>
      </c>
      <c r="V3084">
        <v>1037</v>
      </c>
      <c r="W3084" t="s">
        <v>7362</v>
      </c>
      <c r="X3084" t="s">
        <v>7305</v>
      </c>
      <c r="Z3084" t="s">
        <v>9686</v>
      </c>
      <c r="AC3084">
        <v>359</v>
      </c>
      <c r="AD3084" t="s">
        <v>12422</v>
      </c>
      <c r="AF3084">
        <v>49</v>
      </c>
      <c r="AG3084">
        <v>3</v>
      </c>
      <c r="AH3084">
        <v>0</v>
      </c>
      <c r="AI3084">
        <v>365.68</v>
      </c>
      <c r="AL3084" t="s">
        <v>12460</v>
      </c>
      <c r="AM3084">
        <v>78000</v>
      </c>
      <c r="AN3084" t="s">
        <v>12601</v>
      </c>
      <c r="AS3084">
        <v>0</v>
      </c>
      <c r="AU3084" t="s">
        <v>180</v>
      </c>
    </row>
    <row r="3085" spans="1:48">
      <c r="A3085" s="1">
        <f>HYPERLINK("https://cms.ls-nyc.org/matter/dynamic-profile/view/1893980","19-1893980")</f>
        <v>0</v>
      </c>
      <c r="B3085" t="s">
        <v>97</v>
      </c>
      <c r="C3085" t="s">
        <v>335</v>
      </c>
      <c r="E3085" t="s">
        <v>637</v>
      </c>
      <c r="F3085" t="s">
        <v>3055</v>
      </c>
      <c r="G3085" t="s">
        <v>5183</v>
      </c>
      <c r="H3085" t="s">
        <v>5364</v>
      </c>
      <c r="I3085" t="s">
        <v>6047</v>
      </c>
      <c r="J3085">
        <v>10453</v>
      </c>
      <c r="K3085" t="s">
        <v>6074</v>
      </c>
      <c r="L3085" t="s">
        <v>6074</v>
      </c>
      <c r="N3085" t="s">
        <v>6104</v>
      </c>
      <c r="O3085" t="s">
        <v>7307</v>
      </c>
      <c r="Q3085" t="s">
        <v>7322</v>
      </c>
      <c r="R3085" t="s">
        <v>6076</v>
      </c>
      <c r="S3085" t="s">
        <v>7324</v>
      </c>
      <c r="U3085" t="s">
        <v>335</v>
      </c>
      <c r="V3085">
        <v>1250</v>
      </c>
      <c r="W3085" t="s">
        <v>7363</v>
      </c>
      <c r="X3085" t="s">
        <v>7368</v>
      </c>
      <c r="Z3085" t="s">
        <v>9461</v>
      </c>
      <c r="AB3085" t="s">
        <v>12121</v>
      </c>
      <c r="AC3085">
        <v>21</v>
      </c>
      <c r="AD3085" t="s">
        <v>12422</v>
      </c>
      <c r="AE3085" t="s">
        <v>6110</v>
      </c>
      <c r="AF3085">
        <v>4</v>
      </c>
      <c r="AG3085">
        <v>3</v>
      </c>
      <c r="AH3085">
        <v>0</v>
      </c>
      <c r="AI3085">
        <v>365.68</v>
      </c>
      <c r="AL3085" t="s">
        <v>12461</v>
      </c>
      <c r="AM3085">
        <v>78000</v>
      </c>
      <c r="AS3085">
        <v>2.3</v>
      </c>
      <c r="AT3085" t="s">
        <v>270</v>
      </c>
      <c r="AU3085" t="s">
        <v>97</v>
      </c>
    </row>
    <row r="3086" spans="1:48">
      <c r="A3086" s="1">
        <f>HYPERLINK("https://cms.ls-nyc.org/matter/dynamic-profile/view/1877027","18-1877027")</f>
        <v>0</v>
      </c>
      <c r="B3086" t="s">
        <v>146</v>
      </c>
      <c r="C3086" t="s">
        <v>404</v>
      </c>
      <c r="E3086" t="s">
        <v>1973</v>
      </c>
      <c r="F3086" t="s">
        <v>1518</v>
      </c>
      <c r="G3086" t="s">
        <v>5301</v>
      </c>
      <c r="H3086" t="s">
        <v>5534</v>
      </c>
      <c r="I3086" t="s">
        <v>6049</v>
      </c>
      <c r="J3086">
        <v>10037</v>
      </c>
      <c r="K3086" t="s">
        <v>6074</v>
      </c>
      <c r="L3086" t="s">
        <v>6074</v>
      </c>
      <c r="M3086" t="s">
        <v>7250</v>
      </c>
      <c r="N3086" t="s">
        <v>7276</v>
      </c>
      <c r="O3086" t="s">
        <v>7310</v>
      </c>
      <c r="Q3086" t="s">
        <v>7322</v>
      </c>
      <c r="R3086" t="s">
        <v>6076</v>
      </c>
      <c r="S3086" t="s">
        <v>7331</v>
      </c>
      <c r="U3086" t="s">
        <v>404</v>
      </c>
      <c r="V3086">
        <v>780</v>
      </c>
      <c r="W3086" t="s">
        <v>7365</v>
      </c>
      <c r="X3086" t="s">
        <v>7367</v>
      </c>
      <c r="Z3086" t="s">
        <v>9687</v>
      </c>
      <c r="AB3086" t="s">
        <v>12301</v>
      </c>
      <c r="AC3086">
        <v>0</v>
      </c>
      <c r="AD3086" t="s">
        <v>12423</v>
      </c>
      <c r="AE3086" t="s">
        <v>6110</v>
      </c>
      <c r="AF3086">
        <v>12</v>
      </c>
      <c r="AG3086">
        <v>1</v>
      </c>
      <c r="AH3086">
        <v>0</v>
      </c>
      <c r="AI3086">
        <v>365.73</v>
      </c>
      <c r="AL3086" t="s">
        <v>12460</v>
      </c>
      <c r="AM3086">
        <v>44400</v>
      </c>
      <c r="AS3086">
        <v>13.2</v>
      </c>
      <c r="AT3086" t="s">
        <v>375</v>
      </c>
      <c r="AU3086" t="s">
        <v>13111</v>
      </c>
    </row>
    <row r="3087" spans="1:48">
      <c r="A3087" s="1">
        <f>HYPERLINK("https://cms.ls-nyc.org/matter/dynamic-profile/view/1891594","19-1891594")</f>
        <v>0</v>
      </c>
      <c r="B3087" t="s">
        <v>72</v>
      </c>
      <c r="C3087" t="s">
        <v>364</v>
      </c>
      <c r="E3087" t="s">
        <v>1974</v>
      </c>
      <c r="F3087" t="s">
        <v>3537</v>
      </c>
      <c r="G3087" t="s">
        <v>3700</v>
      </c>
      <c r="H3087" t="s">
        <v>5444</v>
      </c>
      <c r="I3087" t="s">
        <v>6043</v>
      </c>
      <c r="J3087">
        <v>11233</v>
      </c>
      <c r="K3087" t="s">
        <v>6074</v>
      </c>
      <c r="L3087" t="s">
        <v>6076</v>
      </c>
      <c r="M3087" t="s">
        <v>6110</v>
      </c>
      <c r="N3087" t="s">
        <v>7279</v>
      </c>
      <c r="O3087" t="s">
        <v>7311</v>
      </c>
      <c r="Q3087" t="s">
        <v>7322</v>
      </c>
      <c r="R3087" t="s">
        <v>6074</v>
      </c>
      <c r="S3087" t="s">
        <v>7324</v>
      </c>
      <c r="T3087" t="s">
        <v>7336</v>
      </c>
      <c r="U3087" t="s">
        <v>330</v>
      </c>
      <c r="V3087">
        <v>1038.66</v>
      </c>
      <c r="W3087" t="s">
        <v>7362</v>
      </c>
      <c r="Z3087" t="s">
        <v>9688</v>
      </c>
      <c r="AC3087">
        <v>359</v>
      </c>
      <c r="AD3087" t="s">
        <v>12422</v>
      </c>
      <c r="AF3087">
        <v>50</v>
      </c>
      <c r="AG3087">
        <v>2</v>
      </c>
      <c r="AH3087">
        <v>0</v>
      </c>
      <c r="AI3087">
        <v>366.65</v>
      </c>
      <c r="AL3087" t="s">
        <v>12460</v>
      </c>
      <c r="AM3087">
        <v>62000</v>
      </c>
      <c r="AN3087" t="s">
        <v>12486</v>
      </c>
      <c r="AS3087">
        <v>0</v>
      </c>
      <c r="AU3087" t="s">
        <v>218</v>
      </c>
    </row>
    <row r="3088" spans="1:48">
      <c r="A3088" s="1">
        <f>HYPERLINK("https://cms.ls-nyc.org/matter/dynamic-profile/view/1891599","19-1891599")</f>
        <v>0</v>
      </c>
      <c r="B3088" t="s">
        <v>72</v>
      </c>
      <c r="C3088" t="s">
        <v>364</v>
      </c>
      <c r="E3088" t="s">
        <v>1974</v>
      </c>
      <c r="F3088" t="s">
        <v>3537</v>
      </c>
      <c r="G3088" t="s">
        <v>3700</v>
      </c>
      <c r="H3088" t="s">
        <v>5444</v>
      </c>
      <c r="I3088" t="s">
        <v>6043</v>
      </c>
      <c r="J3088">
        <v>11233</v>
      </c>
      <c r="K3088" t="s">
        <v>6074</v>
      </c>
      <c r="L3088" t="s">
        <v>6076</v>
      </c>
      <c r="M3088" t="s">
        <v>6110</v>
      </c>
      <c r="N3088" t="s">
        <v>7275</v>
      </c>
      <c r="O3088" t="s">
        <v>7307</v>
      </c>
      <c r="Q3088" t="s">
        <v>7322</v>
      </c>
      <c r="R3088" t="s">
        <v>6074</v>
      </c>
      <c r="S3088" t="s">
        <v>7324</v>
      </c>
      <c r="T3088" t="s">
        <v>7336</v>
      </c>
      <c r="U3088" t="s">
        <v>287</v>
      </c>
      <c r="V3088">
        <v>1038.66</v>
      </c>
      <c r="W3088" t="s">
        <v>7362</v>
      </c>
      <c r="Z3088" t="s">
        <v>9688</v>
      </c>
      <c r="AC3088">
        <v>359</v>
      </c>
      <c r="AD3088" t="s">
        <v>12422</v>
      </c>
      <c r="AF3088">
        <v>50</v>
      </c>
      <c r="AG3088">
        <v>2</v>
      </c>
      <c r="AH3088">
        <v>0</v>
      </c>
      <c r="AI3088">
        <v>366.65</v>
      </c>
      <c r="AL3088" t="s">
        <v>12460</v>
      </c>
      <c r="AM3088">
        <v>62000</v>
      </c>
      <c r="AN3088" t="s">
        <v>12792</v>
      </c>
      <c r="AS3088">
        <v>0</v>
      </c>
      <c r="AU3088" t="s">
        <v>218</v>
      </c>
    </row>
    <row r="3089" spans="1:48">
      <c r="A3089" s="1">
        <f>HYPERLINK("https://cms.ls-nyc.org/matter/dynamic-profile/view/1876516","18-1876516")</f>
        <v>0</v>
      </c>
      <c r="B3089" t="s">
        <v>89</v>
      </c>
      <c r="C3089" t="s">
        <v>401</v>
      </c>
      <c r="E3089" t="s">
        <v>677</v>
      </c>
      <c r="F3089" t="s">
        <v>3532</v>
      </c>
      <c r="G3089" t="s">
        <v>5036</v>
      </c>
      <c r="H3089">
        <v>27</v>
      </c>
      <c r="I3089" t="s">
        <v>6043</v>
      </c>
      <c r="J3089">
        <v>11213</v>
      </c>
      <c r="K3089" t="s">
        <v>6074</v>
      </c>
      <c r="L3089" t="s">
        <v>6074</v>
      </c>
      <c r="M3089" t="s">
        <v>6147</v>
      </c>
      <c r="N3089" t="s">
        <v>7273</v>
      </c>
      <c r="O3089" t="s">
        <v>7308</v>
      </c>
      <c r="Q3089" t="s">
        <v>7322</v>
      </c>
      <c r="R3089" t="s">
        <v>6074</v>
      </c>
      <c r="S3089" t="s">
        <v>7324</v>
      </c>
      <c r="U3089" t="s">
        <v>253</v>
      </c>
      <c r="V3089">
        <v>861.2</v>
      </c>
      <c r="W3089" t="s">
        <v>7362</v>
      </c>
      <c r="X3089" t="s">
        <v>7376</v>
      </c>
      <c r="Z3089" t="s">
        <v>9679</v>
      </c>
      <c r="AB3089" t="s">
        <v>12293</v>
      </c>
      <c r="AC3089">
        <v>31</v>
      </c>
      <c r="AD3089" t="s">
        <v>12422</v>
      </c>
      <c r="AE3089" t="s">
        <v>6110</v>
      </c>
      <c r="AF3089">
        <v>34</v>
      </c>
      <c r="AG3089">
        <v>2</v>
      </c>
      <c r="AH3089">
        <v>0</v>
      </c>
      <c r="AI3089">
        <v>369.38</v>
      </c>
      <c r="AL3089" t="s">
        <v>12460</v>
      </c>
      <c r="AM3089">
        <v>60800</v>
      </c>
      <c r="AS3089">
        <v>0.1</v>
      </c>
      <c r="AT3089" t="s">
        <v>405</v>
      </c>
      <c r="AU3089" t="s">
        <v>218</v>
      </c>
    </row>
    <row r="3090" spans="1:48">
      <c r="A3090" s="1">
        <f>HYPERLINK("https://cms.ls-nyc.org/matter/dynamic-profile/view/1885373","18-1885373")</f>
        <v>0</v>
      </c>
      <c r="B3090" t="s">
        <v>52</v>
      </c>
      <c r="C3090" t="s">
        <v>250</v>
      </c>
      <c r="D3090" t="s">
        <v>429</v>
      </c>
      <c r="E3090" t="s">
        <v>1975</v>
      </c>
      <c r="F3090" t="s">
        <v>3538</v>
      </c>
      <c r="G3090" t="s">
        <v>5302</v>
      </c>
      <c r="H3090" t="s">
        <v>5357</v>
      </c>
      <c r="I3090" t="s">
        <v>6060</v>
      </c>
      <c r="J3090">
        <v>11418</v>
      </c>
      <c r="K3090" t="s">
        <v>6074</v>
      </c>
      <c r="L3090" t="s">
        <v>6074</v>
      </c>
      <c r="M3090" t="s">
        <v>6101</v>
      </c>
      <c r="N3090" t="s">
        <v>6104</v>
      </c>
      <c r="O3090" t="s">
        <v>7306</v>
      </c>
      <c r="P3090" t="s">
        <v>7314</v>
      </c>
      <c r="Q3090" t="s">
        <v>7323</v>
      </c>
      <c r="R3090" t="s">
        <v>6076</v>
      </c>
      <c r="S3090" t="s">
        <v>7324</v>
      </c>
      <c r="T3090" t="s">
        <v>7336</v>
      </c>
      <c r="U3090" t="s">
        <v>250</v>
      </c>
      <c r="V3090">
        <v>1950</v>
      </c>
      <c r="W3090" t="s">
        <v>7361</v>
      </c>
      <c r="X3090" t="s">
        <v>7369</v>
      </c>
      <c r="Y3090" t="s">
        <v>7386</v>
      </c>
      <c r="Z3090" t="s">
        <v>8302</v>
      </c>
      <c r="AA3090" t="s">
        <v>6110</v>
      </c>
      <c r="AB3090" t="s">
        <v>9856</v>
      </c>
      <c r="AC3090">
        <v>18</v>
      </c>
      <c r="AD3090" t="s">
        <v>12419</v>
      </c>
      <c r="AE3090" t="s">
        <v>6110</v>
      </c>
      <c r="AF3090">
        <v>1</v>
      </c>
      <c r="AG3090">
        <v>1</v>
      </c>
      <c r="AH3090">
        <v>0</v>
      </c>
      <c r="AI3090">
        <v>370.68</v>
      </c>
      <c r="AJ3090" t="s">
        <v>12443</v>
      </c>
      <c r="AK3090" t="s">
        <v>12455</v>
      </c>
      <c r="AL3090" t="s">
        <v>12460</v>
      </c>
      <c r="AM3090">
        <v>45000</v>
      </c>
      <c r="AS3090">
        <v>1.9</v>
      </c>
      <c r="AT3090" t="s">
        <v>429</v>
      </c>
      <c r="AU3090" t="s">
        <v>52</v>
      </c>
    </row>
    <row r="3091" spans="1:48">
      <c r="A3091" s="1">
        <f>HYPERLINK("https://cms.ls-nyc.org/matter/dynamic-profile/view/1879164","18-1879164")</f>
        <v>0</v>
      </c>
      <c r="B3091" t="s">
        <v>96</v>
      </c>
      <c r="C3091" t="s">
        <v>355</v>
      </c>
      <c r="D3091" t="s">
        <v>326</v>
      </c>
      <c r="E3091" t="s">
        <v>1333</v>
      </c>
      <c r="F3091" t="s">
        <v>3539</v>
      </c>
      <c r="G3091" t="s">
        <v>5303</v>
      </c>
      <c r="H3091" t="s">
        <v>5438</v>
      </c>
      <c r="I3091" t="s">
        <v>6047</v>
      </c>
      <c r="J3091">
        <v>10453</v>
      </c>
      <c r="K3091" t="s">
        <v>6074</v>
      </c>
      <c r="L3091" t="s">
        <v>6074</v>
      </c>
      <c r="N3091" t="s">
        <v>7274</v>
      </c>
      <c r="O3091" t="s">
        <v>7306</v>
      </c>
      <c r="P3091" t="s">
        <v>7314</v>
      </c>
      <c r="Q3091" t="s">
        <v>7322</v>
      </c>
      <c r="R3091" t="s">
        <v>6076</v>
      </c>
      <c r="S3091" t="s">
        <v>7324</v>
      </c>
      <c r="U3091" t="s">
        <v>355</v>
      </c>
      <c r="V3091">
        <v>1526</v>
      </c>
      <c r="W3091" t="s">
        <v>7363</v>
      </c>
      <c r="Y3091" t="s">
        <v>7386</v>
      </c>
      <c r="Z3091" t="s">
        <v>9689</v>
      </c>
      <c r="AB3091" t="s">
        <v>12302</v>
      </c>
      <c r="AC3091">
        <v>225</v>
      </c>
      <c r="AD3091" t="s">
        <v>12422</v>
      </c>
      <c r="AE3091" t="s">
        <v>6110</v>
      </c>
      <c r="AF3091">
        <v>1</v>
      </c>
      <c r="AG3091">
        <v>1</v>
      </c>
      <c r="AH3091">
        <v>0</v>
      </c>
      <c r="AI3091">
        <v>370.68</v>
      </c>
      <c r="AL3091" t="s">
        <v>12460</v>
      </c>
      <c r="AM3091">
        <v>45000</v>
      </c>
      <c r="AS3091">
        <v>0.1</v>
      </c>
      <c r="AT3091" t="s">
        <v>326</v>
      </c>
      <c r="AU3091" t="s">
        <v>13092</v>
      </c>
    </row>
    <row r="3092" spans="1:48">
      <c r="A3092" s="1">
        <f>HYPERLINK("https://cms.ls-nyc.org/matter/dynamic-profile/view/1885423","18-1885423")</f>
        <v>0</v>
      </c>
      <c r="B3092" t="s">
        <v>146</v>
      </c>
      <c r="C3092" t="s">
        <v>429</v>
      </c>
      <c r="D3092" t="s">
        <v>462</v>
      </c>
      <c r="E3092" t="s">
        <v>1976</v>
      </c>
      <c r="F3092" t="s">
        <v>3424</v>
      </c>
      <c r="G3092" t="s">
        <v>5304</v>
      </c>
      <c r="H3092" t="s">
        <v>5398</v>
      </c>
      <c r="I3092" t="s">
        <v>6049</v>
      </c>
      <c r="J3092">
        <v>10026</v>
      </c>
      <c r="K3092" t="s">
        <v>6074</v>
      </c>
      <c r="L3092" t="s">
        <v>6074</v>
      </c>
      <c r="M3092" t="s">
        <v>7251</v>
      </c>
      <c r="N3092" t="s">
        <v>7276</v>
      </c>
      <c r="O3092" t="s">
        <v>7306</v>
      </c>
      <c r="P3092" t="s">
        <v>7314</v>
      </c>
      <c r="Q3092" t="s">
        <v>7322</v>
      </c>
      <c r="R3092" t="s">
        <v>6076</v>
      </c>
      <c r="S3092" t="s">
        <v>7324</v>
      </c>
      <c r="T3092" t="s">
        <v>7336</v>
      </c>
      <c r="U3092" t="s">
        <v>429</v>
      </c>
      <c r="V3092">
        <v>3850</v>
      </c>
      <c r="W3092" t="s">
        <v>7365</v>
      </c>
      <c r="X3092" t="s">
        <v>7373</v>
      </c>
      <c r="Y3092" t="s">
        <v>7386</v>
      </c>
      <c r="Z3092" t="s">
        <v>9690</v>
      </c>
      <c r="AB3092" t="s">
        <v>12303</v>
      </c>
      <c r="AC3092">
        <v>0</v>
      </c>
      <c r="AD3092" t="s">
        <v>6322</v>
      </c>
      <c r="AE3092" t="s">
        <v>6110</v>
      </c>
      <c r="AF3092">
        <v>-1</v>
      </c>
      <c r="AG3092">
        <v>1</v>
      </c>
      <c r="AH3092">
        <v>0</v>
      </c>
      <c r="AI3092">
        <v>370.68</v>
      </c>
      <c r="AL3092" t="s">
        <v>12460</v>
      </c>
      <c r="AM3092">
        <v>45000</v>
      </c>
      <c r="AS3092">
        <v>0.6</v>
      </c>
      <c r="AT3092" t="s">
        <v>429</v>
      </c>
      <c r="AU3092" t="s">
        <v>13111</v>
      </c>
    </row>
    <row r="3093" spans="1:48">
      <c r="A3093" s="1">
        <f>HYPERLINK("https://cms.ls-nyc.org/matter/dynamic-profile/view/1886100","18-1886100")</f>
        <v>0</v>
      </c>
      <c r="B3093" t="s">
        <v>195</v>
      </c>
      <c r="C3093" t="s">
        <v>326</v>
      </c>
      <c r="D3093" t="s">
        <v>472</v>
      </c>
      <c r="E3093" t="s">
        <v>1734</v>
      </c>
      <c r="F3093" t="s">
        <v>3540</v>
      </c>
      <c r="G3093" t="s">
        <v>5305</v>
      </c>
      <c r="H3093" t="s">
        <v>5357</v>
      </c>
      <c r="I3093" t="s">
        <v>6049</v>
      </c>
      <c r="J3093">
        <v>10026</v>
      </c>
      <c r="K3093" t="s">
        <v>6074</v>
      </c>
      <c r="L3093" t="s">
        <v>6074</v>
      </c>
      <c r="M3093" t="s">
        <v>7252</v>
      </c>
      <c r="N3093" t="s">
        <v>7276</v>
      </c>
      <c r="O3093" t="s">
        <v>7306</v>
      </c>
      <c r="P3093" t="s">
        <v>7314</v>
      </c>
      <c r="Q3093" t="s">
        <v>7322</v>
      </c>
      <c r="R3093" t="s">
        <v>6076</v>
      </c>
      <c r="S3093" t="s">
        <v>7324</v>
      </c>
      <c r="T3093" t="s">
        <v>7338</v>
      </c>
      <c r="U3093" t="s">
        <v>326</v>
      </c>
      <c r="V3093">
        <v>702</v>
      </c>
      <c r="W3093" t="s">
        <v>7365</v>
      </c>
      <c r="X3093" t="s">
        <v>7373</v>
      </c>
      <c r="Y3093" t="s">
        <v>7386</v>
      </c>
      <c r="Z3093" t="s">
        <v>9691</v>
      </c>
      <c r="AB3093" t="s">
        <v>12304</v>
      </c>
      <c r="AC3093">
        <v>8</v>
      </c>
      <c r="AD3093" t="s">
        <v>12426</v>
      </c>
      <c r="AE3093" t="s">
        <v>6110</v>
      </c>
      <c r="AF3093">
        <v>3</v>
      </c>
      <c r="AG3093">
        <v>1</v>
      </c>
      <c r="AH3093">
        <v>0</v>
      </c>
      <c r="AI3093">
        <v>370.68</v>
      </c>
      <c r="AL3093" t="s">
        <v>12460</v>
      </c>
      <c r="AM3093">
        <v>45000</v>
      </c>
      <c r="AS3093">
        <v>1.2</v>
      </c>
      <c r="AT3093" t="s">
        <v>389</v>
      </c>
      <c r="AU3093" t="s">
        <v>13111</v>
      </c>
    </row>
    <row r="3094" spans="1:48">
      <c r="A3094" s="1">
        <f>HYPERLINK("https://cms.ls-nyc.org/matter/dynamic-profile/view/1900714","19-1900714")</f>
        <v>0</v>
      </c>
      <c r="B3094" t="s">
        <v>89</v>
      </c>
      <c r="C3094" t="s">
        <v>381</v>
      </c>
      <c r="E3094" t="s">
        <v>1977</v>
      </c>
      <c r="F3094" t="s">
        <v>3541</v>
      </c>
      <c r="G3094" t="s">
        <v>5036</v>
      </c>
      <c r="H3094">
        <v>28</v>
      </c>
      <c r="I3094" t="s">
        <v>6043</v>
      </c>
      <c r="J3094">
        <v>11213</v>
      </c>
      <c r="K3094" t="s">
        <v>6074</v>
      </c>
      <c r="L3094" t="s">
        <v>6075</v>
      </c>
      <c r="N3094" t="s">
        <v>6104</v>
      </c>
      <c r="O3094" t="s">
        <v>7309</v>
      </c>
      <c r="Q3094" t="s">
        <v>7322</v>
      </c>
      <c r="R3094" t="s">
        <v>6074</v>
      </c>
      <c r="S3094" t="s">
        <v>7324</v>
      </c>
      <c r="T3094" t="s">
        <v>7336</v>
      </c>
      <c r="U3094" t="s">
        <v>263</v>
      </c>
      <c r="V3094">
        <v>1326</v>
      </c>
      <c r="W3094" t="s">
        <v>7362</v>
      </c>
      <c r="X3094" t="s">
        <v>7376</v>
      </c>
      <c r="Z3094" t="s">
        <v>9692</v>
      </c>
      <c r="AA3094" t="s">
        <v>10292</v>
      </c>
      <c r="AB3094" t="s">
        <v>12305</v>
      </c>
      <c r="AC3094">
        <v>34</v>
      </c>
      <c r="AD3094" t="s">
        <v>12422</v>
      </c>
      <c r="AE3094" t="s">
        <v>6110</v>
      </c>
      <c r="AF3094">
        <v>2</v>
      </c>
      <c r="AG3094">
        <v>2</v>
      </c>
      <c r="AH3094">
        <v>0</v>
      </c>
      <c r="AI3094">
        <v>372.56</v>
      </c>
      <c r="AL3094" t="s">
        <v>12460</v>
      </c>
      <c r="AM3094">
        <v>63000</v>
      </c>
      <c r="AN3094" t="s">
        <v>12793</v>
      </c>
      <c r="AS3094">
        <v>0</v>
      </c>
      <c r="AU3094" t="s">
        <v>218</v>
      </c>
      <c r="AV3094" t="s">
        <v>13145</v>
      </c>
    </row>
    <row r="3095" spans="1:48">
      <c r="A3095" s="1">
        <f>HYPERLINK("https://cms.ls-nyc.org/matter/dynamic-profile/view/1889380","19-1889380")</f>
        <v>0</v>
      </c>
      <c r="B3095" t="s">
        <v>96</v>
      </c>
      <c r="C3095" t="s">
        <v>261</v>
      </c>
      <c r="E3095" t="s">
        <v>1518</v>
      </c>
      <c r="F3095" t="s">
        <v>669</v>
      </c>
      <c r="G3095" t="s">
        <v>4152</v>
      </c>
      <c r="H3095" t="s">
        <v>5354</v>
      </c>
      <c r="I3095" t="s">
        <v>6047</v>
      </c>
      <c r="J3095">
        <v>10456</v>
      </c>
      <c r="K3095" t="s">
        <v>6074</v>
      </c>
      <c r="L3095" t="s">
        <v>6074</v>
      </c>
      <c r="M3095" t="s">
        <v>6498</v>
      </c>
      <c r="N3095" t="s">
        <v>7279</v>
      </c>
      <c r="O3095" t="s">
        <v>7311</v>
      </c>
      <c r="Q3095" t="s">
        <v>7322</v>
      </c>
      <c r="R3095" t="s">
        <v>6074</v>
      </c>
      <c r="S3095" t="s">
        <v>7324</v>
      </c>
      <c r="U3095" t="s">
        <v>424</v>
      </c>
      <c r="V3095">
        <v>1098</v>
      </c>
      <c r="W3095" t="s">
        <v>7363</v>
      </c>
      <c r="X3095" t="s">
        <v>7376</v>
      </c>
      <c r="Z3095" t="s">
        <v>9693</v>
      </c>
      <c r="AB3095" t="s">
        <v>12306</v>
      </c>
      <c r="AC3095">
        <v>61</v>
      </c>
      <c r="AD3095" t="s">
        <v>12422</v>
      </c>
      <c r="AE3095" t="s">
        <v>6110</v>
      </c>
      <c r="AF3095">
        <v>1</v>
      </c>
      <c r="AG3095">
        <v>2</v>
      </c>
      <c r="AH3095">
        <v>0</v>
      </c>
      <c r="AI3095">
        <v>372.56</v>
      </c>
      <c r="AL3095" t="s">
        <v>12461</v>
      </c>
      <c r="AM3095">
        <v>63000</v>
      </c>
      <c r="AS3095">
        <v>0</v>
      </c>
      <c r="AU3095" t="s">
        <v>13095</v>
      </c>
    </row>
    <row r="3096" spans="1:48">
      <c r="A3096" s="1">
        <f>HYPERLINK("https://cms.ls-nyc.org/matter/dynamic-profile/view/1889386","19-1889386")</f>
        <v>0</v>
      </c>
      <c r="B3096" t="s">
        <v>96</v>
      </c>
      <c r="C3096" t="s">
        <v>261</v>
      </c>
      <c r="E3096" t="s">
        <v>1518</v>
      </c>
      <c r="F3096" t="s">
        <v>669</v>
      </c>
      <c r="G3096" t="s">
        <v>4152</v>
      </c>
      <c r="H3096" t="s">
        <v>5354</v>
      </c>
      <c r="I3096" t="s">
        <v>6047</v>
      </c>
      <c r="J3096">
        <v>10456</v>
      </c>
      <c r="K3096" t="s">
        <v>6074</v>
      </c>
      <c r="L3096" t="s">
        <v>6074</v>
      </c>
      <c r="M3096" t="s">
        <v>7253</v>
      </c>
      <c r="N3096" t="s">
        <v>7279</v>
      </c>
      <c r="O3096" t="s">
        <v>7311</v>
      </c>
      <c r="Q3096" t="s">
        <v>7322</v>
      </c>
      <c r="R3096" t="s">
        <v>6074</v>
      </c>
      <c r="S3096" t="s">
        <v>7324</v>
      </c>
      <c r="U3096" t="s">
        <v>424</v>
      </c>
      <c r="V3096">
        <v>1098</v>
      </c>
      <c r="W3096" t="s">
        <v>7363</v>
      </c>
      <c r="X3096" t="s">
        <v>7376</v>
      </c>
      <c r="Z3096" t="s">
        <v>9693</v>
      </c>
      <c r="AB3096" t="s">
        <v>12306</v>
      </c>
      <c r="AC3096">
        <v>61</v>
      </c>
      <c r="AD3096" t="s">
        <v>12422</v>
      </c>
      <c r="AE3096" t="s">
        <v>6110</v>
      </c>
      <c r="AF3096">
        <v>1</v>
      </c>
      <c r="AG3096">
        <v>2</v>
      </c>
      <c r="AH3096">
        <v>0</v>
      </c>
      <c r="AI3096">
        <v>372.56</v>
      </c>
      <c r="AL3096" t="s">
        <v>12461</v>
      </c>
      <c r="AM3096">
        <v>63000</v>
      </c>
      <c r="AS3096">
        <v>0</v>
      </c>
      <c r="AU3096" t="s">
        <v>13095</v>
      </c>
    </row>
    <row r="3097" spans="1:48">
      <c r="A3097" s="1">
        <f>HYPERLINK("https://cms.ls-nyc.org/matter/dynamic-profile/view/1891962","19-1891962")</f>
        <v>0</v>
      </c>
      <c r="B3097" t="s">
        <v>96</v>
      </c>
      <c r="C3097" t="s">
        <v>329</v>
      </c>
      <c r="E3097" t="s">
        <v>1978</v>
      </c>
      <c r="F3097" t="s">
        <v>2429</v>
      </c>
      <c r="G3097" t="s">
        <v>3792</v>
      </c>
      <c r="H3097" t="s">
        <v>5839</v>
      </c>
      <c r="I3097" t="s">
        <v>6047</v>
      </c>
      <c r="J3097">
        <v>10453</v>
      </c>
      <c r="K3097" t="s">
        <v>6074</v>
      </c>
      <c r="L3097" t="s">
        <v>6074</v>
      </c>
      <c r="M3097" t="s">
        <v>6259</v>
      </c>
      <c r="N3097" t="s">
        <v>7273</v>
      </c>
      <c r="O3097" t="s">
        <v>7308</v>
      </c>
      <c r="Q3097" t="s">
        <v>7322</v>
      </c>
      <c r="R3097" t="s">
        <v>6074</v>
      </c>
      <c r="S3097" t="s">
        <v>7324</v>
      </c>
      <c r="U3097" t="s">
        <v>457</v>
      </c>
      <c r="V3097">
        <v>1067.78</v>
      </c>
      <c r="W3097" t="s">
        <v>7363</v>
      </c>
      <c r="X3097" t="s">
        <v>7375</v>
      </c>
      <c r="Z3097" t="s">
        <v>7973</v>
      </c>
      <c r="AB3097" t="s">
        <v>12307</v>
      </c>
      <c r="AC3097">
        <v>170</v>
      </c>
      <c r="AD3097" t="s">
        <v>12422</v>
      </c>
      <c r="AE3097" t="s">
        <v>6110</v>
      </c>
      <c r="AF3097">
        <v>20</v>
      </c>
      <c r="AG3097">
        <v>2</v>
      </c>
      <c r="AH3097">
        <v>0</v>
      </c>
      <c r="AI3097">
        <v>372.56</v>
      </c>
      <c r="AL3097" t="s">
        <v>12460</v>
      </c>
      <c r="AM3097">
        <v>63000</v>
      </c>
      <c r="AS3097">
        <v>0</v>
      </c>
      <c r="AU3097" t="s">
        <v>13093</v>
      </c>
    </row>
    <row r="3098" spans="1:48">
      <c r="A3098" s="1">
        <f>HYPERLINK("https://cms.ls-nyc.org/matter/dynamic-profile/view/1897601","19-1897601")</f>
        <v>0</v>
      </c>
      <c r="B3098" t="s">
        <v>133</v>
      </c>
      <c r="C3098" t="s">
        <v>424</v>
      </c>
      <c r="E3098" t="s">
        <v>684</v>
      </c>
      <c r="F3098" t="s">
        <v>3542</v>
      </c>
      <c r="G3098" t="s">
        <v>4207</v>
      </c>
      <c r="H3098">
        <v>54</v>
      </c>
      <c r="I3098" t="s">
        <v>6049</v>
      </c>
      <c r="J3098">
        <v>10034</v>
      </c>
      <c r="K3098" t="s">
        <v>6074</v>
      </c>
      <c r="L3098" t="s">
        <v>6074</v>
      </c>
      <c r="N3098" t="s">
        <v>7273</v>
      </c>
      <c r="O3098" t="s">
        <v>7306</v>
      </c>
      <c r="Q3098" t="s">
        <v>7322</v>
      </c>
      <c r="R3098" t="s">
        <v>6074</v>
      </c>
      <c r="S3098" t="s">
        <v>7324</v>
      </c>
      <c r="U3098" t="s">
        <v>424</v>
      </c>
      <c r="V3098">
        <v>1313.52</v>
      </c>
      <c r="W3098" t="s">
        <v>7365</v>
      </c>
      <c r="X3098" t="s">
        <v>7367</v>
      </c>
      <c r="Z3098" t="s">
        <v>9694</v>
      </c>
      <c r="AB3098" t="s">
        <v>12308</v>
      </c>
      <c r="AC3098">
        <v>51</v>
      </c>
      <c r="AD3098" t="s">
        <v>12422</v>
      </c>
      <c r="AE3098" t="s">
        <v>6110</v>
      </c>
      <c r="AF3098">
        <v>18</v>
      </c>
      <c r="AG3098">
        <v>2</v>
      </c>
      <c r="AH3098">
        <v>0</v>
      </c>
      <c r="AI3098">
        <v>372.56</v>
      </c>
      <c r="AL3098" t="s">
        <v>12460</v>
      </c>
      <c r="AM3098">
        <v>63000</v>
      </c>
      <c r="AS3098">
        <v>0</v>
      </c>
      <c r="AU3098" t="s">
        <v>13106</v>
      </c>
    </row>
    <row r="3099" spans="1:48">
      <c r="A3099" s="1">
        <f>HYPERLINK("https://cms.ls-nyc.org/matter/dynamic-profile/view/1876630","18-1876630")</f>
        <v>0</v>
      </c>
      <c r="B3099" t="s">
        <v>90</v>
      </c>
      <c r="C3099" t="s">
        <v>243</v>
      </c>
      <c r="E3099" t="s">
        <v>628</v>
      </c>
      <c r="F3099" t="s">
        <v>3543</v>
      </c>
      <c r="G3099" t="s">
        <v>4507</v>
      </c>
      <c r="H3099" t="s">
        <v>5371</v>
      </c>
      <c r="I3099" t="s">
        <v>6043</v>
      </c>
      <c r="J3099">
        <v>11216</v>
      </c>
      <c r="K3099" t="s">
        <v>6074</v>
      </c>
      <c r="L3099" t="s">
        <v>6075</v>
      </c>
      <c r="N3099" t="s">
        <v>7282</v>
      </c>
      <c r="O3099" t="s">
        <v>7308</v>
      </c>
      <c r="Q3099" t="s">
        <v>7322</v>
      </c>
      <c r="R3099" t="s">
        <v>6074</v>
      </c>
      <c r="S3099" t="s">
        <v>7324</v>
      </c>
      <c r="U3099" t="s">
        <v>233</v>
      </c>
      <c r="V3099">
        <v>2450</v>
      </c>
      <c r="W3099" t="s">
        <v>7362</v>
      </c>
      <c r="X3099" t="s">
        <v>7375</v>
      </c>
      <c r="Z3099" t="s">
        <v>7488</v>
      </c>
      <c r="AB3099" t="s">
        <v>12309</v>
      </c>
      <c r="AC3099">
        <v>82</v>
      </c>
      <c r="AD3099" t="s">
        <v>12422</v>
      </c>
      <c r="AE3099" t="s">
        <v>6110</v>
      </c>
      <c r="AF3099">
        <v>1</v>
      </c>
      <c r="AG3099">
        <v>1</v>
      </c>
      <c r="AH3099">
        <v>0</v>
      </c>
      <c r="AI3099">
        <v>373.9</v>
      </c>
      <c r="AJ3099" t="s">
        <v>350</v>
      </c>
      <c r="AK3099" t="s">
        <v>12456</v>
      </c>
      <c r="AL3099" t="s">
        <v>12460</v>
      </c>
      <c r="AM3099">
        <v>45392</v>
      </c>
      <c r="AS3099">
        <v>0</v>
      </c>
      <c r="AU3099" t="s">
        <v>218</v>
      </c>
    </row>
    <row r="3100" spans="1:48">
      <c r="A3100" s="1">
        <f>HYPERLINK("https://cms.ls-nyc.org/matter/dynamic-profile/view/1876621","18-1876621")</f>
        <v>0</v>
      </c>
      <c r="B3100" t="s">
        <v>90</v>
      </c>
      <c r="C3100" t="s">
        <v>243</v>
      </c>
      <c r="E3100" t="s">
        <v>628</v>
      </c>
      <c r="F3100" t="s">
        <v>3543</v>
      </c>
      <c r="G3100" t="s">
        <v>4507</v>
      </c>
      <c r="H3100" t="s">
        <v>5371</v>
      </c>
      <c r="I3100" t="s">
        <v>6043</v>
      </c>
      <c r="J3100">
        <v>11216</v>
      </c>
      <c r="K3100" t="s">
        <v>6074</v>
      </c>
      <c r="L3100" t="s">
        <v>6074</v>
      </c>
      <c r="N3100" t="s">
        <v>6104</v>
      </c>
      <c r="O3100" t="s">
        <v>7307</v>
      </c>
      <c r="Q3100" t="s">
        <v>7322</v>
      </c>
      <c r="S3100" t="s">
        <v>7324</v>
      </c>
      <c r="U3100" t="s">
        <v>233</v>
      </c>
      <c r="V3100">
        <v>2450</v>
      </c>
      <c r="W3100" t="s">
        <v>7362</v>
      </c>
      <c r="X3100" t="s">
        <v>7375</v>
      </c>
      <c r="Z3100" t="s">
        <v>7488</v>
      </c>
      <c r="AB3100" t="s">
        <v>12309</v>
      </c>
      <c r="AC3100">
        <v>82</v>
      </c>
      <c r="AD3100" t="s">
        <v>12422</v>
      </c>
      <c r="AE3100" t="s">
        <v>6110</v>
      </c>
      <c r="AF3100">
        <v>1</v>
      </c>
      <c r="AG3100">
        <v>1</v>
      </c>
      <c r="AH3100">
        <v>0</v>
      </c>
      <c r="AI3100">
        <v>373.9</v>
      </c>
      <c r="AJ3100" t="s">
        <v>350</v>
      </c>
      <c r="AK3100" t="s">
        <v>12456</v>
      </c>
      <c r="AL3100" t="s">
        <v>12460</v>
      </c>
      <c r="AM3100">
        <v>45392</v>
      </c>
      <c r="AN3100" t="s">
        <v>12532</v>
      </c>
      <c r="AS3100">
        <v>0</v>
      </c>
      <c r="AU3100" t="s">
        <v>218</v>
      </c>
    </row>
    <row r="3101" spans="1:48">
      <c r="A3101" s="1">
        <f>HYPERLINK("https://cms.ls-nyc.org/matter/dynamic-profile/view/1897408","19-1897408")</f>
        <v>0</v>
      </c>
      <c r="B3101" t="s">
        <v>72</v>
      </c>
      <c r="C3101" t="s">
        <v>347</v>
      </c>
      <c r="E3101" t="s">
        <v>568</v>
      </c>
      <c r="F3101" t="s">
        <v>3544</v>
      </c>
      <c r="G3101" t="s">
        <v>3700</v>
      </c>
      <c r="H3101" t="s">
        <v>5994</v>
      </c>
      <c r="I3101" t="s">
        <v>6043</v>
      </c>
      <c r="J3101">
        <v>11233</v>
      </c>
      <c r="K3101" t="s">
        <v>6074</v>
      </c>
      <c r="L3101" t="s">
        <v>6076</v>
      </c>
      <c r="N3101" t="s">
        <v>7279</v>
      </c>
      <c r="O3101" t="s">
        <v>7311</v>
      </c>
      <c r="Q3101" t="s">
        <v>7322</v>
      </c>
      <c r="R3101" t="s">
        <v>6074</v>
      </c>
      <c r="S3101" t="s">
        <v>7324</v>
      </c>
      <c r="T3101" t="s">
        <v>7336</v>
      </c>
      <c r="U3101" t="s">
        <v>330</v>
      </c>
      <c r="V3101">
        <v>1000</v>
      </c>
      <c r="W3101" t="s">
        <v>7362</v>
      </c>
      <c r="X3101" t="s">
        <v>7372</v>
      </c>
      <c r="Z3101" t="s">
        <v>9695</v>
      </c>
      <c r="AC3101">
        <v>359</v>
      </c>
      <c r="AD3101" t="s">
        <v>12422</v>
      </c>
      <c r="AF3101">
        <v>4</v>
      </c>
      <c r="AG3101">
        <v>3</v>
      </c>
      <c r="AH3101">
        <v>0</v>
      </c>
      <c r="AI3101">
        <v>375.06</v>
      </c>
      <c r="AL3101" t="s">
        <v>12460</v>
      </c>
      <c r="AM3101">
        <v>80000</v>
      </c>
      <c r="AN3101" t="s">
        <v>12794</v>
      </c>
      <c r="AS3101">
        <v>0</v>
      </c>
      <c r="AU3101" t="s">
        <v>218</v>
      </c>
    </row>
    <row r="3102" spans="1:48">
      <c r="A3102" s="1">
        <f>HYPERLINK("https://cms.ls-nyc.org/matter/dynamic-profile/view/1897410","19-1897410")</f>
        <v>0</v>
      </c>
      <c r="B3102" t="s">
        <v>72</v>
      </c>
      <c r="C3102" t="s">
        <v>347</v>
      </c>
      <c r="E3102" t="s">
        <v>568</v>
      </c>
      <c r="F3102" t="s">
        <v>3544</v>
      </c>
      <c r="G3102" t="s">
        <v>3700</v>
      </c>
      <c r="H3102" t="s">
        <v>5994</v>
      </c>
      <c r="I3102" t="s">
        <v>6043</v>
      </c>
      <c r="J3102">
        <v>11233</v>
      </c>
      <c r="K3102" t="s">
        <v>6074</v>
      </c>
      <c r="L3102" t="s">
        <v>6076</v>
      </c>
      <c r="O3102" t="s">
        <v>7307</v>
      </c>
      <c r="Q3102" t="s">
        <v>7322</v>
      </c>
      <c r="R3102" t="s">
        <v>6074</v>
      </c>
      <c r="S3102" t="s">
        <v>7324</v>
      </c>
      <c r="T3102" t="s">
        <v>7336</v>
      </c>
      <c r="U3102" t="s">
        <v>287</v>
      </c>
      <c r="V3102">
        <v>1000</v>
      </c>
      <c r="W3102" t="s">
        <v>7362</v>
      </c>
      <c r="X3102" t="s">
        <v>7372</v>
      </c>
      <c r="Z3102" t="s">
        <v>9695</v>
      </c>
      <c r="AC3102">
        <v>359</v>
      </c>
      <c r="AD3102" t="s">
        <v>12422</v>
      </c>
      <c r="AF3102">
        <v>4</v>
      </c>
      <c r="AG3102">
        <v>3</v>
      </c>
      <c r="AH3102">
        <v>0</v>
      </c>
      <c r="AI3102">
        <v>375.06</v>
      </c>
      <c r="AL3102" t="s">
        <v>12460</v>
      </c>
      <c r="AM3102">
        <v>80000</v>
      </c>
      <c r="AN3102" t="s">
        <v>12490</v>
      </c>
      <c r="AS3102">
        <v>0</v>
      </c>
      <c r="AU3102" t="s">
        <v>218</v>
      </c>
    </row>
    <row r="3103" spans="1:48">
      <c r="A3103" s="1">
        <f>HYPERLINK("https://cms.ls-nyc.org/matter/dynamic-profile/view/1894530","19-1894530")</f>
        <v>0</v>
      </c>
      <c r="B3103" t="s">
        <v>135</v>
      </c>
      <c r="C3103" t="s">
        <v>338</v>
      </c>
      <c r="E3103" t="s">
        <v>849</v>
      </c>
      <c r="F3103" t="s">
        <v>2173</v>
      </c>
      <c r="G3103" t="s">
        <v>4969</v>
      </c>
      <c r="H3103" t="s">
        <v>5953</v>
      </c>
      <c r="I3103" t="s">
        <v>6049</v>
      </c>
      <c r="J3103">
        <v>10035</v>
      </c>
      <c r="K3103" t="s">
        <v>6074</v>
      </c>
      <c r="L3103" t="s">
        <v>6074</v>
      </c>
      <c r="M3103" t="s">
        <v>7254</v>
      </c>
      <c r="N3103" t="s">
        <v>7276</v>
      </c>
      <c r="O3103" t="s">
        <v>7308</v>
      </c>
      <c r="Q3103" t="s">
        <v>7322</v>
      </c>
      <c r="R3103" t="s">
        <v>6076</v>
      </c>
      <c r="S3103" t="s">
        <v>7324</v>
      </c>
      <c r="T3103" t="s">
        <v>7339</v>
      </c>
      <c r="U3103" t="s">
        <v>270</v>
      </c>
      <c r="V3103">
        <v>1027</v>
      </c>
      <c r="W3103" t="s">
        <v>7365</v>
      </c>
      <c r="X3103" t="s">
        <v>7374</v>
      </c>
      <c r="Z3103" t="s">
        <v>9696</v>
      </c>
      <c r="AB3103" t="s">
        <v>12310</v>
      </c>
      <c r="AC3103">
        <v>255</v>
      </c>
      <c r="AD3103" t="s">
        <v>12420</v>
      </c>
      <c r="AF3103">
        <v>27</v>
      </c>
      <c r="AG3103">
        <v>1</v>
      </c>
      <c r="AH3103">
        <v>0</v>
      </c>
      <c r="AI3103">
        <v>376.12</v>
      </c>
      <c r="AL3103" t="s">
        <v>12460</v>
      </c>
      <c r="AM3103">
        <v>46977</v>
      </c>
      <c r="AS3103">
        <v>8.25</v>
      </c>
      <c r="AT3103" t="s">
        <v>260</v>
      </c>
      <c r="AU3103" t="s">
        <v>13100</v>
      </c>
    </row>
    <row r="3104" spans="1:48">
      <c r="A3104" s="1">
        <f>HYPERLINK("https://cms.ls-nyc.org/matter/dynamic-profile/view/1888668","19-1888668")</f>
        <v>0</v>
      </c>
      <c r="B3104" t="s">
        <v>52</v>
      </c>
      <c r="C3104" t="s">
        <v>339</v>
      </c>
      <c r="D3104" t="s">
        <v>259</v>
      </c>
      <c r="E3104" t="s">
        <v>1730</v>
      </c>
      <c r="F3104" t="s">
        <v>3545</v>
      </c>
      <c r="G3104" t="s">
        <v>5306</v>
      </c>
      <c r="H3104" t="s">
        <v>5360</v>
      </c>
      <c r="I3104" t="s">
        <v>6067</v>
      </c>
      <c r="J3104">
        <v>11422</v>
      </c>
      <c r="K3104" t="s">
        <v>6074</v>
      </c>
      <c r="L3104" t="s">
        <v>6074</v>
      </c>
      <c r="M3104" t="s">
        <v>6110</v>
      </c>
      <c r="N3104" t="s">
        <v>6104</v>
      </c>
      <c r="O3104" t="s">
        <v>7306</v>
      </c>
      <c r="P3104" t="s">
        <v>7314</v>
      </c>
      <c r="Q3104" t="s">
        <v>7323</v>
      </c>
      <c r="R3104" t="s">
        <v>6076</v>
      </c>
      <c r="S3104" t="s">
        <v>7324</v>
      </c>
      <c r="T3104" t="s">
        <v>7336</v>
      </c>
      <c r="U3104" t="s">
        <v>339</v>
      </c>
      <c r="V3104">
        <v>1000</v>
      </c>
      <c r="W3104" t="s">
        <v>7361</v>
      </c>
      <c r="X3104" t="s">
        <v>7369</v>
      </c>
      <c r="Y3104" t="s">
        <v>7386</v>
      </c>
      <c r="Z3104" t="s">
        <v>9697</v>
      </c>
      <c r="AB3104" t="s">
        <v>12311</v>
      </c>
      <c r="AC3104">
        <v>2</v>
      </c>
      <c r="AD3104" t="s">
        <v>12419</v>
      </c>
      <c r="AE3104" t="s">
        <v>6110</v>
      </c>
      <c r="AF3104">
        <v>-1</v>
      </c>
      <c r="AG3104">
        <v>1</v>
      </c>
      <c r="AH3104">
        <v>0</v>
      </c>
      <c r="AI3104">
        <v>376.3</v>
      </c>
      <c r="AJ3104" t="s">
        <v>12443</v>
      </c>
      <c r="AK3104" t="s">
        <v>12455</v>
      </c>
      <c r="AL3104" t="s">
        <v>12460</v>
      </c>
      <c r="AM3104">
        <v>47000</v>
      </c>
      <c r="AS3104">
        <v>0.9</v>
      </c>
      <c r="AT3104" t="s">
        <v>284</v>
      </c>
      <c r="AU3104" t="s">
        <v>52</v>
      </c>
    </row>
    <row r="3105" spans="1:48">
      <c r="A3105" s="1">
        <f>HYPERLINK("https://cms.ls-nyc.org/matter/dynamic-profile/view/1898503","19-1898503")</f>
        <v>0</v>
      </c>
      <c r="B3105" t="s">
        <v>65</v>
      </c>
      <c r="C3105" t="s">
        <v>505</v>
      </c>
      <c r="E3105" t="s">
        <v>581</v>
      </c>
      <c r="F3105" t="s">
        <v>3546</v>
      </c>
      <c r="G3105" t="s">
        <v>5307</v>
      </c>
      <c r="H3105" t="s">
        <v>5376</v>
      </c>
      <c r="I3105" t="s">
        <v>6045</v>
      </c>
      <c r="J3105">
        <v>11101</v>
      </c>
      <c r="K3105" t="s">
        <v>6074</v>
      </c>
      <c r="L3105" t="s">
        <v>6074</v>
      </c>
      <c r="M3105" t="s">
        <v>7255</v>
      </c>
      <c r="N3105" t="s">
        <v>7276</v>
      </c>
      <c r="O3105" t="s">
        <v>7308</v>
      </c>
      <c r="Q3105" t="s">
        <v>7322</v>
      </c>
      <c r="R3105" t="s">
        <v>6076</v>
      </c>
      <c r="S3105" t="s">
        <v>7324</v>
      </c>
      <c r="T3105" t="s">
        <v>7336</v>
      </c>
      <c r="U3105" t="s">
        <v>505</v>
      </c>
      <c r="V3105">
        <v>2400</v>
      </c>
      <c r="W3105" t="s">
        <v>7361</v>
      </c>
      <c r="X3105" t="s">
        <v>7371</v>
      </c>
      <c r="Z3105" t="s">
        <v>9698</v>
      </c>
      <c r="AB3105" t="s">
        <v>12312</v>
      </c>
      <c r="AC3105">
        <v>6</v>
      </c>
      <c r="AD3105" t="s">
        <v>6322</v>
      </c>
      <c r="AE3105" t="s">
        <v>6110</v>
      </c>
      <c r="AF3105">
        <v>3</v>
      </c>
      <c r="AG3105">
        <v>2</v>
      </c>
      <c r="AH3105">
        <v>0</v>
      </c>
      <c r="AI3105">
        <v>378.47</v>
      </c>
      <c r="AK3105" t="s">
        <v>12456</v>
      </c>
      <c r="AL3105" t="s">
        <v>12460</v>
      </c>
      <c r="AM3105">
        <v>64000</v>
      </c>
      <c r="AS3105">
        <v>0.6</v>
      </c>
      <c r="AT3105" t="s">
        <v>294</v>
      </c>
      <c r="AU3105" t="s">
        <v>64</v>
      </c>
    </row>
    <row r="3106" spans="1:48">
      <c r="A3106" s="1">
        <f>HYPERLINK("https://cms.ls-nyc.org/matter/dynamic-profile/view/1876814","18-1876814")</f>
        <v>0</v>
      </c>
      <c r="B3106" t="s">
        <v>90</v>
      </c>
      <c r="C3106" t="s">
        <v>238</v>
      </c>
      <c r="E3106" t="s">
        <v>1979</v>
      </c>
      <c r="F3106" t="s">
        <v>2982</v>
      </c>
      <c r="G3106" t="s">
        <v>4507</v>
      </c>
      <c r="H3106" t="s">
        <v>5476</v>
      </c>
      <c r="I3106" t="s">
        <v>6043</v>
      </c>
      <c r="J3106">
        <v>11216</v>
      </c>
      <c r="K3106" t="s">
        <v>6074</v>
      </c>
      <c r="L3106" t="s">
        <v>6074</v>
      </c>
      <c r="N3106" t="s">
        <v>7282</v>
      </c>
      <c r="O3106" t="s">
        <v>7308</v>
      </c>
      <c r="Q3106" t="s">
        <v>7322</v>
      </c>
      <c r="R3106" t="s">
        <v>6074</v>
      </c>
      <c r="S3106" t="s">
        <v>7324</v>
      </c>
      <c r="U3106" t="s">
        <v>233</v>
      </c>
      <c r="V3106">
        <v>2350</v>
      </c>
      <c r="W3106" t="s">
        <v>7362</v>
      </c>
      <c r="X3106" t="s">
        <v>7375</v>
      </c>
      <c r="Z3106" t="s">
        <v>9699</v>
      </c>
      <c r="AB3106" t="s">
        <v>12313</v>
      </c>
      <c r="AC3106">
        <v>82</v>
      </c>
      <c r="AD3106" t="s">
        <v>12422</v>
      </c>
      <c r="AE3106" t="s">
        <v>6110</v>
      </c>
      <c r="AF3106">
        <v>4</v>
      </c>
      <c r="AG3106">
        <v>2</v>
      </c>
      <c r="AH3106">
        <v>2</v>
      </c>
      <c r="AI3106">
        <v>378.49</v>
      </c>
      <c r="AJ3106" t="s">
        <v>350</v>
      </c>
      <c r="AK3106" t="s">
        <v>12456</v>
      </c>
      <c r="AL3106" t="s">
        <v>12460</v>
      </c>
      <c r="AM3106">
        <v>95000</v>
      </c>
      <c r="AN3106" t="s">
        <v>12532</v>
      </c>
      <c r="AS3106">
        <v>0</v>
      </c>
      <c r="AU3106" t="s">
        <v>218</v>
      </c>
    </row>
    <row r="3107" spans="1:48">
      <c r="A3107" s="1">
        <f>HYPERLINK("https://cms.ls-nyc.org/matter/dynamic-profile/view/1876812","18-1876812")</f>
        <v>0</v>
      </c>
      <c r="B3107" t="s">
        <v>90</v>
      </c>
      <c r="C3107" t="s">
        <v>238</v>
      </c>
      <c r="E3107" t="s">
        <v>1979</v>
      </c>
      <c r="F3107" t="s">
        <v>2982</v>
      </c>
      <c r="G3107" t="s">
        <v>4507</v>
      </c>
      <c r="H3107" t="s">
        <v>5476</v>
      </c>
      <c r="I3107" t="s">
        <v>6043</v>
      </c>
      <c r="J3107">
        <v>11216</v>
      </c>
      <c r="K3107" t="s">
        <v>6074</v>
      </c>
      <c r="L3107" t="s">
        <v>6074</v>
      </c>
      <c r="N3107" t="s">
        <v>6104</v>
      </c>
      <c r="O3107" t="s">
        <v>7307</v>
      </c>
      <c r="Q3107" t="s">
        <v>7322</v>
      </c>
      <c r="R3107" t="s">
        <v>6074</v>
      </c>
      <c r="S3107" t="s">
        <v>7324</v>
      </c>
      <c r="U3107" t="s">
        <v>233</v>
      </c>
      <c r="V3107">
        <v>2350</v>
      </c>
      <c r="W3107" t="s">
        <v>7362</v>
      </c>
      <c r="X3107" t="s">
        <v>7375</v>
      </c>
      <c r="Z3107" t="s">
        <v>9699</v>
      </c>
      <c r="AB3107" t="s">
        <v>12313</v>
      </c>
      <c r="AC3107">
        <v>82</v>
      </c>
      <c r="AD3107" t="s">
        <v>12422</v>
      </c>
      <c r="AE3107" t="s">
        <v>6110</v>
      </c>
      <c r="AF3107">
        <v>4</v>
      </c>
      <c r="AG3107">
        <v>2</v>
      </c>
      <c r="AH3107">
        <v>2</v>
      </c>
      <c r="AI3107">
        <v>378.49</v>
      </c>
      <c r="AJ3107" t="s">
        <v>350</v>
      </c>
      <c r="AK3107" t="s">
        <v>12456</v>
      </c>
      <c r="AL3107" t="s">
        <v>12460</v>
      </c>
      <c r="AM3107">
        <v>95000</v>
      </c>
      <c r="AN3107" t="s">
        <v>12491</v>
      </c>
      <c r="AS3107">
        <v>0</v>
      </c>
      <c r="AU3107" t="s">
        <v>218</v>
      </c>
    </row>
    <row r="3108" spans="1:48">
      <c r="A3108" s="1">
        <f>HYPERLINK("https://cms.ls-nyc.org/matter/dynamic-profile/view/1879360","18-1879360")</f>
        <v>0</v>
      </c>
      <c r="B3108" t="s">
        <v>185</v>
      </c>
      <c r="C3108" t="s">
        <v>249</v>
      </c>
      <c r="D3108" t="s">
        <v>504</v>
      </c>
      <c r="E3108" t="s">
        <v>1980</v>
      </c>
      <c r="F3108" t="s">
        <v>3547</v>
      </c>
      <c r="G3108" t="s">
        <v>5308</v>
      </c>
      <c r="H3108" t="s">
        <v>5476</v>
      </c>
      <c r="I3108" t="s">
        <v>6049</v>
      </c>
      <c r="J3108">
        <v>10002</v>
      </c>
      <c r="K3108" t="s">
        <v>6074</v>
      </c>
      <c r="L3108" t="s">
        <v>6074</v>
      </c>
      <c r="M3108" t="s">
        <v>7256</v>
      </c>
      <c r="N3108" t="s">
        <v>7274</v>
      </c>
      <c r="O3108" t="s">
        <v>7306</v>
      </c>
      <c r="P3108" t="s">
        <v>7314</v>
      </c>
      <c r="Q3108" t="s">
        <v>7322</v>
      </c>
      <c r="S3108" t="s">
        <v>7324</v>
      </c>
      <c r="T3108" t="s">
        <v>7336</v>
      </c>
      <c r="U3108" t="s">
        <v>355</v>
      </c>
      <c r="V3108">
        <v>443.08</v>
      </c>
      <c r="W3108" t="s">
        <v>7365</v>
      </c>
      <c r="X3108" t="s">
        <v>7375</v>
      </c>
      <c r="Y3108" t="s">
        <v>7386</v>
      </c>
      <c r="Z3108" t="s">
        <v>8395</v>
      </c>
      <c r="AB3108" t="s">
        <v>12314</v>
      </c>
      <c r="AC3108">
        <v>0</v>
      </c>
      <c r="AD3108" t="s">
        <v>12422</v>
      </c>
      <c r="AE3108" t="s">
        <v>6110</v>
      </c>
      <c r="AF3108">
        <v>0</v>
      </c>
      <c r="AG3108">
        <v>1</v>
      </c>
      <c r="AH3108">
        <v>0</v>
      </c>
      <c r="AI3108">
        <v>378.91</v>
      </c>
      <c r="AL3108" t="s">
        <v>12473</v>
      </c>
      <c r="AM3108">
        <v>46000</v>
      </c>
      <c r="AS3108">
        <v>0.4</v>
      </c>
      <c r="AT3108" t="s">
        <v>357</v>
      </c>
      <c r="AU3108" t="s">
        <v>13111</v>
      </c>
    </row>
    <row r="3109" spans="1:48">
      <c r="A3109" s="1">
        <f>HYPERLINK("https://cms.ls-nyc.org/matter/dynamic-profile/view/1890972","19-1890972")</f>
        <v>0</v>
      </c>
      <c r="B3109" t="s">
        <v>112</v>
      </c>
      <c r="C3109" t="s">
        <v>492</v>
      </c>
      <c r="E3109" t="s">
        <v>1981</v>
      </c>
      <c r="F3109" t="s">
        <v>3548</v>
      </c>
      <c r="G3109" t="s">
        <v>3793</v>
      </c>
      <c r="H3109" t="s">
        <v>5382</v>
      </c>
      <c r="I3109" t="s">
        <v>6047</v>
      </c>
      <c r="J3109">
        <v>10453</v>
      </c>
      <c r="K3109" t="s">
        <v>6074</v>
      </c>
      <c r="L3109" t="s">
        <v>6074</v>
      </c>
      <c r="N3109" t="s">
        <v>7279</v>
      </c>
      <c r="O3109" t="s">
        <v>7311</v>
      </c>
      <c r="Q3109" t="s">
        <v>7322</v>
      </c>
      <c r="R3109" t="s">
        <v>6074</v>
      </c>
      <c r="S3109" t="s">
        <v>7324</v>
      </c>
      <c r="U3109" t="s">
        <v>457</v>
      </c>
      <c r="V3109">
        <v>1270</v>
      </c>
      <c r="W3109" t="s">
        <v>7363</v>
      </c>
      <c r="X3109" t="s">
        <v>7376</v>
      </c>
      <c r="AC3109">
        <v>44</v>
      </c>
      <c r="AD3109" t="s">
        <v>12422</v>
      </c>
      <c r="AE3109" t="s">
        <v>6110</v>
      </c>
      <c r="AF3109">
        <v>3</v>
      </c>
      <c r="AG3109">
        <v>2</v>
      </c>
      <c r="AH3109">
        <v>0</v>
      </c>
      <c r="AI3109">
        <v>379.1</v>
      </c>
      <c r="AL3109" t="s">
        <v>12460</v>
      </c>
      <c r="AM3109">
        <v>62400</v>
      </c>
      <c r="AS3109">
        <v>0</v>
      </c>
      <c r="AU3109" t="s">
        <v>13095</v>
      </c>
    </row>
    <row r="3110" spans="1:48">
      <c r="A3110" s="1">
        <f>HYPERLINK("https://cms.ls-nyc.org/matter/dynamic-profile/view/1890970","19-1890970")</f>
        <v>0</v>
      </c>
      <c r="B3110" t="s">
        <v>112</v>
      </c>
      <c r="C3110" t="s">
        <v>492</v>
      </c>
      <c r="E3110" t="s">
        <v>1981</v>
      </c>
      <c r="F3110" t="s">
        <v>3548</v>
      </c>
      <c r="G3110" t="s">
        <v>3793</v>
      </c>
      <c r="H3110" t="s">
        <v>5382</v>
      </c>
      <c r="I3110" t="s">
        <v>6047</v>
      </c>
      <c r="J3110">
        <v>10453</v>
      </c>
      <c r="K3110" t="s">
        <v>6074</v>
      </c>
      <c r="L3110" t="s">
        <v>6074</v>
      </c>
      <c r="M3110" t="s">
        <v>6194</v>
      </c>
      <c r="N3110" t="s">
        <v>7273</v>
      </c>
      <c r="O3110" t="s">
        <v>7308</v>
      </c>
      <c r="Q3110" t="s">
        <v>7322</v>
      </c>
      <c r="R3110" t="s">
        <v>6074</v>
      </c>
      <c r="S3110" t="s">
        <v>7324</v>
      </c>
      <c r="U3110" t="s">
        <v>457</v>
      </c>
      <c r="V3110">
        <v>1270</v>
      </c>
      <c r="W3110" t="s">
        <v>7363</v>
      </c>
      <c r="X3110" t="s">
        <v>7376</v>
      </c>
      <c r="AC3110">
        <v>44</v>
      </c>
      <c r="AD3110" t="s">
        <v>12422</v>
      </c>
      <c r="AE3110" t="s">
        <v>6110</v>
      </c>
      <c r="AF3110">
        <v>3</v>
      </c>
      <c r="AG3110">
        <v>2</v>
      </c>
      <c r="AH3110">
        <v>0</v>
      </c>
      <c r="AI3110">
        <v>379.1</v>
      </c>
      <c r="AL3110" t="s">
        <v>12460</v>
      </c>
      <c r="AM3110">
        <v>62400</v>
      </c>
      <c r="AS3110">
        <v>0</v>
      </c>
      <c r="AU3110" t="s">
        <v>13095</v>
      </c>
    </row>
    <row r="3111" spans="1:48">
      <c r="A3111" s="1">
        <f>HYPERLINK("https://cms.ls-nyc.org/matter/dynamic-profile/view/1890966","19-1890966")</f>
        <v>0</v>
      </c>
      <c r="B3111" t="s">
        <v>112</v>
      </c>
      <c r="C3111" t="s">
        <v>492</v>
      </c>
      <c r="E3111" t="s">
        <v>1981</v>
      </c>
      <c r="F3111" t="s">
        <v>3548</v>
      </c>
      <c r="G3111" t="s">
        <v>3793</v>
      </c>
      <c r="H3111" t="s">
        <v>5382</v>
      </c>
      <c r="I3111" t="s">
        <v>6047</v>
      </c>
      <c r="J3111">
        <v>10453</v>
      </c>
      <c r="K3111" t="s">
        <v>6074</v>
      </c>
      <c r="L3111" t="s">
        <v>6074</v>
      </c>
      <c r="N3111" t="s">
        <v>6104</v>
      </c>
      <c r="O3111" t="s">
        <v>7309</v>
      </c>
      <c r="Q3111" t="s">
        <v>7322</v>
      </c>
      <c r="R3111" t="s">
        <v>6074</v>
      </c>
      <c r="S3111" t="s">
        <v>7324</v>
      </c>
      <c r="U3111" t="s">
        <v>457</v>
      </c>
      <c r="V3111">
        <v>1270</v>
      </c>
      <c r="W3111" t="s">
        <v>7363</v>
      </c>
      <c r="X3111" t="s">
        <v>7376</v>
      </c>
      <c r="AC3111">
        <v>44</v>
      </c>
      <c r="AD3111" t="s">
        <v>12422</v>
      </c>
      <c r="AE3111" t="s">
        <v>6110</v>
      </c>
      <c r="AF3111">
        <v>3</v>
      </c>
      <c r="AG3111">
        <v>2</v>
      </c>
      <c r="AH3111">
        <v>0</v>
      </c>
      <c r="AI3111">
        <v>379.1</v>
      </c>
      <c r="AL3111" t="s">
        <v>12460</v>
      </c>
      <c r="AM3111">
        <v>62400</v>
      </c>
      <c r="AS3111">
        <v>0</v>
      </c>
      <c r="AU3111" t="s">
        <v>13095</v>
      </c>
    </row>
    <row r="3112" spans="1:48">
      <c r="A3112" s="1">
        <f>HYPERLINK("https://cms.ls-nyc.org/matter/dynamic-profile/view/1874683","18-1874683")</f>
        <v>0</v>
      </c>
      <c r="B3112" t="s">
        <v>139</v>
      </c>
      <c r="C3112" t="s">
        <v>378</v>
      </c>
      <c r="D3112" t="s">
        <v>274</v>
      </c>
      <c r="E3112" t="s">
        <v>1367</v>
      </c>
      <c r="F3112" t="s">
        <v>2939</v>
      </c>
      <c r="G3112" t="s">
        <v>5309</v>
      </c>
      <c r="H3112" t="s">
        <v>5446</v>
      </c>
      <c r="I3112" t="s">
        <v>6049</v>
      </c>
      <c r="J3112">
        <v>10033</v>
      </c>
      <c r="K3112" t="s">
        <v>6074</v>
      </c>
      <c r="L3112" t="s">
        <v>6074</v>
      </c>
      <c r="N3112" t="s">
        <v>7279</v>
      </c>
      <c r="O3112" t="s">
        <v>7306</v>
      </c>
      <c r="P3112" t="s">
        <v>7314</v>
      </c>
      <c r="Q3112" t="s">
        <v>7322</v>
      </c>
      <c r="R3112" t="s">
        <v>6076</v>
      </c>
      <c r="S3112" t="s">
        <v>7324</v>
      </c>
      <c r="U3112" t="s">
        <v>378</v>
      </c>
      <c r="V3112">
        <v>848.26</v>
      </c>
      <c r="W3112" t="s">
        <v>7365</v>
      </c>
      <c r="X3112" t="s">
        <v>7367</v>
      </c>
      <c r="Y3112" t="s">
        <v>7386</v>
      </c>
      <c r="Z3112" t="s">
        <v>9700</v>
      </c>
      <c r="AB3112" t="s">
        <v>12315</v>
      </c>
      <c r="AC3112">
        <v>20</v>
      </c>
      <c r="AD3112" t="s">
        <v>12425</v>
      </c>
      <c r="AE3112" t="s">
        <v>6110</v>
      </c>
      <c r="AF3112">
        <v>50</v>
      </c>
      <c r="AG3112">
        <v>1</v>
      </c>
      <c r="AH3112">
        <v>0</v>
      </c>
      <c r="AI3112">
        <v>380.56</v>
      </c>
      <c r="AJ3112" t="s">
        <v>354</v>
      </c>
      <c r="AK3112" t="s">
        <v>12456</v>
      </c>
      <c r="AL3112" t="s">
        <v>12460</v>
      </c>
      <c r="AM3112">
        <v>46200</v>
      </c>
      <c r="AS3112">
        <v>1.2</v>
      </c>
      <c r="AT3112" t="s">
        <v>378</v>
      </c>
      <c r="AU3112" t="s">
        <v>13106</v>
      </c>
    </row>
    <row r="3113" spans="1:48">
      <c r="A3113" s="1">
        <f>HYPERLINK("https://cms.ls-nyc.org/matter/dynamic-profile/view/1891145","19-1891145")</f>
        <v>0</v>
      </c>
      <c r="B3113" t="s">
        <v>109</v>
      </c>
      <c r="C3113" t="s">
        <v>371</v>
      </c>
      <c r="E3113" t="s">
        <v>993</v>
      </c>
      <c r="F3113" t="s">
        <v>3549</v>
      </c>
      <c r="G3113" t="s">
        <v>4466</v>
      </c>
      <c r="H3113" t="s">
        <v>5411</v>
      </c>
      <c r="I3113" t="s">
        <v>6047</v>
      </c>
      <c r="J3113">
        <v>10461</v>
      </c>
      <c r="K3113" t="s">
        <v>6074</v>
      </c>
      <c r="L3113" t="s">
        <v>6074</v>
      </c>
      <c r="N3113" t="s">
        <v>7279</v>
      </c>
      <c r="O3113" t="s">
        <v>7307</v>
      </c>
      <c r="Q3113" t="s">
        <v>7322</v>
      </c>
      <c r="R3113" t="s">
        <v>6074</v>
      </c>
      <c r="S3113" t="s">
        <v>7324</v>
      </c>
      <c r="U3113" t="s">
        <v>257</v>
      </c>
      <c r="V3113">
        <v>1350</v>
      </c>
      <c r="W3113" t="s">
        <v>7363</v>
      </c>
      <c r="X3113" t="s">
        <v>7376</v>
      </c>
      <c r="Z3113" t="s">
        <v>9701</v>
      </c>
      <c r="AB3113" t="s">
        <v>12316</v>
      </c>
      <c r="AC3113">
        <v>125</v>
      </c>
      <c r="AD3113" t="s">
        <v>12422</v>
      </c>
      <c r="AE3113" t="s">
        <v>6110</v>
      </c>
      <c r="AF3113">
        <v>1</v>
      </c>
      <c r="AG3113">
        <v>2</v>
      </c>
      <c r="AH3113">
        <v>0</v>
      </c>
      <c r="AI3113">
        <v>382.61</v>
      </c>
      <c r="AL3113" t="s">
        <v>12460</v>
      </c>
      <c r="AM3113">
        <v>64700</v>
      </c>
      <c r="AS3113">
        <v>0</v>
      </c>
      <c r="AU3113" t="s">
        <v>13092</v>
      </c>
    </row>
    <row r="3114" spans="1:48">
      <c r="A3114" s="1">
        <f>HYPERLINK("https://cms.ls-nyc.org/matter/dynamic-profile/view/1882696","18-1882696")</f>
        <v>0</v>
      </c>
      <c r="B3114" t="s">
        <v>98</v>
      </c>
      <c r="C3114" t="s">
        <v>296</v>
      </c>
      <c r="E3114" t="s">
        <v>790</v>
      </c>
      <c r="F3114" t="s">
        <v>2284</v>
      </c>
      <c r="G3114" t="s">
        <v>3786</v>
      </c>
      <c r="H3114" t="s">
        <v>5995</v>
      </c>
      <c r="I3114" t="s">
        <v>6047</v>
      </c>
      <c r="J3114">
        <v>10457</v>
      </c>
      <c r="K3114" t="s">
        <v>6074</v>
      </c>
      <c r="L3114" t="s">
        <v>6074</v>
      </c>
      <c r="M3114" t="s">
        <v>6187</v>
      </c>
      <c r="N3114" t="s">
        <v>7279</v>
      </c>
      <c r="O3114" t="s">
        <v>7311</v>
      </c>
      <c r="Q3114" t="s">
        <v>7322</v>
      </c>
      <c r="R3114" t="s">
        <v>6074</v>
      </c>
      <c r="S3114" t="s">
        <v>7324</v>
      </c>
      <c r="U3114" t="s">
        <v>472</v>
      </c>
      <c r="V3114">
        <v>810</v>
      </c>
      <c r="W3114" t="s">
        <v>7363</v>
      </c>
      <c r="X3114" t="s">
        <v>7376</v>
      </c>
      <c r="Z3114" t="s">
        <v>9702</v>
      </c>
      <c r="AB3114" t="s">
        <v>12317</v>
      </c>
      <c r="AC3114">
        <v>47</v>
      </c>
      <c r="AD3114" t="s">
        <v>12422</v>
      </c>
      <c r="AE3114" t="s">
        <v>6110</v>
      </c>
      <c r="AF3114">
        <v>39</v>
      </c>
      <c r="AG3114">
        <v>2</v>
      </c>
      <c r="AH3114">
        <v>0</v>
      </c>
      <c r="AI3114">
        <v>382.75</v>
      </c>
      <c r="AL3114" t="s">
        <v>12460</v>
      </c>
      <c r="AM3114">
        <v>63000</v>
      </c>
      <c r="AS3114">
        <v>0.1</v>
      </c>
      <c r="AT3114" t="s">
        <v>421</v>
      </c>
      <c r="AU3114" t="s">
        <v>13092</v>
      </c>
    </row>
    <row r="3115" spans="1:48">
      <c r="A3115" s="1">
        <f>HYPERLINK("https://cms.ls-nyc.org/matter/dynamic-profile/view/1882693","18-1882693")</f>
        <v>0</v>
      </c>
      <c r="B3115" t="s">
        <v>98</v>
      </c>
      <c r="C3115" t="s">
        <v>296</v>
      </c>
      <c r="E3115" t="s">
        <v>790</v>
      </c>
      <c r="F3115" t="s">
        <v>2284</v>
      </c>
      <c r="G3115" t="s">
        <v>3786</v>
      </c>
      <c r="H3115" t="s">
        <v>5995</v>
      </c>
      <c r="I3115" t="s">
        <v>6047</v>
      </c>
      <c r="J3115">
        <v>10457</v>
      </c>
      <c r="K3115" t="s">
        <v>6074</v>
      </c>
      <c r="L3115" t="s">
        <v>6074</v>
      </c>
      <c r="M3115" t="s">
        <v>6191</v>
      </c>
      <c r="N3115" t="s">
        <v>7273</v>
      </c>
      <c r="O3115" t="s">
        <v>7308</v>
      </c>
      <c r="Q3115" t="s">
        <v>7322</v>
      </c>
      <c r="R3115" t="s">
        <v>6074</v>
      </c>
      <c r="S3115" t="s">
        <v>7324</v>
      </c>
      <c r="U3115" t="s">
        <v>472</v>
      </c>
      <c r="V3115">
        <v>810</v>
      </c>
      <c r="W3115" t="s">
        <v>7363</v>
      </c>
      <c r="X3115" t="s">
        <v>7376</v>
      </c>
      <c r="Z3115" t="s">
        <v>9702</v>
      </c>
      <c r="AB3115" t="s">
        <v>12317</v>
      </c>
      <c r="AC3115">
        <v>47</v>
      </c>
      <c r="AD3115" t="s">
        <v>12422</v>
      </c>
      <c r="AE3115" t="s">
        <v>6110</v>
      </c>
      <c r="AF3115">
        <v>39</v>
      </c>
      <c r="AG3115">
        <v>2</v>
      </c>
      <c r="AH3115">
        <v>0</v>
      </c>
      <c r="AI3115">
        <v>382.75</v>
      </c>
      <c r="AL3115" t="s">
        <v>12460</v>
      </c>
      <c r="AM3115">
        <v>63000</v>
      </c>
      <c r="AS3115">
        <v>0.1</v>
      </c>
      <c r="AT3115" t="s">
        <v>421</v>
      </c>
      <c r="AU3115" t="s">
        <v>13092</v>
      </c>
    </row>
    <row r="3116" spans="1:48">
      <c r="A3116" s="1">
        <f>HYPERLINK("https://cms.ls-nyc.org/matter/dynamic-profile/view/1875757","18-1875757")</f>
        <v>0</v>
      </c>
      <c r="B3116" t="s">
        <v>96</v>
      </c>
      <c r="C3116" t="s">
        <v>353</v>
      </c>
      <c r="E3116" t="s">
        <v>1518</v>
      </c>
      <c r="F3116" t="s">
        <v>669</v>
      </c>
      <c r="G3116" t="s">
        <v>4152</v>
      </c>
      <c r="H3116" t="s">
        <v>5354</v>
      </c>
      <c r="I3116" t="s">
        <v>6047</v>
      </c>
      <c r="J3116">
        <v>10456</v>
      </c>
      <c r="K3116" t="s">
        <v>6074</v>
      </c>
      <c r="L3116" t="s">
        <v>6074</v>
      </c>
      <c r="M3116" t="s">
        <v>6623</v>
      </c>
      <c r="N3116" t="s">
        <v>7279</v>
      </c>
      <c r="O3116" t="s">
        <v>7311</v>
      </c>
      <c r="Q3116" t="s">
        <v>7322</v>
      </c>
      <c r="R3116" t="s">
        <v>6074</v>
      </c>
      <c r="S3116" t="s">
        <v>7324</v>
      </c>
      <c r="U3116" t="s">
        <v>502</v>
      </c>
      <c r="V3116">
        <v>1098</v>
      </c>
      <c r="W3116" t="s">
        <v>7363</v>
      </c>
      <c r="X3116" t="s">
        <v>7376</v>
      </c>
      <c r="Z3116" t="s">
        <v>9693</v>
      </c>
      <c r="AB3116" t="s">
        <v>12306</v>
      </c>
      <c r="AC3116">
        <v>61</v>
      </c>
      <c r="AD3116" t="s">
        <v>12422</v>
      </c>
      <c r="AE3116" t="s">
        <v>6110</v>
      </c>
      <c r="AF3116">
        <v>1</v>
      </c>
      <c r="AG3116">
        <v>2</v>
      </c>
      <c r="AH3116">
        <v>0</v>
      </c>
      <c r="AI3116">
        <v>382.75</v>
      </c>
      <c r="AL3116" t="s">
        <v>12461</v>
      </c>
      <c r="AM3116">
        <v>63000</v>
      </c>
      <c r="AS3116">
        <v>0</v>
      </c>
      <c r="AU3116" t="s">
        <v>13095</v>
      </c>
    </row>
    <row r="3117" spans="1:48">
      <c r="A3117" s="1">
        <f>HYPERLINK("https://cms.ls-nyc.org/matter/dynamic-profile/view/1891563","19-1891563")</f>
        <v>0</v>
      </c>
      <c r="B3117" t="s">
        <v>72</v>
      </c>
      <c r="C3117" t="s">
        <v>278</v>
      </c>
      <c r="E3117" t="s">
        <v>1096</v>
      </c>
      <c r="F3117" t="s">
        <v>3300</v>
      </c>
      <c r="G3117" t="s">
        <v>3701</v>
      </c>
      <c r="H3117" t="s">
        <v>5996</v>
      </c>
      <c r="I3117" t="s">
        <v>6043</v>
      </c>
      <c r="J3117">
        <v>11233</v>
      </c>
      <c r="K3117" t="s">
        <v>6074</v>
      </c>
      <c r="L3117" t="s">
        <v>6076</v>
      </c>
      <c r="M3117" t="s">
        <v>6101</v>
      </c>
      <c r="N3117" t="s">
        <v>7279</v>
      </c>
      <c r="O3117" t="s">
        <v>7311</v>
      </c>
      <c r="Q3117" t="s">
        <v>7322</v>
      </c>
      <c r="R3117" t="s">
        <v>6074</v>
      </c>
      <c r="S3117" t="s">
        <v>7324</v>
      </c>
      <c r="T3117" t="s">
        <v>7336</v>
      </c>
      <c r="U3117" t="s">
        <v>330</v>
      </c>
      <c r="V3117">
        <v>1157</v>
      </c>
      <c r="W3117" t="s">
        <v>7362</v>
      </c>
      <c r="Z3117" t="s">
        <v>7467</v>
      </c>
      <c r="AC3117">
        <v>359</v>
      </c>
      <c r="AD3117" t="s">
        <v>12422</v>
      </c>
      <c r="AF3117">
        <v>39</v>
      </c>
      <c r="AG3117">
        <v>6</v>
      </c>
      <c r="AH3117">
        <v>0</v>
      </c>
      <c r="AI3117">
        <v>383.06</v>
      </c>
      <c r="AL3117" t="s">
        <v>12460</v>
      </c>
      <c r="AM3117">
        <v>132500</v>
      </c>
      <c r="AN3117" t="s">
        <v>12486</v>
      </c>
      <c r="AS3117">
        <v>0</v>
      </c>
      <c r="AU3117" t="s">
        <v>218</v>
      </c>
    </row>
    <row r="3118" spans="1:48">
      <c r="A3118" s="1">
        <f>HYPERLINK("https://cms.ls-nyc.org/matter/dynamic-profile/view/1891564","19-1891564")</f>
        <v>0</v>
      </c>
      <c r="B3118" t="s">
        <v>72</v>
      </c>
      <c r="C3118" t="s">
        <v>278</v>
      </c>
      <c r="E3118" t="s">
        <v>1096</v>
      </c>
      <c r="F3118" t="s">
        <v>3300</v>
      </c>
      <c r="G3118" t="s">
        <v>3701</v>
      </c>
      <c r="H3118" t="s">
        <v>5996</v>
      </c>
      <c r="I3118" t="s">
        <v>6043</v>
      </c>
      <c r="J3118">
        <v>11233</v>
      </c>
      <c r="K3118" t="s">
        <v>6074</v>
      </c>
      <c r="L3118" t="s">
        <v>6076</v>
      </c>
      <c r="M3118" t="s">
        <v>6101</v>
      </c>
      <c r="N3118" t="s">
        <v>7275</v>
      </c>
      <c r="O3118" t="s">
        <v>7307</v>
      </c>
      <c r="Q3118" t="s">
        <v>7322</v>
      </c>
      <c r="R3118" t="s">
        <v>6074</v>
      </c>
      <c r="S3118" t="s">
        <v>7324</v>
      </c>
      <c r="T3118" t="s">
        <v>7336</v>
      </c>
      <c r="U3118" t="s">
        <v>287</v>
      </c>
      <c r="V3118">
        <v>1157</v>
      </c>
      <c r="W3118" t="s">
        <v>7362</v>
      </c>
      <c r="Z3118" t="s">
        <v>7467</v>
      </c>
      <c r="AC3118">
        <v>359</v>
      </c>
      <c r="AD3118" t="s">
        <v>12422</v>
      </c>
      <c r="AF3118">
        <v>39</v>
      </c>
      <c r="AG3118">
        <v>6</v>
      </c>
      <c r="AH3118">
        <v>0</v>
      </c>
      <c r="AI3118">
        <v>383.06</v>
      </c>
      <c r="AJ3118" t="s">
        <v>459</v>
      </c>
      <c r="AL3118" t="s">
        <v>12460</v>
      </c>
      <c r="AM3118">
        <v>132500</v>
      </c>
      <c r="AN3118" t="s">
        <v>12795</v>
      </c>
      <c r="AS3118">
        <v>0</v>
      </c>
      <c r="AU3118" t="s">
        <v>218</v>
      </c>
    </row>
    <row r="3119" spans="1:48">
      <c r="A3119" s="1">
        <f>HYPERLINK("https://cms.ls-nyc.org/matter/dynamic-profile/view/1900676","19-1900676")</f>
        <v>0</v>
      </c>
      <c r="B3119" t="s">
        <v>89</v>
      </c>
      <c r="C3119" t="s">
        <v>260</v>
      </c>
      <c r="E3119" t="s">
        <v>987</v>
      </c>
      <c r="F3119" t="s">
        <v>3550</v>
      </c>
      <c r="G3119" t="s">
        <v>4982</v>
      </c>
      <c r="H3119" t="s">
        <v>5875</v>
      </c>
      <c r="I3119" t="s">
        <v>6043</v>
      </c>
      <c r="J3119">
        <v>11213</v>
      </c>
      <c r="K3119" t="s">
        <v>6074</v>
      </c>
      <c r="L3119" t="s">
        <v>6075</v>
      </c>
      <c r="M3119" t="s">
        <v>6104</v>
      </c>
      <c r="N3119" t="s">
        <v>6104</v>
      </c>
      <c r="O3119" t="s">
        <v>7309</v>
      </c>
      <c r="Q3119" t="s">
        <v>7322</v>
      </c>
      <c r="R3119" t="s">
        <v>6074</v>
      </c>
      <c r="S3119" t="s">
        <v>7324</v>
      </c>
      <c r="T3119" t="s">
        <v>7336</v>
      </c>
      <c r="U3119" t="s">
        <v>263</v>
      </c>
      <c r="V3119">
        <v>1205</v>
      </c>
      <c r="W3119" t="s">
        <v>7362</v>
      </c>
      <c r="X3119" t="s">
        <v>7376</v>
      </c>
      <c r="Z3119" t="s">
        <v>9703</v>
      </c>
      <c r="AA3119" t="s">
        <v>6110</v>
      </c>
      <c r="AC3119">
        <v>34</v>
      </c>
      <c r="AD3119" t="s">
        <v>12422</v>
      </c>
      <c r="AE3119" t="s">
        <v>6110</v>
      </c>
      <c r="AF3119">
        <v>34</v>
      </c>
      <c r="AG3119">
        <v>3</v>
      </c>
      <c r="AH3119">
        <v>0</v>
      </c>
      <c r="AI3119">
        <v>383.7</v>
      </c>
      <c r="AL3119" t="s">
        <v>12460</v>
      </c>
      <c r="AM3119">
        <v>81843</v>
      </c>
      <c r="AN3119" t="s">
        <v>12796</v>
      </c>
      <c r="AS3119">
        <v>0</v>
      </c>
      <c r="AU3119" t="s">
        <v>218</v>
      </c>
      <c r="AV3119" t="s">
        <v>13145</v>
      </c>
    </row>
    <row r="3120" spans="1:48">
      <c r="A3120" s="1">
        <f>HYPERLINK("https://cms.ls-nyc.org/matter/dynamic-profile/view/1895330","19-1895330")</f>
        <v>0</v>
      </c>
      <c r="B3120" t="s">
        <v>174</v>
      </c>
      <c r="C3120" t="s">
        <v>247</v>
      </c>
      <c r="E3120" t="s">
        <v>716</v>
      </c>
      <c r="F3120" t="s">
        <v>3551</v>
      </c>
      <c r="G3120" t="s">
        <v>4354</v>
      </c>
      <c r="H3120" t="s">
        <v>5446</v>
      </c>
      <c r="I3120" t="s">
        <v>6043</v>
      </c>
      <c r="J3120">
        <v>11221</v>
      </c>
      <c r="K3120" t="s">
        <v>6074</v>
      </c>
      <c r="L3120" t="s">
        <v>6074</v>
      </c>
      <c r="N3120" t="s">
        <v>7287</v>
      </c>
      <c r="O3120" t="s">
        <v>7308</v>
      </c>
      <c r="Q3120" t="s">
        <v>7322</v>
      </c>
      <c r="R3120" t="s">
        <v>6074</v>
      </c>
      <c r="S3120" t="s">
        <v>7324</v>
      </c>
      <c r="U3120" t="s">
        <v>247</v>
      </c>
      <c r="V3120">
        <v>780</v>
      </c>
      <c r="W3120" t="s">
        <v>7362</v>
      </c>
      <c r="X3120" t="s">
        <v>7376</v>
      </c>
      <c r="Z3120" t="s">
        <v>9704</v>
      </c>
      <c r="AB3120" t="s">
        <v>12318</v>
      </c>
      <c r="AC3120">
        <v>12</v>
      </c>
      <c r="AD3120" t="s">
        <v>12422</v>
      </c>
      <c r="AE3120" t="s">
        <v>6110</v>
      </c>
      <c r="AF3120">
        <v>15</v>
      </c>
      <c r="AG3120">
        <v>1</v>
      </c>
      <c r="AH3120">
        <v>0</v>
      </c>
      <c r="AI3120">
        <v>384.31</v>
      </c>
      <c r="AL3120" t="s">
        <v>12460</v>
      </c>
      <c r="AM3120">
        <v>48000</v>
      </c>
      <c r="AN3120" t="s">
        <v>12797</v>
      </c>
      <c r="AS3120">
        <v>0</v>
      </c>
      <c r="AU3120" t="s">
        <v>218</v>
      </c>
    </row>
    <row r="3121" spans="1:48">
      <c r="A3121" s="1">
        <f>HYPERLINK("https://cms.ls-nyc.org/matter/dynamic-profile/view/1891457","19-1891457")</f>
        <v>0</v>
      </c>
      <c r="B3121" t="s">
        <v>106</v>
      </c>
      <c r="C3121" t="s">
        <v>278</v>
      </c>
      <c r="D3121" t="s">
        <v>469</v>
      </c>
      <c r="E3121" t="s">
        <v>1982</v>
      </c>
      <c r="F3121" t="s">
        <v>2121</v>
      </c>
      <c r="G3121" t="s">
        <v>5310</v>
      </c>
      <c r="H3121" t="s">
        <v>5363</v>
      </c>
      <c r="I3121" t="s">
        <v>6047</v>
      </c>
      <c r="J3121">
        <v>10468</v>
      </c>
      <c r="K3121" t="s">
        <v>6074</v>
      </c>
      <c r="L3121" t="s">
        <v>6074</v>
      </c>
      <c r="N3121" t="s">
        <v>6104</v>
      </c>
      <c r="O3121" t="s">
        <v>7306</v>
      </c>
      <c r="P3121" t="s">
        <v>7314</v>
      </c>
      <c r="Q3121" t="s">
        <v>7322</v>
      </c>
      <c r="R3121" t="s">
        <v>6076</v>
      </c>
      <c r="S3121" t="s">
        <v>7324</v>
      </c>
      <c r="U3121" t="s">
        <v>278</v>
      </c>
      <c r="V3121">
        <v>917</v>
      </c>
      <c r="W3121" t="s">
        <v>7363</v>
      </c>
      <c r="X3121" t="s">
        <v>7376</v>
      </c>
      <c r="Y3121" t="s">
        <v>7386</v>
      </c>
      <c r="Z3121" t="s">
        <v>9705</v>
      </c>
      <c r="AB3121" t="s">
        <v>12319</v>
      </c>
      <c r="AC3121">
        <v>65</v>
      </c>
      <c r="AD3121" t="s">
        <v>12422</v>
      </c>
      <c r="AE3121" t="s">
        <v>6110</v>
      </c>
      <c r="AF3121">
        <v>5</v>
      </c>
      <c r="AG3121">
        <v>1</v>
      </c>
      <c r="AH3121">
        <v>0</v>
      </c>
      <c r="AI3121">
        <v>384.31</v>
      </c>
      <c r="AL3121" t="s">
        <v>12460</v>
      </c>
      <c r="AM3121">
        <v>48000</v>
      </c>
      <c r="AS3121">
        <v>2.2</v>
      </c>
      <c r="AT3121" t="s">
        <v>469</v>
      </c>
      <c r="AU3121" t="s">
        <v>106</v>
      </c>
    </row>
    <row r="3122" spans="1:48">
      <c r="A3122" s="1">
        <f>HYPERLINK("https://cms.ls-nyc.org/matter/dynamic-profile/view/1890628","19-1890628")</f>
        <v>0</v>
      </c>
      <c r="B3122" t="s">
        <v>72</v>
      </c>
      <c r="C3122" t="s">
        <v>448</v>
      </c>
      <c r="E3122" t="s">
        <v>1807</v>
      </c>
      <c r="F3122" t="s">
        <v>3552</v>
      </c>
      <c r="G3122" t="s">
        <v>3701</v>
      </c>
      <c r="H3122" t="s">
        <v>5997</v>
      </c>
      <c r="I3122" t="s">
        <v>6043</v>
      </c>
      <c r="J3122">
        <v>11233</v>
      </c>
      <c r="K3122" t="s">
        <v>6074</v>
      </c>
      <c r="L3122" t="s">
        <v>6076</v>
      </c>
      <c r="N3122" t="s">
        <v>7279</v>
      </c>
      <c r="O3122" t="s">
        <v>7311</v>
      </c>
      <c r="Q3122" t="s">
        <v>7322</v>
      </c>
      <c r="R3122" t="s">
        <v>6074</v>
      </c>
      <c r="S3122" t="s">
        <v>7324</v>
      </c>
      <c r="T3122" t="s">
        <v>7336</v>
      </c>
      <c r="U3122" t="s">
        <v>330</v>
      </c>
      <c r="V3122">
        <v>1534.37</v>
      </c>
      <c r="W3122" t="s">
        <v>7362</v>
      </c>
      <c r="X3122" t="s">
        <v>7305</v>
      </c>
      <c r="Z3122" t="s">
        <v>9706</v>
      </c>
      <c r="AC3122">
        <v>359</v>
      </c>
      <c r="AD3122" t="s">
        <v>12422</v>
      </c>
      <c r="AE3122" t="s">
        <v>6110</v>
      </c>
      <c r="AF3122">
        <v>3</v>
      </c>
      <c r="AG3122">
        <v>2</v>
      </c>
      <c r="AH3122">
        <v>0</v>
      </c>
      <c r="AI3122">
        <v>384.39</v>
      </c>
      <c r="AJ3122" t="s">
        <v>459</v>
      </c>
      <c r="AK3122" t="s">
        <v>12456</v>
      </c>
      <c r="AL3122" t="s">
        <v>12460</v>
      </c>
      <c r="AM3122">
        <v>65000</v>
      </c>
      <c r="AN3122" t="s">
        <v>12601</v>
      </c>
      <c r="AS3122">
        <v>0</v>
      </c>
      <c r="AU3122" t="s">
        <v>180</v>
      </c>
    </row>
    <row r="3123" spans="1:48">
      <c r="A3123" s="1">
        <f>HYPERLINK("https://cms.ls-nyc.org/matter/dynamic-profile/view/1891940","19-1891940")</f>
        <v>0</v>
      </c>
      <c r="B3123" t="s">
        <v>72</v>
      </c>
      <c r="C3123" t="s">
        <v>329</v>
      </c>
      <c r="E3123" t="s">
        <v>1983</v>
      </c>
      <c r="F3123" t="s">
        <v>2223</v>
      </c>
      <c r="G3123" t="s">
        <v>3701</v>
      </c>
      <c r="H3123" t="s">
        <v>5436</v>
      </c>
      <c r="I3123" t="s">
        <v>6043</v>
      </c>
      <c r="J3123">
        <v>11233</v>
      </c>
      <c r="K3123" t="s">
        <v>6074</v>
      </c>
      <c r="L3123" t="s">
        <v>6076</v>
      </c>
      <c r="N3123" t="s">
        <v>7279</v>
      </c>
      <c r="O3123" t="s">
        <v>7311</v>
      </c>
      <c r="Q3123" t="s">
        <v>7322</v>
      </c>
      <c r="R3123" t="s">
        <v>6074</v>
      </c>
      <c r="S3123" t="s">
        <v>7324</v>
      </c>
      <c r="T3123" t="s">
        <v>7336</v>
      </c>
      <c r="U3123" t="s">
        <v>330</v>
      </c>
      <c r="V3123">
        <v>1489</v>
      </c>
      <c r="W3123" t="s">
        <v>7362</v>
      </c>
      <c r="X3123" t="s">
        <v>7305</v>
      </c>
      <c r="Z3123" t="s">
        <v>9529</v>
      </c>
      <c r="AC3123">
        <v>359</v>
      </c>
      <c r="AD3123" t="s">
        <v>12422</v>
      </c>
      <c r="AE3123" t="s">
        <v>6110</v>
      </c>
      <c r="AF3123">
        <v>4</v>
      </c>
      <c r="AG3123">
        <v>2</v>
      </c>
      <c r="AH3123">
        <v>0</v>
      </c>
      <c r="AI3123">
        <v>384.39</v>
      </c>
      <c r="AJ3123" t="s">
        <v>459</v>
      </c>
      <c r="AK3123" t="s">
        <v>12456</v>
      </c>
      <c r="AL3123" t="s">
        <v>12460</v>
      </c>
      <c r="AM3123">
        <v>65000</v>
      </c>
      <c r="AN3123" t="s">
        <v>12601</v>
      </c>
      <c r="AS3123">
        <v>0</v>
      </c>
      <c r="AU3123" t="s">
        <v>180</v>
      </c>
    </row>
    <row r="3124" spans="1:48">
      <c r="A3124" s="1">
        <f>HYPERLINK("https://cms.ls-nyc.org/matter/dynamic-profile/view/1897337","19-1897337")</f>
        <v>0</v>
      </c>
      <c r="B3124" t="s">
        <v>72</v>
      </c>
      <c r="C3124" t="s">
        <v>347</v>
      </c>
      <c r="E3124" t="s">
        <v>715</v>
      </c>
      <c r="F3124" t="s">
        <v>3553</v>
      </c>
      <c r="G3124" t="s">
        <v>3701</v>
      </c>
      <c r="H3124" t="s">
        <v>5486</v>
      </c>
      <c r="I3124" t="s">
        <v>6043</v>
      </c>
      <c r="J3124">
        <v>11233</v>
      </c>
      <c r="K3124" t="s">
        <v>6074</v>
      </c>
      <c r="L3124" t="s">
        <v>6076</v>
      </c>
      <c r="N3124" t="s">
        <v>7279</v>
      </c>
      <c r="O3124" t="s">
        <v>7311</v>
      </c>
      <c r="Q3124" t="s">
        <v>7322</v>
      </c>
      <c r="S3124" t="s">
        <v>7324</v>
      </c>
      <c r="T3124" t="s">
        <v>7336</v>
      </c>
      <c r="U3124" t="s">
        <v>330</v>
      </c>
      <c r="V3124">
        <v>100</v>
      </c>
      <c r="W3124" t="s">
        <v>7362</v>
      </c>
      <c r="X3124" t="s">
        <v>7372</v>
      </c>
      <c r="Z3124" t="s">
        <v>9707</v>
      </c>
      <c r="AC3124">
        <v>359</v>
      </c>
      <c r="AD3124" t="s">
        <v>12422</v>
      </c>
      <c r="AF3124">
        <v>50</v>
      </c>
      <c r="AG3124">
        <v>2</v>
      </c>
      <c r="AH3124">
        <v>0</v>
      </c>
      <c r="AI3124">
        <v>384.39</v>
      </c>
      <c r="AL3124" t="s">
        <v>12460</v>
      </c>
      <c r="AM3124">
        <v>65000</v>
      </c>
      <c r="AN3124" t="s">
        <v>12490</v>
      </c>
      <c r="AS3124">
        <v>0</v>
      </c>
      <c r="AU3124" t="s">
        <v>218</v>
      </c>
    </row>
    <row r="3125" spans="1:48">
      <c r="A3125" s="1">
        <f>HYPERLINK("https://cms.ls-nyc.org/matter/dynamic-profile/view/1891616","19-1891616")</f>
        <v>0</v>
      </c>
      <c r="B3125" t="s">
        <v>72</v>
      </c>
      <c r="C3125" t="s">
        <v>364</v>
      </c>
      <c r="E3125" t="s">
        <v>1807</v>
      </c>
      <c r="F3125" t="s">
        <v>3552</v>
      </c>
      <c r="G3125" t="s">
        <v>3701</v>
      </c>
      <c r="H3125" t="s">
        <v>5997</v>
      </c>
      <c r="I3125" t="s">
        <v>6043</v>
      </c>
      <c r="J3125">
        <v>11233</v>
      </c>
      <c r="K3125" t="s">
        <v>6074</v>
      </c>
      <c r="L3125" t="s">
        <v>6076</v>
      </c>
      <c r="N3125" t="s">
        <v>7275</v>
      </c>
      <c r="O3125" t="s">
        <v>7307</v>
      </c>
      <c r="Q3125" t="s">
        <v>7322</v>
      </c>
      <c r="R3125" t="s">
        <v>6074</v>
      </c>
      <c r="S3125" t="s">
        <v>7324</v>
      </c>
      <c r="T3125" t="s">
        <v>7336</v>
      </c>
      <c r="U3125" t="s">
        <v>287</v>
      </c>
      <c r="V3125">
        <v>1534.37</v>
      </c>
      <c r="W3125" t="s">
        <v>7362</v>
      </c>
      <c r="X3125" t="s">
        <v>7305</v>
      </c>
      <c r="Z3125" t="s">
        <v>9706</v>
      </c>
      <c r="AC3125">
        <v>359</v>
      </c>
      <c r="AD3125" t="s">
        <v>12422</v>
      </c>
      <c r="AE3125" t="s">
        <v>6110</v>
      </c>
      <c r="AF3125">
        <v>3</v>
      </c>
      <c r="AG3125">
        <v>2</v>
      </c>
      <c r="AH3125">
        <v>0</v>
      </c>
      <c r="AI3125">
        <v>384.39</v>
      </c>
      <c r="AJ3125" t="s">
        <v>459</v>
      </c>
      <c r="AK3125" t="s">
        <v>12456</v>
      </c>
      <c r="AL3125" t="s">
        <v>12460</v>
      </c>
      <c r="AM3125">
        <v>65000</v>
      </c>
      <c r="AN3125" t="s">
        <v>12798</v>
      </c>
      <c r="AS3125">
        <v>0</v>
      </c>
      <c r="AU3125" t="s">
        <v>180</v>
      </c>
    </row>
    <row r="3126" spans="1:48">
      <c r="A3126" s="1">
        <f>HYPERLINK("https://cms.ls-nyc.org/matter/dynamic-profile/view/1891944","19-1891944")</f>
        <v>0</v>
      </c>
      <c r="B3126" t="s">
        <v>72</v>
      </c>
      <c r="C3126" t="s">
        <v>329</v>
      </c>
      <c r="E3126" t="s">
        <v>1983</v>
      </c>
      <c r="F3126" t="s">
        <v>2223</v>
      </c>
      <c r="G3126" t="s">
        <v>3701</v>
      </c>
      <c r="H3126" t="s">
        <v>5436</v>
      </c>
      <c r="I3126" t="s">
        <v>6043</v>
      </c>
      <c r="J3126">
        <v>11233</v>
      </c>
      <c r="K3126" t="s">
        <v>6074</v>
      </c>
      <c r="L3126" t="s">
        <v>6076</v>
      </c>
      <c r="N3126" t="s">
        <v>7275</v>
      </c>
      <c r="O3126" t="s">
        <v>7307</v>
      </c>
      <c r="Q3126" t="s">
        <v>7322</v>
      </c>
      <c r="R3126" t="s">
        <v>6074</v>
      </c>
      <c r="S3126" t="s">
        <v>7324</v>
      </c>
      <c r="T3126" t="s">
        <v>7336</v>
      </c>
      <c r="U3126" t="s">
        <v>287</v>
      </c>
      <c r="V3126">
        <v>1489</v>
      </c>
      <c r="W3126" t="s">
        <v>7362</v>
      </c>
      <c r="X3126" t="s">
        <v>7305</v>
      </c>
      <c r="Z3126" t="s">
        <v>9529</v>
      </c>
      <c r="AC3126">
        <v>359</v>
      </c>
      <c r="AD3126" t="s">
        <v>12422</v>
      </c>
      <c r="AE3126" t="s">
        <v>6110</v>
      </c>
      <c r="AF3126">
        <v>4</v>
      </c>
      <c r="AG3126">
        <v>2</v>
      </c>
      <c r="AH3126">
        <v>0</v>
      </c>
      <c r="AI3126">
        <v>384.39</v>
      </c>
      <c r="AJ3126" t="s">
        <v>459</v>
      </c>
      <c r="AK3126" t="s">
        <v>12456</v>
      </c>
      <c r="AL3126" t="s">
        <v>12460</v>
      </c>
      <c r="AM3126">
        <v>65000</v>
      </c>
      <c r="AN3126" t="s">
        <v>12799</v>
      </c>
      <c r="AS3126">
        <v>0</v>
      </c>
      <c r="AU3126" t="s">
        <v>180</v>
      </c>
    </row>
    <row r="3127" spans="1:48">
      <c r="A3127" s="1">
        <f>HYPERLINK("https://cms.ls-nyc.org/matter/dynamic-profile/view/1897341","19-1897341")</f>
        <v>0</v>
      </c>
      <c r="B3127" t="s">
        <v>72</v>
      </c>
      <c r="C3127" t="s">
        <v>347</v>
      </c>
      <c r="E3127" t="s">
        <v>715</v>
      </c>
      <c r="F3127" t="s">
        <v>3553</v>
      </c>
      <c r="G3127" t="s">
        <v>3701</v>
      </c>
      <c r="H3127" t="s">
        <v>5486</v>
      </c>
      <c r="I3127" t="s">
        <v>6043</v>
      </c>
      <c r="J3127">
        <v>11233</v>
      </c>
      <c r="K3127" t="s">
        <v>6074</v>
      </c>
      <c r="L3127" t="s">
        <v>6076</v>
      </c>
      <c r="N3127" t="s">
        <v>7275</v>
      </c>
      <c r="O3127" t="s">
        <v>7307</v>
      </c>
      <c r="Q3127" t="s">
        <v>7322</v>
      </c>
      <c r="R3127" t="s">
        <v>6074</v>
      </c>
      <c r="S3127" t="s">
        <v>7324</v>
      </c>
      <c r="T3127" t="s">
        <v>7336</v>
      </c>
      <c r="U3127" t="s">
        <v>287</v>
      </c>
      <c r="V3127">
        <v>1000</v>
      </c>
      <c r="W3127" t="s">
        <v>7362</v>
      </c>
      <c r="X3127" t="s">
        <v>7372</v>
      </c>
      <c r="Z3127" t="s">
        <v>9707</v>
      </c>
      <c r="AC3127">
        <v>359</v>
      </c>
      <c r="AD3127" t="s">
        <v>12422</v>
      </c>
      <c r="AF3127">
        <v>50</v>
      </c>
      <c r="AG3127">
        <v>2</v>
      </c>
      <c r="AH3127">
        <v>0</v>
      </c>
      <c r="AI3127">
        <v>384.39</v>
      </c>
      <c r="AL3127" t="s">
        <v>12460</v>
      </c>
      <c r="AM3127">
        <v>65000</v>
      </c>
      <c r="AN3127" t="s">
        <v>12800</v>
      </c>
      <c r="AS3127">
        <v>0</v>
      </c>
      <c r="AU3127" t="s">
        <v>218</v>
      </c>
    </row>
    <row r="3128" spans="1:48">
      <c r="A3128" s="1">
        <f>HYPERLINK("https://cms.ls-nyc.org/matter/dynamic-profile/view/1871571","18-1871571")</f>
        <v>0</v>
      </c>
      <c r="B3128" t="s">
        <v>128</v>
      </c>
      <c r="C3128" t="s">
        <v>374</v>
      </c>
      <c r="E3128" t="s">
        <v>646</v>
      </c>
      <c r="F3128" t="s">
        <v>2792</v>
      </c>
      <c r="G3128" t="s">
        <v>3838</v>
      </c>
      <c r="H3128" t="s">
        <v>5447</v>
      </c>
      <c r="I3128" t="s">
        <v>6049</v>
      </c>
      <c r="J3128">
        <v>10034</v>
      </c>
      <c r="K3128" t="s">
        <v>6074</v>
      </c>
      <c r="L3128" t="s">
        <v>6074</v>
      </c>
      <c r="N3128" t="s">
        <v>7273</v>
      </c>
      <c r="O3128" t="s">
        <v>7308</v>
      </c>
      <c r="Q3128" t="s">
        <v>7322</v>
      </c>
      <c r="R3128" t="s">
        <v>6074</v>
      </c>
      <c r="S3128" t="s">
        <v>7324</v>
      </c>
      <c r="U3128" t="s">
        <v>374</v>
      </c>
      <c r="V3128">
        <v>2300</v>
      </c>
      <c r="W3128" t="s">
        <v>7365</v>
      </c>
      <c r="X3128" t="s">
        <v>7367</v>
      </c>
      <c r="AC3128">
        <v>67</v>
      </c>
      <c r="AD3128" t="s">
        <v>12422</v>
      </c>
      <c r="AE3128" t="s">
        <v>6110</v>
      </c>
      <c r="AF3128">
        <v>4</v>
      </c>
      <c r="AG3128">
        <v>1</v>
      </c>
      <c r="AH3128">
        <v>0</v>
      </c>
      <c r="AI3128">
        <v>387.15</v>
      </c>
      <c r="AL3128" t="s">
        <v>12460</v>
      </c>
      <c r="AM3128">
        <v>47000</v>
      </c>
      <c r="AS3128">
        <v>1.3</v>
      </c>
      <c r="AT3128" t="s">
        <v>271</v>
      </c>
      <c r="AU3128" t="s">
        <v>13106</v>
      </c>
    </row>
    <row r="3129" spans="1:48">
      <c r="A3129" s="1">
        <f>HYPERLINK("https://cms.ls-nyc.org/matter/dynamic-profile/view/1880592","18-1880592")</f>
        <v>0</v>
      </c>
      <c r="B3129" t="s">
        <v>96</v>
      </c>
      <c r="C3129" t="s">
        <v>360</v>
      </c>
      <c r="E3129" t="s">
        <v>679</v>
      </c>
      <c r="F3129" t="s">
        <v>2841</v>
      </c>
      <c r="G3129" t="s">
        <v>4152</v>
      </c>
      <c r="H3129" t="s">
        <v>5483</v>
      </c>
      <c r="I3129" t="s">
        <v>6047</v>
      </c>
      <c r="J3129">
        <v>10456</v>
      </c>
      <c r="K3129" t="s">
        <v>6074</v>
      </c>
      <c r="L3129" t="s">
        <v>6074</v>
      </c>
      <c r="M3129" t="s">
        <v>6498</v>
      </c>
      <c r="N3129" t="s">
        <v>7279</v>
      </c>
      <c r="O3129" t="s">
        <v>7311</v>
      </c>
      <c r="Q3129" t="s">
        <v>7322</v>
      </c>
      <c r="R3129" t="s">
        <v>6074</v>
      </c>
      <c r="S3129" t="s">
        <v>7324</v>
      </c>
      <c r="U3129" t="s">
        <v>472</v>
      </c>
      <c r="V3129">
        <v>1200</v>
      </c>
      <c r="W3129" t="s">
        <v>7363</v>
      </c>
      <c r="Z3129" t="s">
        <v>8542</v>
      </c>
      <c r="AB3129" t="s">
        <v>11286</v>
      </c>
      <c r="AC3129">
        <v>61</v>
      </c>
      <c r="AD3129" t="s">
        <v>12422</v>
      </c>
      <c r="AE3129" t="s">
        <v>6110</v>
      </c>
      <c r="AF3129">
        <v>25</v>
      </c>
      <c r="AG3129">
        <v>2</v>
      </c>
      <c r="AH3129">
        <v>0</v>
      </c>
      <c r="AI3129">
        <v>387.61</v>
      </c>
      <c r="AL3129" t="s">
        <v>12460</v>
      </c>
      <c r="AM3129">
        <v>63800</v>
      </c>
      <c r="AS3129">
        <v>0</v>
      </c>
      <c r="AU3129" t="s">
        <v>13092</v>
      </c>
    </row>
    <row r="3130" spans="1:48">
      <c r="A3130" s="1">
        <f>HYPERLINK("https://cms.ls-nyc.org/matter/dynamic-profile/view/1900428","19-1900428")</f>
        <v>0</v>
      </c>
      <c r="B3130" t="s">
        <v>83</v>
      </c>
      <c r="C3130" t="s">
        <v>241</v>
      </c>
      <c r="E3130" t="s">
        <v>933</v>
      </c>
      <c r="F3130" t="s">
        <v>3554</v>
      </c>
      <c r="G3130" t="s">
        <v>4209</v>
      </c>
      <c r="H3130" t="s">
        <v>5504</v>
      </c>
      <c r="I3130" t="s">
        <v>6043</v>
      </c>
      <c r="J3130">
        <v>11226</v>
      </c>
      <c r="K3130" t="s">
        <v>6075</v>
      </c>
      <c r="L3130" t="s">
        <v>6075</v>
      </c>
      <c r="Q3130" t="s">
        <v>7322</v>
      </c>
      <c r="S3130" t="s">
        <v>7324</v>
      </c>
      <c r="U3130" t="s">
        <v>241</v>
      </c>
      <c r="V3130">
        <v>0</v>
      </c>
      <c r="W3130" t="s">
        <v>7362</v>
      </c>
      <c r="Z3130" t="s">
        <v>9708</v>
      </c>
      <c r="AC3130">
        <v>0</v>
      </c>
      <c r="AF3130">
        <v>0</v>
      </c>
      <c r="AG3130">
        <v>3</v>
      </c>
      <c r="AH3130">
        <v>1</v>
      </c>
      <c r="AI3130">
        <v>388.35</v>
      </c>
      <c r="AL3130" t="s">
        <v>12460</v>
      </c>
      <c r="AM3130">
        <v>100000</v>
      </c>
      <c r="AS3130">
        <v>0.2</v>
      </c>
      <c r="AT3130" t="s">
        <v>241</v>
      </c>
      <c r="AU3130" t="s">
        <v>69</v>
      </c>
    </row>
    <row r="3131" spans="1:48">
      <c r="A3131" s="1">
        <f>HYPERLINK("https://cms.ls-nyc.org/matter/dynamic-profile/view/1899097","19-1899097")</f>
        <v>0</v>
      </c>
      <c r="B3131" t="s">
        <v>70</v>
      </c>
      <c r="C3131" t="s">
        <v>254</v>
      </c>
      <c r="E3131" t="s">
        <v>1984</v>
      </c>
      <c r="F3131" t="s">
        <v>3555</v>
      </c>
      <c r="G3131" t="s">
        <v>3724</v>
      </c>
      <c r="H3131" t="s">
        <v>5863</v>
      </c>
      <c r="I3131" t="s">
        <v>6043</v>
      </c>
      <c r="J3131">
        <v>11226</v>
      </c>
      <c r="K3131" t="s">
        <v>6074</v>
      </c>
      <c r="L3131" t="s">
        <v>6075</v>
      </c>
      <c r="N3131" t="s">
        <v>7275</v>
      </c>
      <c r="O3131" t="s">
        <v>7309</v>
      </c>
      <c r="Q3131" t="s">
        <v>7322</v>
      </c>
      <c r="R3131" t="s">
        <v>6074</v>
      </c>
      <c r="S3131" t="s">
        <v>7324</v>
      </c>
      <c r="T3131" t="s">
        <v>7336</v>
      </c>
      <c r="U3131" t="s">
        <v>254</v>
      </c>
      <c r="V3131">
        <v>0</v>
      </c>
      <c r="W3131" t="s">
        <v>7362</v>
      </c>
      <c r="X3131" t="s">
        <v>7368</v>
      </c>
      <c r="Z3131" t="s">
        <v>9291</v>
      </c>
      <c r="AB3131" t="s">
        <v>12320</v>
      </c>
      <c r="AC3131">
        <v>32</v>
      </c>
      <c r="AD3131" t="s">
        <v>12422</v>
      </c>
      <c r="AF3131">
        <v>0</v>
      </c>
      <c r="AG3131">
        <v>2</v>
      </c>
      <c r="AH3131">
        <v>0</v>
      </c>
      <c r="AI3131">
        <v>390.3</v>
      </c>
      <c r="AL3131" t="s">
        <v>12460</v>
      </c>
      <c r="AM3131">
        <v>66000</v>
      </c>
      <c r="AS3131">
        <v>7.5</v>
      </c>
      <c r="AT3131" t="s">
        <v>317</v>
      </c>
      <c r="AU3131" t="s">
        <v>88</v>
      </c>
      <c r="AV3131" t="s">
        <v>13145</v>
      </c>
    </row>
    <row r="3132" spans="1:48">
      <c r="A3132" s="1">
        <f>HYPERLINK("https://cms.ls-nyc.org/matter/dynamic-profile/view/1895821","19-1895821")</f>
        <v>0</v>
      </c>
      <c r="B3132" t="s">
        <v>70</v>
      </c>
      <c r="C3132" t="s">
        <v>315</v>
      </c>
      <c r="E3132" t="s">
        <v>1984</v>
      </c>
      <c r="F3132" t="s">
        <v>3555</v>
      </c>
      <c r="G3132" t="s">
        <v>3724</v>
      </c>
      <c r="H3132" t="s">
        <v>5863</v>
      </c>
      <c r="I3132" t="s">
        <v>6043</v>
      </c>
      <c r="J3132">
        <v>11226</v>
      </c>
      <c r="K3132" t="s">
        <v>6074</v>
      </c>
      <c r="L3132" t="s">
        <v>6074</v>
      </c>
      <c r="M3132" t="s">
        <v>7257</v>
      </c>
      <c r="N3132" t="s">
        <v>7276</v>
      </c>
      <c r="O3132" t="s">
        <v>7308</v>
      </c>
      <c r="Q3132" t="s">
        <v>7322</v>
      </c>
      <c r="R3132" t="s">
        <v>6076</v>
      </c>
      <c r="S3132" t="s">
        <v>7324</v>
      </c>
      <c r="T3132" t="s">
        <v>7338</v>
      </c>
      <c r="U3132" t="s">
        <v>247</v>
      </c>
      <c r="V3132">
        <v>0</v>
      </c>
      <c r="W3132" t="s">
        <v>7362</v>
      </c>
      <c r="X3132" t="s">
        <v>7368</v>
      </c>
      <c r="Z3132" t="s">
        <v>9291</v>
      </c>
      <c r="AB3132" t="s">
        <v>12320</v>
      </c>
      <c r="AC3132">
        <v>32</v>
      </c>
      <c r="AD3132" t="s">
        <v>12422</v>
      </c>
      <c r="AF3132">
        <v>0</v>
      </c>
      <c r="AG3132">
        <v>2</v>
      </c>
      <c r="AH3132">
        <v>0</v>
      </c>
      <c r="AI3132">
        <v>390.3</v>
      </c>
      <c r="AL3132" t="s">
        <v>12460</v>
      </c>
      <c r="AM3132">
        <v>66000</v>
      </c>
      <c r="AO3132" t="s">
        <v>12850</v>
      </c>
      <c r="AP3132" t="s">
        <v>12863</v>
      </c>
      <c r="AQ3132" t="s">
        <v>12909</v>
      </c>
      <c r="AR3132" t="s">
        <v>12923</v>
      </c>
      <c r="AS3132">
        <v>7.95</v>
      </c>
      <c r="AT3132" t="s">
        <v>418</v>
      </c>
      <c r="AU3132" t="s">
        <v>88</v>
      </c>
      <c r="AV3132" t="s">
        <v>13145</v>
      </c>
    </row>
    <row r="3133" spans="1:48">
      <c r="A3133" s="1">
        <f>HYPERLINK("https://cms.ls-nyc.org/matter/dynamic-profile/view/1898331","19-1898331")</f>
        <v>0</v>
      </c>
      <c r="B3133" t="s">
        <v>90</v>
      </c>
      <c r="C3133" t="s">
        <v>343</v>
      </c>
      <c r="E3133" t="s">
        <v>1985</v>
      </c>
      <c r="F3133" t="s">
        <v>3556</v>
      </c>
      <c r="G3133" t="s">
        <v>4507</v>
      </c>
      <c r="H3133" t="s">
        <v>5526</v>
      </c>
      <c r="I3133" t="s">
        <v>6043</v>
      </c>
      <c r="J3133">
        <v>11216</v>
      </c>
      <c r="K3133" t="s">
        <v>6074</v>
      </c>
      <c r="L3133" t="s">
        <v>6074</v>
      </c>
      <c r="M3133" t="s">
        <v>7239</v>
      </c>
      <c r="N3133" t="s">
        <v>7282</v>
      </c>
      <c r="O3133" t="s">
        <v>7308</v>
      </c>
      <c r="Q3133" t="s">
        <v>7322</v>
      </c>
      <c r="R3133" t="s">
        <v>6074</v>
      </c>
      <c r="S3133" t="s">
        <v>7324</v>
      </c>
      <c r="T3133" t="s">
        <v>7336</v>
      </c>
      <c r="U3133" t="s">
        <v>418</v>
      </c>
      <c r="V3133">
        <v>2200</v>
      </c>
      <c r="W3133" t="s">
        <v>7362</v>
      </c>
      <c r="X3133" t="s">
        <v>7375</v>
      </c>
      <c r="Z3133" t="s">
        <v>9709</v>
      </c>
      <c r="AB3133" t="s">
        <v>12321</v>
      </c>
      <c r="AC3133">
        <v>82</v>
      </c>
      <c r="AD3133" t="s">
        <v>12422</v>
      </c>
      <c r="AE3133" t="s">
        <v>6110</v>
      </c>
      <c r="AF3133">
        <v>0</v>
      </c>
      <c r="AG3133">
        <v>1</v>
      </c>
      <c r="AH3133">
        <v>0</v>
      </c>
      <c r="AI3133">
        <v>391.71</v>
      </c>
      <c r="AL3133" t="s">
        <v>12460</v>
      </c>
      <c r="AM3133">
        <v>48925</v>
      </c>
      <c r="AN3133" t="s">
        <v>12801</v>
      </c>
      <c r="AS3133">
        <v>0</v>
      </c>
      <c r="AU3133" t="s">
        <v>218</v>
      </c>
    </row>
    <row r="3134" spans="1:48">
      <c r="A3134" s="1">
        <f>HYPERLINK("https://cms.ls-nyc.org/matter/dynamic-profile/view/1898333","19-1898333")</f>
        <v>0</v>
      </c>
      <c r="B3134" t="s">
        <v>90</v>
      </c>
      <c r="C3134" t="s">
        <v>343</v>
      </c>
      <c r="E3134" t="s">
        <v>1985</v>
      </c>
      <c r="F3134" t="s">
        <v>3556</v>
      </c>
      <c r="G3134" t="s">
        <v>4507</v>
      </c>
      <c r="H3134" t="s">
        <v>5526</v>
      </c>
      <c r="I3134" t="s">
        <v>6043</v>
      </c>
      <c r="J3134">
        <v>11216</v>
      </c>
      <c r="K3134" t="s">
        <v>6074</v>
      </c>
      <c r="L3134" t="s">
        <v>6074</v>
      </c>
      <c r="N3134" t="s">
        <v>7275</v>
      </c>
      <c r="O3134" t="s">
        <v>7307</v>
      </c>
      <c r="Q3134" t="s">
        <v>7322</v>
      </c>
      <c r="R3134" t="s">
        <v>6074</v>
      </c>
      <c r="S3134" t="s">
        <v>7324</v>
      </c>
      <c r="T3134" t="s">
        <v>7336</v>
      </c>
      <c r="U3134" t="s">
        <v>418</v>
      </c>
      <c r="V3134">
        <v>2200</v>
      </c>
      <c r="W3134" t="s">
        <v>7362</v>
      </c>
      <c r="X3134" t="s">
        <v>7375</v>
      </c>
      <c r="Z3134" t="s">
        <v>9709</v>
      </c>
      <c r="AB3134" t="s">
        <v>12321</v>
      </c>
      <c r="AC3134">
        <v>82</v>
      </c>
      <c r="AD3134" t="s">
        <v>12422</v>
      </c>
      <c r="AE3134" t="s">
        <v>6110</v>
      </c>
      <c r="AF3134">
        <v>0</v>
      </c>
      <c r="AG3134">
        <v>1</v>
      </c>
      <c r="AH3134">
        <v>0</v>
      </c>
      <c r="AI3134">
        <v>391.71</v>
      </c>
      <c r="AL3134" t="s">
        <v>12460</v>
      </c>
      <c r="AM3134">
        <v>48925</v>
      </c>
      <c r="AN3134" t="s">
        <v>12802</v>
      </c>
      <c r="AS3134">
        <v>0</v>
      </c>
      <c r="AU3134" t="s">
        <v>218</v>
      </c>
    </row>
    <row r="3135" spans="1:48">
      <c r="A3135" s="1">
        <f>HYPERLINK("https://cms.ls-nyc.org/matter/dynamic-profile/view/1898368","19-1898368")</f>
        <v>0</v>
      </c>
      <c r="B3135" t="s">
        <v>72</v>
      </c>
      <c r="C3135" t="s">
        <v>257</v>
      </c>
      <c r="E3135" t="s">
        <v>1986</v>
      </c>
      <c r="F3135" t="s">
        <v>3557</v>
      </c>
      <c r="G3135" t="s">
        <v>4324</v>
      </c>
      <c r="H3135" t="s">
        <v>5998</v>
      </c>
      <c r="I3135" t="s">
        <v>6043</v>
      </c>
      <c r="J3135">
        <v>11233</v>
      </c>
      <c r="K3135" t="s">
        <v>6074</v>
      </c>
      <c r="L3135" t="s">
        <v>6076</v>
      </c>
      <c r="N3135" t="s">
        <v>7279</v>
      </c>
      <c r="O3135" t="s">
        <v>7311</v>
      </c>
      <c r="Q3135" t="s">
        <v>7322</v>
      </c>
      <c r="R3135" t="s">
        <v>6074</v>
      </c>
      <c r="S3135" t="s">
        <v>7324</v>
      </c>
      <c r="T3135" t="s">
        <v>7336</v>
      </c>
      <c r="U3135" t="s">
        <v>330</v>
      </c>
      <c r="V3135">
        <v>629.15</v>
      </c>
      <c r="W3135" t="s">
        <v>7362</v>
      </c>
      <c r="X3135" t="s">
        <v>7305</v>
      </c>
      <c r="Z3135" t="s">
        <v>9710</v>
      </c>
      <c r="AC3135">
        <v>359</v>
      </c>
      <c r="AD3135" t="s">
        <v>12422</v>
      </c>
      <c r="AF3135">
        <v>8</v>
      </c>
      <c r="AG3135">
        <v>1</v>
      </c>
      <c r="AH3135">
        <v>0</v>
      </c>
      <c r="AI3135">
        <v>392.31</v>
      </c>
      <c r="AL3135" t="s">
        <v>12460</v>
      </c>
      <c r="AM3135">
        <v>49000</v>
      </c>
      <c r="AN3135" t="s">
        <v>12488</v>
      </c>
      <c r="AS3135">
        <v>0</v>
      </c>
      <c r="AU3135" t="s">
        <v>180</v>
      </c>
    </row>
    <row r="3136" spans="1:48">
      <c r="A3136" s="1">
        <f>HYPERLINK("https://cms.ls-nyc.org/matter/dynamic-profile/view/1898370","19-1898370")</f>
        <v>0</v>
      </c>
      <c r="B3136" t="s">
        <v>72</v>
      </c>
      <c r="C3136" t="s">
        <v>257</v>
      </c>
      <c r="E3136" t="s">
        <v>1986</v>
      </c>
      <c r="F3136" t="s">
        <v>3557</v>
      </c>
      <c r="G3136" t="s">
        <v>4324</v>
      </c>
      <c r="H3136" t="s">
        <v>5998</v>
      </c>
      <c r="I3136" t="s">
        <v>6043</v>
      </c>
      <c r="J3136">
        <v>11233</v>
      </c>
      <c r="K3136" t="s">
        <v>6074</v>
      </c>
      <c r="L3136" t="s">
        <v>6076</v>
      </c>
      <c r="N3136" t="s">
        <v>7275</v>
      </c>
      <c r="O3136" t="s">
        <v>7307</v>
      </c>
      <c r="Q3136" t="s">
        <v>7322</v>
      </c>
      <c r="R3136" t="s">
        <v>6074</v>
      </c>
      <c r="S3136" t="s">
        <v>7324</v>
      </c>
      <c r="T3136" t="s">
        <v>7336</v>
      </c>
      <c r="U3136" t="s">
        <v>287</v>
      </c>
      <c r="V3136">
        <v>629.15</v>
      </c>
      <c r="W3136" t="s">
        <v>7362</v>
      </c>
      <c r="X3136" t="s">
        <v>7305</v>
      </c>
      <c r="Z3136" t="s">
        <v>9710</v>
      </c>
      <c r="AC3136">
        <v>359</v>
      </c>
      <c r="AD3136" t="s">
        <v>12422</v>
      </c>
      <c r="AF3136">
        <v>8</v>
      </c>
      <c r="AG3136">
        <v>1</v>
      </c>
      <c r="AH3136">
        <v>0</v>
      </c>
      <c r="AI3136">
        <v>392.31</v>
      </c>
      <c r="AL3136" t="s">
        <v>12460</v>
      </c>
      <c r="AM3136">
        <v>49000</v>
      </c>
      <c r="AN3136" t="s">
        <v>12803</v>
      </c>
      <c r="AS3136">
        <v>0</v>
      </c>
      <c r="AU3136" t="s">
        <v>180</v>
      </c>
    </row>
    <row r="3137" spans="1:48">
      <c r="A3137" s="1">
        <f>HYPERLINK("https://cms.ls-nyc.org/matter/dynamic-profile/view/1880271","18-1880271")</f>
        <v>0</v>
      </c>
      <c r="B3137" t="s">
        <v>148</v>
      </c>
      <c r="C3137" t="s">
        <v>391</v>
      </c>
      <c r="E3137" t="s">
        <v>987</v>
      </c>
      <c r="F3137" t="s">
        <v>3550</v>
      </c>
      <c r="G3137" t="s">
        <v>4982</v>
      </c>
      <c r="H3137" t="s">
        <v>5875</v>
      </c>
      <c r="I3137" t="s">
        <v>6043</v>
      </c>
      <c r="J3137">
        <v>11213</v>
      </c>
      <c r="K3137" t="s">
        <v>6074</v>
      </c>
      <c r="L3137" t="s">
        <v>6074</v>
      </c>
      <c r="M3137" t="s">
        <v>6147</v>
      </c>
      <c r="N3137" t="s">
        <v>7273</v>
      </c>
      <c r="O3137" t="s">
        <v>7308</v>
      </c>
      <c r="Q3137" t="s">
        <v>7322</v>
      </c>
      <c r="R3137" t="s">
        <v>6074</v>
      </c>
      <c r="S3137" t="s">
        <v>7324</v>
      </c>
      <c r="T3137" t="s">
        <v>7336</v>
      </c>
      <c r="U3137" t="s">
        <v>563</v>
      </c>
      <c r="V3137">
        <v>1205</v>
      </c>
      <c r="W3137" t="s">
        <v>7362</v>
      </c>
      <c r="X3137" t="s">
        <v>7376</v>
      </c>
      <c r="Z3137" t="s">
        <v>9703</v>
      </c>
      <c r="AA3137" t="s">
        <v>6110</v>
      </c>
      <c r="AC3137">
        <v>34</v>
      </c>
      <c r="AD3137" t="s">
        <v>12422</v>
      </c>
      <c r="AE3137" t="s">
        <v>6110</v>
      </c>
      <c r="AF3137">
        <v>34</v>
      </c>
      <c r="AG3137">
        <v>3</v>
      </c>
      <c r="AH3137">
        <v>0</v>
      </c>
      <c r="AI3137">
        <v>393.85</v>
      </c>
      <c r="AK3137" t="s">
        <v>12456</v>
      </c>
      <c r="AL3137" t="s">
        <v>12460</v>
      </c>
      <c r="AM3137">
        <v>81843</v>
      </c>
      <c r="AS3137">
        <v>0.1</v>
      </c>
      <c r="AT3137" t="s">
        <v>405</v>
      </c>
      <c r="AU3137" t="s">
        <v>218</v>
      </c>
    </row>
    <row r="3138" spans="1:48">
      <c r="A3138" s="1">
        <f>HYPERLINK("https://cms.ls-nyc.org/matter/dynamic-profile/view/1878674","18-1878674")</f>
        <v>0</v>
      </c>
      <c r="B3138" t="s">
        <v>80</v>
      </c>
      <c r="C3138" t="s">
        <v>299</v>
      </c>
      <c r="E3138" t="s">
        <v>716</v>
      </c>
      <c r="F3138" t="s">
        <v>3551</v>
      </c>
      <c r="G3138" t="s">
        <v>4354</v>
      </c>
      <c r="H3138" t="s">
        <v>5446</v>
      </c>
      <c r="I3138" t="s">
        <v>6043</v>
      </c>
      <c r="J3138">
        <v>11221</v>
      </c>
      <c r="K3138" t="s">
        <v>6074</v>
      </c>
      <c r="L3138" t="s">
        <v>6074</v>
      </c>
      <c r="N3138" t="s">
        <v>7279</v>
      </c>
      <c r="O3138" t="s">
        <v>7311</v>
      </c>
      <c r="Q3138" t="s">
        <v>7322</v>
      </c>
      <c r="R3138" t="s">
        <v>6074</v>
      </c>
      <c r="S3138" t="s">
        <v>7324</v>
      </c>
      <c r="U3138" t="s">
        <v>233</v>
      </c>
      <c r="V3138">
        <v>780</v>
      </c>
      <c r="W3138" t="s">
        <v>7362</v>
      </c>
      <c r="X3138" t="s">
        <v>7376</v>
      </c>
      <c r="Z3138" t="s">
        <v>9704</v>
      </c>
      <c r="AB3138" t="s">
        <v>12318</v>
      </c>
      <c r="AC3138">
        <v>12</v>
      </c>
      <c r="AD3138" t="s">
        <v>12422</v>
      </c>
      <c r="AE3138" t="s">
        <v>6110</v>
      </c>
      <c r="AF3138">
        <v>15</v>
      </c>
      <c r="AG3138">
        <v>1</v>
      </c>
      <c r="AH3138">
        <v>0</v>
      </c>
      <c r="AI3138">
        <v>395.39</v>
      </c>
      <c r="AL3138" t="s">
        <v>12460</v>
      </c>
      <c r="AM3138">
        <v>48000</v>
      </c>
      <c r="AN3138" t="s">
        <v>12804</v>
      </c>
      <c r="AS3138">
        <v>0.2</v>
      </c>
      <c r="AT3138" t="s">
        <v>501</v>
      </c>
      <c r="AU3138" t="s">
        <v>218</v>
      </c>
    </row>
    <row r="3139" spans="1:48">
      <c r="A3139" s="1">
        <f>HYPERLINK("https://cms.ls-nyc.org/matter/dynamic-profile/view/1878669","18-1878669")</f>
        <v>0</v>
      </c>
      <c r="B3139" t="s">
        <v>80</v>
      </c>
      <c r="C3139" t="s">
        <v>299</v>
      </c>
      <c r="D3139" t="s">
        <v>396</v>
      </c>
      <c r="E3139" t="s">
        <v>716</v>
      </c>
      <c r="F3139" t="s">
        <v>3551</v>
      </c>
      <c r="G3139" t="s">
        <v>4354</v>
      </c>
      <c r="H3139" t="s">
        <v>5446</v>
      </c>
      <c r="I3139" t="s">
        <v>6043</v>
      </c>
      <c r="J3139">
        <v>11221</v>
      </c>
      <c r="K3139" t="s">
        <v>6074</v>
      </c>
      <c r="L3139" t="s">
        <v>6074</v>
      </c>
      <c r="N3139" t="s">
        <v>7275</v>
      </c>
      <c r="O3139" t="s">
        <v>7307</v>
      </c>
      <c r="P3139" t="s">
        <v>7315</v>
      </c>
      <c r="Q3139" t="s">
        <v>7322</v>
      </c>
      <c r="R3139" t="s">
        <v>6074</v>
      </c>
      <c r="S3139" t="s">
        <v>7324</v>
      </c>
      <c r="U3139" t="s">
        <v>233</v>
      </c>
      <c r="V3139">
        <v>780</v>
      </c>
      <c r="W3139" t="s">
        <v>7362</v>
      </c>
      <c r="X3139" t="s">
        <v>7376</v>
      </c>
      <c r="Y3139" t="s">
        <v>7394</v>
      </c>
      <c r="Z3139" t="s">
        <v>9704</v>
      </c>
      <c r="AB3139" t="s">
        <v>12318</v>
      </c>
      <c r="AC3139">
        <v>12</v>
      </c>
      <c r="AD3139" t="s">
        <v>12422</v>
      </c>
      <c r="AE3139" t="s">
        <v>6110</v>
      </c>
      <c r="AF3139">
        <v>15</v>
      </c>
      <c r="AG3139">
        <v>1</v>
      </c>
      <c r="AH3139">
        <v>0</v>
      </c>
      <c r="AI3139">
        <v>395.39</v>
      </c>
      <c r="AL3139" t="s">
        <v>12460</v>
      </c>
      <c r="AM3139">
        <v>48000</v>
      </c>
      <c r="AN3139" t="s">
        <v>12525</v>
      </c>
      <c r="AS3139">
        <v>0.08</v>
      </c>
      <c r="AT3139" t="s">
        <v>466</v>
      </c>
      <c r="AU3139" t="s">
        <v>218</v>
      </c>
    </row>
    <row r="3140" spans="1:48">
      <c r="A3140" s="1">
        <f>HYPERLINK("https://cms.ls-nyc.org/matter/dynamic-profile/view/1888317","19-1888317")</f>
        <v>0</v>
      </c>
      <c r="B3140" t="s">
        <v>106</v>
      </c>
      <c r="C3140" t="s">
        <v>292</v>
      </c>
      <c r="D3140" t="s">
        <v>469</v>
      </c>
      <c r="E3140" t="s">
        <v>1987</v>
      </c>
      <c r="F3140" t="s">
        <v>2184</v>
      </c>
      <c r="G3140" t="s">
        <v>3806</v>
      </c>
      <c r="H3140" t="s">
        <v>5999</v>
      </c>
      <c r="I3140" t="s">
        <v>6047</v>
      </c>
      <c r="J3140">
        <v>10452</v>
      </c>
      <c r="K3140" t="s">
        <v>6074</v>
      </c>
      <c r="L3140" t="s">
        <v>6074</v>
      </c>
      <c r="N3140" t="s">
        <v>6104</v>
      </c>
      <c r="O3140" t="s">
        <v>7306</v>
      </c>
      <c r="P3140" t="s">
        <v>7314</v>
      </c>
      <c r="Q3140" t="s">
        <v>7322</v>
      </c>
      <c r="R3140" t="s">
        <v>6076</v>
      </c>
      <c r="S3140" t="s">
        <v>7324</v>
      </c>
      <c r="U3140" t="s">
        <v>292</v>
      </c>
      <c r="V3140">
        <v>1066</v>
      </c>
      <c r="W3140" t="s">
        <v>7363</v>
      </c>
      <c r="X3140" t="s">
        <v>7376</v>
      </c>
      <c r="Y3140" t="s">
        <v>7386</v>
      </c>
      <c r="Z3140" t="s">
        <v>9711</v>
      </c>
      <c r="AC3140">
        <v>59</v>
      </c>
      <c r="AD3140" t="s">
        <v>12422</v>
      </c>
      <c r="AE3140" t="s">
        <v>6110</v>
      </c>
      <c r="AF3140">
        <v>20</v>
      </c>
      <c r="AG3140">
        <v>1</v>
      </c>
      <c r="AH3140">
        <v>0</v>
      </c>
      <c r="AI3140">
        <v>395.39</v>
      </c>
      <c r="AL3140" t="s">
        <v>12460</v>
      </c>
      <c r="AM3140">
        <v>48000</v>
      </c>
      <c r="AS3140">
        <v>2.2</v>
      </c>
      <c r="AT3140" t="s">
        <v>469</v>
      </c>
      <c r="AU3140" t="s">
        <v>106</v>
      </c>
    </row>
    <row r="3141" spans="1:48">
      <c r="A3141" s="1">
        <f>HYPERLINK("https://cms.ls-nyc.org/matter/dynamic-profile/view/1876938","18-1876938")</f>
        <v>0</v>
      </c>
      <c r="B3141" t="s">
        <v>148</v>
      </c>
      <c r="C3141" t="s">
        <v>336</v>
      </c>
      <c r="E3141" t="s">
        <v>1977</v>
      </c>
      <c r="F3141" t="s">
        <v>3541</v>
      </c>
      <c r="G3141" t="s">
        <v>5036</v>
      </c>
      <c r="H3141">
        <v>28</v>
      </c>
      <c r="I3141" t="s">
        <v>6043</v>
      </c>
      <c r="J3141">
        <v>11213</v>
      </c>
      <c r="K3141" t="s">
        <v>6074</v>
      </c>
      <c r="L3141" t="s">
        <v>6074</v>
      </c>
      <c r="M3141" t="s">
        <v>6147</v>
      </c>
      <c r="N3141" t="s">
        <v>7273</v>
      </c>
      <c r="O3141" t="s">
        <v>7308</v>
      </c>
      <c r="Q3141" t="s">
        <v>7322</v>
      </c>
      <c r="R3141" t="s">
        <v>6074</v>
      </c>
      <c r="S3141" t="s">
        <v>7324</v>
      </c>
      <c r="U3141" t="s">
        <v>336</v>
      </c>
      <c r="V3141">
        <v>1326</v>
      </c>
      <c r="W3141" t="s">
        <v>7362</v>
      </c>
      <c r="X3141" t="s">
        <v>7376</v>
      </c>
      <c r="Z3141" t="s">
        <v>9692</v>
      </c>
      <c r="AA3141" t="s">
        <v>10292</v>
      </c>
      <c r="AB3141" t="s">
        <v>12305</v>
      </c>
      <c r="AC3141">
        <v>34</v>
      </c>
      <c r="AD3141" t="s">
        <v>12422</v>
      </c>
      <c r="AE3141" t="s">
        <v>6110</v>
      </c>
      <c r="AF3141">
        <v>2</v>
      </c>
      <c r="AG3141">
        <v>2</v>
      </c>
      <c r="AH3141">
        <v>0</v>
      </c>
      <c r="AI3141">
        <v>395.94</v>
      </c>
      <c r="AL3141" t="s">
        <v>12460</v>
      </c>
      <c r="AM3141">
        <v>65172</v>
      </c>
      <c r="AS3141">
        <v>32</v>
      </c>
      <c r="AT3141" t="s">
        <v>469</v>
      </c>
      <c r="AU3141" t="s">
        <v>148</v>
      </c>
      <c r="AV3141" t="s">
        <v>13145</v>
      </c>
    </row>
    <row r="3142" spans="1:48">
      <c r="A3142" s="1">
        <f>HYPERLINK("https://cms.ls-nyc.org/matter/dynamic-profile/view/1885572","18-1885572")</f>
        <v>0</v>
      </c>
      <c r="B3142" t="s">
        <v>102</v>
      </c>
      <c r="C3142" t="s">
        <v>320</v>
      </c>
      <c r="E3142" t="s">
        <v>1476</v>
      </c>
      <c r="F3142" t="s">
        <v>3289</v>
      </c>
      <c r="G3142" t="s">
        <v>3779</v>
      </c>
      <c r="H3142" t="s">
        <v>6000</v>
      </c>
      <c r="I3142" t="s">
        <v>6047</v>
      </c>
      <c r="J3142">
        <v>10460</v>
      </c>
      <c r="K3142" t="s">
        <v>6074</v>
      </c>
      <c r="L3142" t="s">
        <v>6074</v>
      </c>
      <c r="M3142" t="s">
        <v>6182</v>
      </c>
      <c r="N3142" t="s">
        <v>7273</v>
      </c>
      <c r="O3142" t="s">
        <v>7308</v>
      </c>
      <c r="Q3142" t="s">
        <v>7322</v>
      </c>
      <c r="R3142" t="s">
        <v>6074</v>
      </c>
      <c r="S3142" t="s">
        <v>7324</v>
      </c>
      <c r="U3142" t="s">
        <v>457</v>
      </c>
      <c r="V3142">
        <v>378</v>
      </c>
      <c r="W3142" t="s">
        <v>7363</v>
      </c>
      <c r="X3142" t="s">
        <v>7376</v>
      </c>
      <c r="Z3142" t="s">
        <v>9712</v>
      </c>
      <c r="AC3142">
        <v>168</v>
      </c>
      <c r="AD3142" t="s">
        <v>12420</v>
      </c>
      <c r="AE3142" t="s">
        <v>12434</v>
      </c>
      <c r="AF3142">
        <v>14</v>
      </c>
      <c r="AG3142">
        <v>2</v>
      </c>
      <c r="AH3142">
        <v>0</v>
      </c>
      <c r="AI3142">
        <v>396.72</v>
      </c>
      <c r="AL3142" t="s">
        <v>12460</v>
      </c>
      <c r="AM3142">
        <v>65300</v>
      </c>
      <c r="AS3142">
        <v>0</v>
      </c>
      <c r="AU3142" t="s">
        <v>13113</v>
      </c>
      <c r="AV3142" t="s">
        <v>13145</v>
      </c>
    </row>
    <row r="3143" spans="1:48">
      <c r="A3143" s="1">
        <f>HYPERLINK("https://cms.ls-nyc.org/matter/dynamic-profile/view/1871285","18-1871285")</f>
        <v>0</v>
      </c>
      <c r="B3143" t="s">
        <v>85</v>
      </c>
      <c r="C3143" t="s">
        <v>548</v>
      </c>
      <c r="D3143" t="s">
        <v>232</v>
      </c>
      <c r="E3143" t="s">
        <v>1457</v>
      </c>
      <c r="F3143" t="s">
        <v>2484</v>
      </c>
      <c r="G3143" t="s">
        <v>5311</v>
      </c>
      <c r="H3143" t="s">
        <v>5413</v>
      </c>
      <c r="I3143" t="s">
        <v>6043</v>
      </c>
      <c r="J3143">
        <v>11208</v>
      </c>
      <c r="K3143" t="s">
        <v>6074</v>
      </c>
      <c r="L3143" t="s">
        <v>6074</v>
      </c>
      <c r="M3143" t="s">
        <v>7258</v>
      </c>
      <c r="N3143" t="s">
        <v>7276</v>
      </c>
      <c r="O3143" t="s">
        <v>7306</v>
      </c>
      <c r="P3143" t="s">
        <v>7314</v>
      </c>
      <c r="Q3143" t="s">
        <v>7322</v>
      </c>
      <c r="S3143" t="s">
        <v>7324</v>
      </c>
      <c r="U3143" t="s">
        <v>376</v>
      </c>
      <c r="V3143">
        <v>1440</v>
      </c>
      <c r="W3143" t="s">
        <v>7362</v>
      </c>
      <c r="X3143" t="s">
        <v>7368</v>
      </c>
      <c r="Y3143" t="s">
        <v>7386</v>
      </c>
      <c r="Z3143" t="s">
        <v>9713</v>
      </c>
      <c r="AB3143" t="s">
        <v>12322</v>
      </c>
      <c r="AC3143">
        <v>0</v>
      </c>
      <c r="AD3143" t="s">
        <v>12423</v>
      </c>
      <c r="AE3143" t="s">
        <v>6110</v>
      </c>
      <c r="AF3143">
        <v>6</v>
      </c>
      <c r="AG3143">
        <v>2</v>
      </c>
      <c r="AH3143">
        <v>0</v>
      </c>
      <c r="AI3143">
        <v>397.31</v>
      </c>
      <c r="AJ3143" t="s">
        <v>411</v>
      </c>
      <c r="AK3143" t="s">
        <v>12456</v>
      </c>
      <c r="AL3143" t="s">
        <v>12460</v>
      </c>
      <c r="AM3143">
        <v>65397.84</v>
      </c>
      <c r="AS3143">
        <v>2.4</v>
      </c>
      <c r="AT3143" t="s">
        <v>232</v>
      </c>
      <c r="AU3143" t="s">
        <v>13077</v>
      </c>
    </row>
    <row r="3144" spans="1:48">
      <c r="A3144" s="1">
        <f>HYPERLINK("https://cms.ls-nyc.org/matter/dynamic-profile/view/1876326","18-1876326")</f>
        <v>0</v>
      </c>
      <c r="B3144" t="s">
        <v>130</v>
      </c>
      <c r="C3144" t="s">
        <v>253</v>
      </c>
      <c r="E3144" t="s">
        <v>661</v>
      </c>
      <c r="F3144" t="s">
        <v>2969</v>
      </c>
      <c r="G3144" t="s">
        <v>3842</v>
      </c>
      <c r="H3144" t="s">
        <v>5594</v>
      </c>
      <c r="I3144" t="s">
        <v>6049</v>
      </c>
      <c r="J3144">
        <v>10033</v>
      </c>
      <c r="K3144" t="s">
        <v>6074</v>
      </c>
      <c r="L3144" t="s">
        <v>6074</v>
      </c>
      <c r="N3144" t="s">
        <v>7273</v>
      </c>
      <c r="O3144" t="s">
        <v>7307</v>
      </c>
      <c r="Q3144" t="s">
        <v>7322</v>
      </c>
      <c r="R3144" t="s">
        <v>6074</v>
      </c>
      <c r="S3144" t="s">
        <v>7324</v>
      </c>
      <c r="U3144" t="s">
        <v>253</v>
      </c>
      <c r="V3144">
        <v>1546.93</v>
      </c>
      <c r="W3144" t="s">
        <v>7365</v>
      </c>
      <c r="X3144" t="s">
        <v>7367</v>
      </c>
      <c r="Z3144" t="s">
        <v>9714</v>
      </c>
      <c r="AB3144" t="s">
        <v>12323</v>
      </c>
      <c r="AC3144">
        <v>232</v>
      </c>
      <c r="AD3144" t="s">
        <v>12422</v>
      </c>
      <c r="AE3144" t="s">
        <v>6110</v>
      </c>
      <c r="AF3144">
        <v>14</v>
      </c>
      <c r="AG3144">
        <v>1</v>
      </c>
      <c r="AH3144">
        <v>0</v>
      </c>
      <c r="AI3144">
        <v>397.5</v>
      </c>
      <c r="AL3144" t="s">
        <v>12460</v>
      </c>
      <c r="AM3144">
        <v>48257</v>
      </c>
      <c r="AS3144">
        <v>7.5</v>
      </c>
      <c r="AT3144" t="s">
        <v>496</v>
      </c>
      <c r="AU3144" t="s">
        <v>13106</v>
      </c>
    </row>
    <row r="3145" spans="1:48">
      <c r="A3145" s="1">
        <f>HYPERLINK("https://cms.ls-nyc.org/matter/dynamic-profile/view/1901179","19-1901179")</f>
        <v>0</v>
      </c>
      <c r="B3145" t="s">
        <v>131</v>
      </c>
      <c r="C3145" t="s">
        <v>324</v>
      </c>
      <c r="E3145" t="s">
        <v>1552</v>
      </c>
      <c r="F3145" t="s">
        <v>2629</v>
      </c>
      <c r="G3145" t="s">
        <v>5312</v>
      </c>
      <c r="H3145">
        <v>68</v>
      </c>
      <c r="I3145" t="s">
        <v>6049</v>
      </c>
      <c r="J3145">
        <v>10033</v>
      </c>
      <c r="K3145" t="s">
        <v>6074</v>
      </c>
      <c r="L3145" t="s">
        <v>6075</v>
      </c>
      <c r="N3145" t="s">
        <v>7278</v>
      </c>
      <c r="O3145" t="s">
        <v>7306</v>
      </c>
      <c r="Q3145" t="s">
        <v>7322</v>
      </c>
      <c r="R3145" t="s">
        <v>6076</v>
      </c>
      <c r="S3145" t="s">
        <v>7324</v>
      </c>
      <c r="U3145" t="s">
        <v>324</v>
      </c>
      <c r="V3145">
        <v>3400</v>
      </c>
      <c r="W3145" t="s">
        <v>7365</v>
      </c>
      <c r="X3145" t="s">
        <v>7367</v>
      </c>
      <c r="Z3145" t="s">
        <v>9715</v>
      </c>
      <c r="AC3145">
        <v>67</v>
      </c>
      <c r="AD3145" t="s">
        <v>12422</v>
      </c>
      <c r="AE3145" t="s">
        <v>6110</v>
      </c>
      <c r="AF3145">
        <v>4</v>
      </c>
      <c r="AG3145">
        <v>2</v>
      </c>
      <c r="AH3145">
        <v>3</v>
      </c>
      <c r="AI3145">
        <v>397.75</v>
      </c>
      <c r="AL3145" t="s">
        <v>12460</v>
      </c>
      <c r="AM3145">
        <v>120000</v>
      </c>
      <c r="AS3145">
        <v>0</v>
      </c>
      <c r="AU3145" t="s">
        <v>13106</v>
      </c>
      <c r="AV3145" t="s">
        <v>13145</v>
      </c>
    </row>
    <row r="3146" spans="1:48">
      <c r="A3146" s="1">
        <f>HYPERLINK("https://cms.ls-nyc.org/matter/dynamic-profile/view/1895344","19-1895344")</f>
        <v>0</v>
      </c>
      <c r="B3146" t="s">
        <v>174</v>
      </c>
      <c r="C3146" t="s">
        <v>247</v>
      </c>
      <c r="E3146" t="s">
        <v>1988</v>
      </c>
      <c r="F3146" t="s">
        <v>3558</v>
      </c>
      <c r="G3146" t="s">
        <v>4354</v>
      </c>
      <c r="H3146" t="s">
        <v>5372</v>
      </c>
      <c r="I3146" t="s">
        <v>6043</v>
      </c>
      <c r="J3146">
        <v>11221</v>
      </c>
      <c r="K3146" t="s">
        <v>6076</v>
      </c>
      <c r="L3146" t="s">
        <v>6076</v>
      </c>
      <c r="N3146" t="s">
        <v>7287</v>
      </c>
      <c r="O3146" t="s">
        <v>7308</v>
      </c>
      <c r="Q3146" t="s">
        <v>7322</v>
      </c>
      <c r="R3146" t="s">
        <v>6074</v>
      </c>
      <c r="S3146" t="s">
        <v>7324</v>
      </c>
      <c r="U3146" t="s">
        <v>247</v>
      </c>
      <c r="V3146">
        <v>632.48</v>
      </c>
      <c r="W3146" t="s">
        <v>7362</v>
      </c>
      <c r="X3146" t="s">
        <v>7376</v>
      </c>
      <c r="Z3146" t="s">
        <v>9716</v>
      </c>
      <c r="AB3146" t="s">
        <v>12324</v>
      </c>
      <c r="AC3146">
        <v>12</v>
      </c>
      <c r="AD3146" t="s">
        <v>12422</v>
      </c>
      <c r="AE3146" t="s">
        <v>6110</v>
      </c>
      <c r="AF3146">
        <v>18</v>
      </c>
      <c r="AG3146">
        <v>3</v>
      </c>
      <c r="AH3146">
        <v>0</v>
      </c>
      <c r="AI3146">
        <v>398.5</v>
      </c>
      <c r="AL3146" t="s">
        <v>12460</v>
      </c>
      <c r="AM3146">
        <v>85000</v>
      </c>
      <c r="AS3146">
        <v>0</v>
      </c>
      <c r="AU3146" t="s">
        <v>218</v>
      </c>
    </row>
    <row r="3147" spans="1:48">
      <c r="A3147" s="1">
        <f>HYPERLINK("https://cms.ls-nyc.org/matter/dynamic-profile/view/1897605","19-1897605")</f>
        <v>0</v>
      </c>
      <c r="B3147" t="s">
        <v>72</v>
      </c>
      <c r="C3147" t="s">
        <v>424</v>
      </c>
      <c r="E3147" t="s">
        <v>1800</v>
      </c>
      <c r="F3147" t="s">
        <v>3559</v>
      </c>
      <c r="G3147" t="s">
        <v>3700</v>
      </c>
      <c r="H3147" t="s">
        <v>6001</v>
      </c>
      <c r="I3147" t="s">
        <v>6043</v>
      </c>
      <c r="J3147">
        <v>11233</v>
      </c>
      <c r="K3147" t="s">
        <v>6074</v>
      </c>
      <c r="L3147" t="s">
        <v>6076</v>
      </c>
      <c r="N3147" t="s">
        <v>7279</v>
      </c>
      <c r="O3147" t="s">
        <v>7311</v>
      </c>
      <c r="Q3147" t="s">
        <v>7322</v>
      </c>
      <c r="R3147" t="s">
        <v>6074</v>
      </c>
      <c r="S3147" t="s">
        <v>7324</v>
      </c>
      <c r="T3147" t="s">
        <v>7336</v>
      </c>
      <c r="U3147" t="s">
        <v>330</v>
      </c>
      <c r="V3147">
        <v>824.45</v>
      </c>
      <c r="W3147" t="s">
        <v>7362</v>
      </c>
      <c r="X3147" t="s">
        <v>7372</v>
      </c>
      <c r="Z3147" t="s">
        <v>9717</v>
      </c>
      <c r="AC3147">
        <v>359</v>
      </c>
      <c r="AD3147" t="s">
        <v>12422</v>
      </c>
      <c r="AF3147">
        <v>8</v>
      </c>
      <c r="AG3147">
        <v>1</v>
      </c>
      <c r="AH3147">
        <v>0</v>
      </c>
      <c r="AI3147">
        <v>398.72</v>
      </c>
      <c r="AL3147" t="s">
        <v>12460</v>
      </c>
      <c r="AM3147">
        <v>49800</v>
      </c>
      <c r="AN3147" t="s">
        <v>12490</v>
      </c>
      <c r="AS3147">
        <v>0</v>
      </c>
      <c r="AU3147" t="s">
        <v>218</v>
      </c>
    </row>
    <row r="3148" spans="1:48">
      <c r="A3148" s="1">
        <f>HYPERLINK("https://cms.ls-nyc.org/matter/dynamic-profile/view/1897606","19-1897606")</f>
        <v>0</v>
      </c>
      <c r="B3148" t="s">
        <v>72</v>
      </c>
      <c r="C3148" t="s">
        <v>424</v>
      </c>
      <c r="E3148" t="s">
        <v>1800</v>
      </c>
      <c r="F3148" t="s">
        <v>3559</v>
      </c>
      <c r="G3148" t="s">
        <v>3700</v>
      </c>
      <c r="H3148" t="s">
        <v>6001</v>
      </c>
      <c r="I3148" t="s">
        <v>6043</v>
      </c>
      <c r="J3148">
        <v>11233</v>
      </c>
      <c r="K3148" t="s">
        <v>6074</v>
      </c>
      <c r="L3148" t="s">
        <v>6076</v>
      </c>
      <c r="N3148" t="s">
        <v>7275</v>
      </c>
      <c r="O3148" t="s">
        <v>7307</v>
      </c>
      <c r="Q3148" t="s">
        <v>7322</v>
      </c>
      <c r="R3148" t="s">
        <v>6074</v>
      </c>
      <c r="S3148" t="s">
        <v>7324</v>
      </c>
      <c r="T3148" t="s">
        <v>7336</v>
      </c>
      <c r="U3148" t="s">
        <v>287</v>
      </c>
      <c r="V3148">
        <v>829.45</v>
      </c>
      <c r="W3148" t="s">
        <v>7362</v>
      </c>
      <c r="X3148" t="s">
        <v>7372</v>
      </c>
      <c r="Z3148" t="s">
        <v>9717</v>
      </c>
      <c r="AC3148">
        <v>359</v>
      </c>
      <c r="AD3148" t="s">
        <v>12422</v>
      </c>
      <c r="AF3148">
        <v>8</v>
      </c>
      <c r="AG3148">
        <v>1</v>
      </c>
      <c r="AH3148">
        <v>0</v>
      </c>
      <c r="AI3148">
        <v>398.72</v>
      </c>
      <c r="AL3148" t="s">
        <v>12460</v>
      </c>
      <c r="AM3148">
        <v>49800</v>
      </c>
      <c r="AN3148" t="s">
        <v>12805</v>
      </c>
      <c r="AS3148">
        <v>0</v>
      </c>
      <c r="AU3148" t="s">
        <v>218</v>
      </c>
    </row>
    <row r="3149" spans="1:48">
      <c r="A3149" s="1">
        <f>HYPERLINK("https://cms.ls-nyc.org/matter/dynamic-profile/view/1892569","19-1892569")</f>
        <v>0</v>
      </c>
      <c r="B3149" t="s">
        <v>96</v>
      </c>
      <c r="C3149" t="s">
        <v>277</v>
      </c>
      <c r="E3149" t="s">
        <v>1989</v>
      </c>
      <c r="F3149" t="s">
        <v>3560</v>
      </c>
      <c r="G3149" t="s">
        <v>3792</v>
      </c>
      <c r="H3149" t="s">
        <v>5598</v>
      </c>
      <c r="I3149" t="s">
        <v>6047</v>
      </c>
      <c r="J3149">
        <v>10453</v>
      </c>
      <c r="K3149" t="s">
        <v>6074</v>
      </c>
      <c r="L3149" t="s">
        <v>6074</v>
      </c>
      <c r="M3149" t="s">
        <v>6259</v>
      </c>
      <c r="N3149" t="s">
        <v>7273</v>
      </c>
      <c r="O3149" t="s">
        <v>7308</v>
      </c>
      <c r="Q3149" t="s">
        <v>7322</v>
      </c>
      <c r="R3149" t="s">
        <v>6074</v>
      </c>
      <c r="S3149" t="s">
        <v>7324</v>
      </c>
      <c r="U3149" t="s">
        <v>457</v>
      </c>
      <c r="V3149">
        <v>1044</v>
      </c>
      <c r="W3149" t="s">
        <v>7363</v>
      </c>
      <c r="X3149" t="s">
        <v>7375</v>
      </c>
      <c r="Z3149" t="s">
        <v>9718</v>
      </c>
      <c r="AB3149" t="s">
        <v>12325</v>
      </c>
      <c r="AC3149">
        <v>170</v>
      </c>
      <c r="AD3149" t="s">
        <v>12422</v>
      </c>
      <c r="AE3149" t="s">
        <v>6110</v>
      </c>
      <c r="AF3149">
        <v>25</v>
      </c>
      <c r="AG3149">
        <v>2</v>
      </c>
      <c r="AH3149">
        <v>0</v>
      </c>
      <c r="AI3149">
        <v>399.76</v>
      </c>
      <c r="AL3149" t="s">
        <v>12460</v>
      </c>
      <c r="AM3149">
        <v>67600</v>
      </c>
      <c r="AS3149">
        <v>0</v>
      </c>
      <c r="AU3149" t="s">
        <v>13099</v>
      </c>
    </row>
    <row r="3150" spans="1:48">
      <c r="A3150" s="1">
        <f>HYPERLINK("https://cms.ls-nyc.org/matter/dynamic-profile/view/1899062","19-1899062")</f>
        <v>0</v>
      </c>
      <c r="B3150" t="s">
        <v>51</v>
      </c>
      <c r="C3150" t="s">
        <v>254</v>
      </c>
      <c r="D3150" t="s">
        <v>363</v>
      </c>
      <c r="E3150" t="s">
        <v>706</v>
      </c>
      <c r="F3150" t="s">
        <v>3561</v>
      </c>
      <c r="G3150" t="s">
        <v>5313</v>
      </c>
      <c r="H3150" t="s">
        <v>6002</v>
      </c>
      <c r="I3150" t="s">
        <v>6035</v>
      </c>
      <c r="J3150">
        <v>11377</v>
      </c>
      <c r="K3150" t="s">
        <v>6074</v>
      </c>
      <c r="L3150" t="s">
        <v>6075</v>
      </c>
      <c r="M3150" t="s">
        <v>7259</v>
      </c>
      <c r="N3150" t="s">
        <v>7274</v>
      </c>
      <c r="O3150" t="s">
        <v>7307</v>
      </c>
      <c r="P3150" t="s">
        <v>7315</v>
      </c>
      <c r="Q3150" t="s">
        <v>7322</v>
      </c>
      <c r="S3150" t="s">
        <v>7324</v>
      </c>
      <c r="U3150" t="s">
        <v>254</v>
      </c>
      <c r="V3150">
        <v>300</v>
      </c>
      <c r="W3150" t="s">
        <v>7361</v>
      </c>
      <c r="X3150" t="s">
        <v>7369</v>
      </c>
      <c r="Y3150" t="s">
        <v>7386</v>
      </c>
      <c r="Z3150" t="s">
        <v>9719</v>
      </c>
      <c r="AB3150" t="s">
        <v>12326</v>
      </c>
      <c r="AC3150">
        <v>4</v>
      </c>
      <c r="AE3150" t="s">
        <v>6110</v>
      </c>
      <c r="AF3150">
        <v>1</v>
      </c>
      <c r="AG3150">
        <v>1</v>
      </c>
      <c r="AH3150">
        <v>0</v>
      </c>
      <c r="AI3150">
        <v>400.32</v>
      </c>
      <c r="AM3150">
        <v>50000</v>
      </c>
      <c r="AS3150">
        <v>2.5</v>
      </c>
      <c r="AT3150" t="s">
        <v>421</v>
      </c>
      <c r="AU3150" t="s">
        <v>51</v>
      </c>
      <c r="AV3150" t="s">
        <v>13145</v>
      </c>
    </row>
    <row r="3151" spans="1:48">
      <c r="A3151" s="1">
        <f>HYPERLINK("https://cms.ls-nyc.org/matter/dynamic-profile/view/1891151","19-1891151")</f>
        <v>0</v>
      </c>
      <c r="B3151" t="s">
        <v>109</v>
      </c>
      <c r="C3151" t="s">
        <v>371</v>
      </c>
      <c r="E3151" t="s">
        <v>1712</v>
      </c>
      <c r="F3151" t="s">
        <v>2522</v>
      </c>
      <c r="G3151" t="s">
        <v>5277</v>
      </c>
      <c r="H3151" t="s">
        <v>5513</v>
      </c>
      <c r="I3151" t="s">
        <v>6047</v>
      </c>
      <c r="J3151">
        <v>10461</v>
      </c>
      <c r="K3151" t="s">
        <v>6074</v>
      </c>
      <c r="L3151" t="s">
        <v>6074</v>
      </c>
      <c r="N3151" t="s">
        <v>7279</v>
      </c>
      <c r="O3151" t="s">
        <v>7307</v>
      </c>
      <c r="Q3151" t="s">
        <v>7322</v>
      </c>
      <c r="R3151" t="s">
        <v>6074</v>
      </c>
      <c r="S3151" t="s">
        <v>7324</v>
      </c>
      <c r="U3151" t="s">
        <v>343</v>
      </c>
      <c r="V3151">
        <v>1503</v>
      </c>
      <c r="W3151" t="s">
        <v>7363</v>
      </c>
      <c r="X3151" t="s">
        <v>7376</v>
      </c>
      <c r="Z3151" t="s">
        <v>9720</v>
      </c>
      <c r="AB3151" t="s">
        <v>12327</v>
      </c>
      <c r="AC3151">
        <v>125</v>
      </c>
      <c r="AD3151" t="s">
        <v>12422</v>
      </c>
      <c r="AE3151" t="s">
        <v>6110</v>
      </c>
      <c r="AF3151">
        <v>1</v>
      </c>
      <c r="AG3151">
        <v>1</v>
      </c>
      <c r="AH3151">
        <v>0</v>
      </c>
      <c r="AI3151">
        <v>400.32</v>
      </c>
      <c r="AL3151" t="s">
        <v>12460</v>
      </c>
      <c r="AM3151">
        <v>50000</v>
      </c>
      <c r="AS3151">
        <v>0</v>
      </c>
      <c r="AU3151" t="s">
        <v>13092</v>
      </c>
    </row>
    <row r="3152" spans="1:48">
      <c r="A3152" s="1">
        <f>HYPERLINK("https://cms.ls-nyc.org/matter/dynamic-profile/view/1899106","19-1899106")</f>
        <v>0</v>
      </c>
      <c r="B3152" t="s">
        <v>109</v>
      </c>
      <c r="C3152" t="s">
        <v>254</v>
      </c>
      <c r="E3152" t="s">
        <v>1139</v>
      </c>
      <c r="F3152" t="s">
        <v>2546</v>
      </c>
      <c r="G3152" t="s">
        <v>3809</v>
      </c>
      <c r="H3152" t="s">
        <v>5400</v>
      </c>
      <c r="I3152" t="s">
        <v>6047</v>
      </c>
      <c r="J3152">
        <v>10452</v>
      </c>
      <c r="K3152" t="s">
        <v>6074</v>
      </c>
      <c r="L3152" t="s">
        <v>6075</v>
      </c>
      <c r="N3152" t="s">
        <v>7279</v>
      </c>
      <c r="O3152" t="s">
        <v>7307</v>
      </c>
      <c r="Q3152" t="s">
        <v>7322</v>
      </c>
      <c r="R3152" t="s">
        <v>6076</v>
      </c>
      <c r="S3152" t="s">
        <v>7324</v>
      </c>
      <c r="U3152" t="s">
        <v>257</v>
      </c>
      <c r="V3152">
        <v>1164.24</v>
      </c>
      <c r="W3152" t="s">
        <v>7363</v>
      </c>
      <c r="X3152" t="s">
        <v>7376</v>
      </c>
      <c r="Z3152" t="s">
        <v>9721</v>
      </c>
      <c r="AB3152" t="s">
        <v>12328</v>
      </c>
      <c r="AC3152">
        <v>41</v>
      </c>
      <c r="AD3152" t="s">
        <v>12430</v>
      </c>
      <c r="AE3152" t="s">
        <v>6110</v>
      </c>
      <c r="AF3152">
        <v>6</v>
      </c>
      <c r="AG3152">
        <v>1</v>
      </c>
      <c r="AH3152">
        <v>0</v>
      </c>
      <c r="AI3152">
        <v>400.32</v>
      </c>
      <c r="AL3152" t="s">
        <v>12460</v>
      </c>
      <c r="AM3152">
        <v>50000</v>
      </c>
      <c r="AS3152">
        <v>0</v>
      </c>
      <c r="AU3152" t="s">
        <v>13092</v>
      </c>
      <c r="AV3152" t="s">
        <v>13145</v>
      </c>
    </row>
    <row r="3153" spans="1:47">
      <c r="A3153" s="1">
        <f>HYPERLINK("https://cms.ls-nyc.org/matter/dynamic-profile/view/1868401","18-1868401")</f>
        <v>0</v>
      </c>
      <c r="B3153" t="s">
        <v>82</v>
      </c>
      <c r="C3153" t="s">
        <v>549</v>
      </c>
      <c r="E3153" t="s">
        <v>1990</v>
      </c>
      <c r="F3153" t="s">
        <v>3562</v>
      </c>
      <c r="G3153" t="s">
        <v>3937</v>
      </c>
      <c r="H3153" t="s">
        <v>5469</v>
      </c>
      <c r="I3153" t="s">
        <v>6043</v>
      </c>
      <c r="J3153">
        <v>11226</v>
      </c>
      <c r="K3153" t="s">
        <v>6074</v>
      </c>
      <c r="L3153" t="s">
        <v>6074</v>
      </c>
      <c r="M3153" t="s">
        <v>7260</v>
      </c>
      <c r="N3153" t="s">
        <v>7276</v>
      </c>
      <c r="O3153" t="s">
        <v>7308</v>
      </c>
      <c r="Q3153" t="s">
        <v>7322</v>
      </c>
      <c r="R3153" t="s">
        <v>6074</v>
      </c>
      <c r="S3153" t="s">
        <v>7324</v>
      </c>
      <c r="U3153" t="s">
        <v>464</v>
      </c>
      <c r="V3153">
        <v>1119.66</v>
      </c>
      <c r="W3153" t="s">
        <v>7362</v>
      </c>
      <c r="X3153" t="s">
        <v>7372</v>
      </c>
      <c r="Z3153" t="s">
        <v>9722</v>
      </c>
      <c r="AC3153">
        <v>6</v>
      </c>
      <c r="AD3153" t="s">
        <v>12422</v>
      </c>
      <c r="AE3153" t="s">
        <v>6110</v>
      </c>
      <c r="AF3153">
        <v>8</v>
      </c>
      <c r="AG3153">
        <v>1</v>
      </c>
      <c r="AH3153">
        <v>0</v>
      </c>
      <c r="AI3153">
        <v>403.62</v>
      </c>
      <c r="AL3153" t="s">
        <v>12460</v>
      </c>
      <c r="AM3153">
        <v>49000</v>
      </c>
      <c r="AS3153">
        <v>4</v>
      </c>
      <c r="AT3153" t="s">
        <v>381</v>
      </c>
      <c r="AU3153" t="s">
        <v>13087</v>
      </c>
    </row>
    <row r="3154" spans="1:47">
      <c r="A3154" s="1">
        <f>HYPERLINK("https://cms.ls-nyc.org/matter/dynamic-profile/view/1897390","19-1897390")</f>
        <v>0</v>
      </c>
      <c r="B3154" t="s">
        <v>84</v>
      </c>
      <c r="C3154" t="s">
        <v>418</v>
      </c>
      <c r="E3154" t="s">
        <v>913</v>
      </c>
      <c r="F3154" t="s">
        <v>3431</v>
      </c>
      <c r="G3154" t="s">
        <v>4841</v>
      </c>
      <c r="I3154" t="s">
        <v>6043</v>
      </c>
      <c r="J3154">
        <v>11226</v>
      </c>
      <c r="K3154" t="s">
        <v>6074</v>
      </c>
      <c r="L3154" t="s">
        <v>6074</v>
      </c>
      <c r="N3154" t="s">
        <v>7273</v>
      </c>
      <c r="O3154" t="s">
        <v>7308</v>
      </c>
      <c r="Q3154" t="s">
        <v>7322</v>
      </c>
      <c r="R3154" t="s">
        <v>6074</v>
      </c>
      <c r="S3154" t="s">
        <v>7324</v>
      </c>
      <c r="U3154" t="s">
        <v>347</v>
      </c>
      <c r="V3154">
        <v>1230</v>
      </c>
      <c r="W3154" t="s">
        <v>7362</v>
      </c>
      <c r="Z3154" t="s">
        <v>9723</v>
      </c>
      <c r="AC3154">
        <v>0</v>
      </c>
      <c r="AF3154">
        <v>7</v>
      </c>
      <c r="AG3154">
        <v>2</v>
      </c>
      <c r="AH3154">
        <v>0</v>
      </c>
      <c r="AI3154">
        <v>407.45</v>
      </c>
      <c r="AL3154" t="s">
        <v>12460</v>
      </c>
      <c r="AM3154">
        <v>68900</v>
      </c>
      <c r="AS3154">
        <v>2.3</v>
      </c>
      <c r="AT3154" t="s">
        <v>260</v>
      </c>
      <c r="AU3154" t="s">
        <v>88</v>
      </c>
    </row>
    <row r="3155" spans="1:47">
      <c r="A3155" s="1">
        <f>HYPERLINK("https://cms.ls-nyc.org/matter/dynamic-profile/view/1900727","19-1900727")</f>
        <v>0</v>
      </c>
      <c r="B3155" t="s">
        <v>84</v>
      </c>
      <c r="C3155" t="s">
        <v>381</v>
      </c>
      <c r="E3155" t="s">
        <v>913</v>
      </c>
      <c r="F3155" t="s">
        <v>3431</v>
      </c>
      <c r="G3155" t="s">
        <v>4841</v>
      </c>
      <c r="H3155">
        <v>10</v>
      </c>
      <c r="I3155" t="s">
        <v>6043</v>
      </c>
      <c r="J3155">
        <v>11226</v>
      </c>
      <c r="K3155" t="s">
        <v>6074</v>
      </c>
      <c r="L3155" t="s">
        <v>6075</v>
      </c>
      <c r="O3155" t="s">
        <v>7308</v>
      </c>
      <c r="Q3155" t="s">
        <v>7322</v>
      </c>
      <c r="R3155" t="s">
        <v>6074</v>
      </c>
      <c r="S3155" t="s">
        <v>7324</v>
      </c>
      <c r="U3155" t="s">
        <v>381</v>
      </c>
      <c r="V3155">
        <v>1230</v>
      </c>
      <c r="W3155" t="s">
        <v>7362</v>
      </c>
      <c r="Z3155" t="s">
        <v>9723</v>
      </c>
      <c r="AC3155">
        <v>0</v>
      </c>
      <c r="AF3155">
        <v>7</v>
      </c>
      <c r="AG3155">
        <v>2</v>
      </c>
      <c r="AH3155">
        <v>0</v>
      </c>
      <c r="AI3155">
        <v>407.45</v>
      </c>
      <c r="AL3155" t="s">
        <v>12460</v>
      </c>
      <c r="AM3155">
        <v>68900</v>
      </c>
      <c r="AS3155">
        <v>0</v>
      </c>
      <c r="AU3155" t="s">
        <v>88</v>
      </c>
    </row>
    <row r="3156" spans="1:47">
      <c r="A3156" s="1">
        <f>HYPERLINK("https://cms.ls-nyc.org/matter/dynamic-profile/view/1891541","19-1891541")</f>
        <v>0</v>
      </c>
      <c r="B3156" t="s">
        <v>72</v>
      </c>
      <c r="C3156" t="s">
        <v>278</v>
      </c>
      <c r="E3156" t="s">
        <v>1991</v>
      </c>
      <c r="F3156" t="s">
        <v>2898</v>
      </c>
      <c r="G3156" t="s">
        <v>3700</v>
      </c>
      <c r="H3156" t="s">
        <v>5625</v>
      </c>
      <c r="I3156" t="s">
        <v>6043</v>
      </c>
      <c r="J3156">
        <v>11233</v>
      </c>
      <c r="K3156" t="s">
        <v>6074</v>
      </c>
      <c r="L3156" t="s">
        <v>6076</v>
      </c>
      <c r="M3156" t="s">
        <v>6101</v>
      </c>
      <c r="N3156" t="s">
        <v>7279</v>
      </c>
      <c r="O3156" t="s">
        <v>7311</v>
      </c>
      <c r="Q3156" t="s">
        <v>7322</v>
      </c>
      <c r="R3156" t="s">
        <v>6074</v>
      </c>
      <c r="S3156" t="s">
        <v>7324</v>
      </c>
      <c r="T3156" t="s">
        <v>7336</v>
      </c>
      <c r="U3156" t="s">
        <v>330</v>
      </c>
      <c r="V3156">
        <v>1089.12</v>
      </c>
      <c r="W3156" t="s">
        <v>7362</v>
      </c>
      <c r="Z3156" t="s">
        <v>9724</v>
      </c>
      <c r="AC3156">
        <v>359</v>
      </c>
      <c r="AD3156" t="s">
        <v>12422</v>
      </c>
      <c r="AF3156">
        <v>20</v>
      </c>
      <c r="AG3156">
        <v>2</v>
      </c>
      <c r="AH3156">
        <v>0</v>
      </c>
      <c r="AI3156">
        <v>408.04</v>
      </c>
      <c r="AL3156" t="s">
        <v>12460</v>
      </c>
      <c r="AM3156">
        <v>69000</v>
      </c>
      <c r="AN3156" t="s">
        <v>12486</v>
      </c>
      <c r="AS3156">
        <v>0</v>
      </c>
      <c r="AU3156" t="s">
        <v>218</v>
      </c>
    </row>
    <row r="3157" spans="1:47">
      <c r="A3157" s="1">
        <f>HYPERLINK("https://cms.ls-nyc.org/matter/dynamic-profile/view/1891544","19-1891544")</f>
        <v>0</v>
      </c>
      <c r="B3157" t="s">
        <v>72</v>
      </c>
      <c r="C3157" t="s">
        <v>278</v>
      </c>
      <c r="E3157" t="s">
        <v>1991</v>
      </c>
      <c r="F3157" t="s">
        <v>2898</v>
      </c>
      <c r="G3157" t="s">
        <v>3700</v>
      </c>
      <c r="H3157" t="s">
        <v>5625</v>
      </c>
      <c r="I3157" t="s">
        <v>6043</v>
      </c>
      <c r="J3157">
        <v>11233</v>
      </c>
      <c r="K3157" t="s">
        <v>6074</v>
      </c>
      <c r="L3157" t="s">
        <v>6076</v>
      </c>
      <c r="N3157" t="s">
        <v>7275</v>
      </c>
      <c r="O3157" t="s">
        <v>7307</v>
      </c>
      <c r="Q3157" t="s">
        <v>7322</v>
      </c>
      <c r="R3157" t="s">
        <v>6074</v>
      </c>
      <c r="S3157" t="s">
        <v>7324</v>
      </c>
      <c r="T3157" t="s">
        <v>7336</v>
      </c>
      <c r="U3157" t="s">
        <v>287</v>
      </c>
      <c r="V3157">
        <v>1089.12</v>
      </c>
      <c r="W3157" t="s">
        <v>7362</v>
      </c>
      <c r="Z3157" t="s">
        <v>9724</v>
      </c>
      <c r="AC3157">
        <v>359</v>
      </c>
      <c r="AD3157" t="s">
        <v>12422</v>
      </c>
      <c r="AF3157">
        <v>20</v>
      </c>
      <c r="AG3157">
        <v>2</v>
      </c>
      <c r="AH3157">
        <v>0</v>
      </c>
      <c r="AI3157">
        <v>408.04</v>
      </c>
      <c r="AL3157" t="s">
        <v>12460</v>
      </c>
      <c r="AM3157">
        <v>69000</v>
      </c>
      <c r="AN3157" t="s">
        <v>12806</v>
      </c>
      <c r="AS3157">
        <v>0</v>
      </c>
      <c r="AU3157" t="s">
        <v>218</v>
      </c>
    </row>
    <row r="3158" spans="1:47">
      <c r="A3158" s="1">
        <f>HYPERLINK("https://cms.ls-nyc.org/matter/dynamic-profile/view/1897064","19-1897064")</f>
        <v>0</v>
      </c>
      <c r="B3158" t="s">
        <v>54</v>
      </c>
      <c r="C3158" t="s">
        <v>268</v>
      </c>
      <c r="E3158" t="s">
        <v>637</v>
      </c>
      <c r="F3158" t="s">
        <v>2173</v>
      </c>
      <c r="G3158" t="s">
        <v>3900</v>
      </c>
      <c r="H3158" t="s">
        <v>5854</v>
      </c>
      <c r="I3158" t="s">
        <v>6025</v>
      </c>
      <c r="J3158">
        <v>11691</v>
      </c>
      <c r="K3158" t="s">
        <v>6074</v>
      </c>
      <c r="L3158" t="s">
        <v>6074</v>
      </c>
      <c r="N3158" t="s">
        <v>7279</v>
      </c>
      <c r="O3158" t="s">
        <v>7311</v>
      </c>
      <c r="Q3158" t="s">
        <v>7322</v>
      </c>
      <c r="R3158" t="s">
        <v>6074</v>
      </c>
      <c r="S3158" t="s">
        <v>7324</v>
      </c>
      <c r="U3158" t="s">
        <v>268</v>
      </c>
      <c r="V3158">
        <v>819</v>
      </c>
      <c r="W3158" t="s">
        <v>7361</v>
      </c>
      <c r="X3158" t="s">
        <v>7366</v>
      </c>
      <c r="Z3158" t="s">
        <v>9725</v>
      </c>
      <c r="AB3158" t="s">
        <v>12329</v>
      </c>
      <c r="AC3158">
        <v>43</v>
      </c>
      <c r="AF3158">
        <v>15</v>
      </c>
      <c r="AG3158">
        <v>1</v>
      </c>
      <c r="AH3158">
        <v>0</v>
      </c>
      <c r="AI3158">
        <v>408.33</v>
      </c>
      <c r="AL3158" t="s">
        <v>12461</v>
      </c>
      <c r="AM3158">
        <v>51000</v>
      </c>
      <c r="AS3158">
        <v>0</v>
      </c>
      <c r="AU3158" t="s">
        <v>13078</v>
      </c>
    </row>
    <row r="3159" spans="1:47">
      <c r="A3159" s="1">
        <f>HYPERLINK("https://cms.ls-nyc.org/matter/dynamic-profile/view/1897069","19-1897069")</f>
        <v>0</v>
      </c>
      <c r="B3159" t="s">
        <v>54</v>
      </c>
      <c r="C3159" t="s">
        <v>268</v>
      </c>
      <c r="E3159" t="s">
        <v>637</v>
      </c>
      <c r="F3159" t="s">
        <v>2173</v>
      </c>
      <c r="G3159" t="s">
        <v>3900</v>
      </c>
      <c r="H3159" t="s">
        <v>5854</v>
      </c>
      <c r="I3159" t="s">
        <v>6025</v>
      </c>
      <c r="J3159">
        <v>11691</v>
      </c>
      <c r="K3159" t="s">
        <v>6074</v>
      </c>
      <c r="L3159" t="s">
        <v>6074</v>
      </c>
      <c r="N3159" t="s">
        <v>7278</v>
      </c>
      <c r="O3159" t="s">
        <v>7307</v>
      </c>
      <c r="Q3159" t="s">
        <v>7322</v>
      </c>
      <c r="S3159" t="s">
        <v>7324</v>
      </c>
      <c r="U3159" t="s">
        <v>268</v>
      </c>
      <c r="V3159">
        <v>819</v>
      </c>
      <c r="W3159" t="s">
        <v>7361</v>
      </c>
      <c r="X3159" t="s">
        <v>7366</v>
      </c>
      <c r="Z3159" t="s">
        <v>9725</v>
      </c>
      <c r="AB3159" t="s">
        <v>12329</v>
      </c>
      <c r="AC3159">
        <v>43</v>
      </c>
      <c r="AF3159">
        <v>15</v>
      </c>
      <c r="AG3159">
        <v>1</v>
      </c>
      <c r="AH3159">
        <v>0</v>
      </c>
      <c r="AI3159">
        <v>408.33</v>
      </c>
      <c r="AL3159" t="s">
        <v>12461</v>
      </c>
      <c r="AM3159">
        <v>51000</v>
      </c>
      <c r="AS3159">
        <v>0</v>
      </c>
      <c r="AU3159" t="s">
        <v>13078</v>
      </c>
    </row>
    <row r="3160" spans="1:47">
      <c r="A3160" s="1">
        <f>HYPERLINK("https://cms.ls-nyc.org/matter/dynamic-profile/view/1892863","19-1892863")</f>
        <v>0</v>
      </c>
      <c r="B3160" t="s">
        <v>72</v>
      </c>
      <c r="C3160" t="s">
        <v>356</v>
      </c>
      <c r="E3160" t="s">
        <v>1632</v>
      </c>
      <c r="F3160" t="s">
        <v>3563</v>
      </c>
      <c r="G3160" t="s">
        <v>4324</v>
      </c>
      <c r="H3160" t="s">
        <v>5393</v>
      </c>
      <c r="I3160" t="s">
        <v>6043</v>
      </c>
      <c r="J3160">
        <v>11233</v>
      </c>
      <c r="K3160" t="s">
        <v>6074</v>
      </c>
      <c r="L3160" t="s">
        <v>6076</v>
      </c>
      <c r="N3160" t="s">
        <v>7279</v>
      </c>
      <c r="O3160" t="s">
        <v>7311</v>
      </c>
      <c r="Q3160" t="s">
        <v>7322</v>
      </c>
      <c r="R3160" t="s">
        <v>6074</v>
      </c>
      <c r="S3160" t="s">
        <v>7324</v>
      </c>
      <c r="T3160" t="s">
        <v>7336</v>
      </c>
      <c r="U3160" t="s">
        <v>330</v>
      </c>
      <c r="V3160">
        <v>621.34</v>
      </c>
      <c r="W3160" t="s">
        <v>7362</v>
      </c>
      <c r="X3160" t="s">
        <v>7305</v>
      </c>
      <c r="Z3160" t="s">
        <v>9726</v>
      </c>
      <c r="AC3160">
        <v>359</v>
      </c>
      <c r="AD3160" t="s">
        <v>12422</v>
      </c>
      <c r="AF3160">
        <v>18</v>
      </c>
      <c r="AG3160">
        <v>1</v>
      </c>
      <c r="AH3160">
        <v>0</v>
      </c>
      <c r="AI3160">
        <v>408.33</v>
      </c>
      <c r="AL3160" t="s">
        <v>12460</v>
      </c>
      <c r="AM3160">
        <v>51000</v>
      </c>
      <c r="AN3160" t="s">
        <v>12620</v>
      </c>
      <c r="AS3160">
        <v>0</v>
      </c>
      <c r="AU3160" t="s">
        <v>180</v>
      </c>
    </row>
    <row r="3161" spans="1:47">
      <c r="A3161" s="1">
        <f>HYPERLINK("https://cms.ls-nyc.org/matter/dynamic-profile/view/1892865","19-1892865")</f>
        <v>0</v>
      </c>
      <c r="B3161" t="s">
        <v>72</v>
      </c>
      <c r="C3161" t="s">
        <v>356</v>
      </c>
      <c r="E3161" t="s">
        <v>1632</v>
      </c>
      <c r="F3161" t="s">
        <v>3563</v>
      </c>
      <c r="G3161" t="s">
        <v>4324</v>
      </c>
      <c r="H3161" t="s">
        <v>5393</v>
      </c>
      <c r="I3161" t="s">
        <v>6043</v>
      </c>
      <c r="J3161">
        <v>11233</v>
      </c>
      <c r="K3161" t="s">
        <v>6074</v>
      </c>
      <c r="L3161" t="s">
        <v>6076</v>
      </c>
      <c r="N3161" t="s">
        <v>7275</v>
      </c>
      <c r="O3161" t="s">
        <v>7307</v>
      </c>
      <c r="Q3161" t="s">
        <v>7322</v>
      </c>
      <c r="R3161" t="s">
        <v>6074</v>
      </c>
      <c r="S3161" t="s">
        <v>7324</v>
      </c>
      <c r="T3161" t="s">
        <v>7336</v>
      </c>
      <c r="U3161" t="s">
        <v>287</v>
      </c>
      <c r="V3161">
        <v>621.34</v>
      </c>
      <c r="W3161" t="s">
        <v>7362</v>
      </c>
      <c r="X3161" t="s">
        <v>7305</v>
      </c>
      <c r="Z3161" t="s">
        <v>9726</v>
      </c>
      <c r="AC3161">
        <v>359</v>
      </c>
      <c r="AD3161" t="s">
        <v>12422</v>
      </c>
      <c r="AF3161">
        <v>18</v>
      </c>
      <c r="AG3161">
        <v>1</v>
      </c>
      <c r="AH3161">
        <v>0</v>
      </c>
      <c r="AI3161">
        <v>408.33</v>
      </c>
      <c r="AL3161" t="s">
        <v>12460</v>
      </c>
      <c r="AM3161">
        <v>51000</v>
      </c>
      <c r="AN3161" t="s">
        <v>12807</v>
      </c>
      <c r="AS3161">
        <v>0</v>
      </c>
      <c r="AU3161" t="s">
        <v>180</v>
      </c>
    </row>
    <row r="3162" spans="1:47">
      <c r="A3162" s="1">
        <f>HYPERLINK("https://cms.ls-nyc.org/matter/dynamic-profile/view/1878950","18-1878950")</f>
        <v>0</v>
      </c>
      <c r="B3162" t="s">
        <v>80</v>
      </c>
      <c r="C3162" t="s">
        <v>438</v>
      </c>
      <c r="E3162" t="s">
        <v>1988</v>
      </c>
      <c r="F3162" t="s">
        <v>3558</v>
      </c>
      <c r="G3162" t="s">
        <v>4354</v>
      </c>
      <c r="H3162" t="s">
        <v>5372</v>
      </c>
      <c r="I3162" t="s">
        <v>6043</v>
      </c>
      <c r="J3162">
        <v>11221</v>
      </c>
      <c r="K3162" t="s">
        <v>6074</v>
      </c>
      <c r="L3162" t="s">
        <v>6074</v>
      </c>
      <c r="N3162" t="s">
        <v>7279</v>
      </c>
      <c r="O3162" t="s">
        <v>7311</v>
      </c>
      <c r="Q3162" t="s">
        <v>7322</v>
      </c>
      <c r="R3162" t="s">
        <v>6074</v>
      </c>
      <c r="S3162" t="s">
        <v>7324</v>
      </c>
      <c r="U3162" t="s">
        <v>289</v>
      </c>
      <c r="V3162">
        <v>632.48</v>
      </c>
      <c r="W3162" t="s">
        <v>7362</v>
      </c>
      <c r="X3162" t="s">
        <v>7376</v>
      </c>
      <c r="Z3162" t="s">
        <v>9716</v>
      </c>
      <c r="AB3162" t="s">
        <v>12324</v>
      </c>
      <c r="AC3162">
        <v>12</v>
      </c>
      <c r="AD3162" t="s">
        <v>12422</v>
      </c>
      <c r="AE3162" t="s">
        <v>6110</v>
      </c>
      <c r="AF3162">
        <v>18</v>
      </c>
      <c r="AG3162">
        <v>3</v>
      </c>
      <c r="AH3162">
        <v>0</v>
      </c>
      <c r="AI3162">
        <v>409.05</v>
      </c>
      <c r="AL3162" t="s">
        <v>12460</v>
      </c>
      <c r="AM3162">
        <v>85000</v>
      </c>
      <c r="AS3162">
        <v>0</v>
      </c>
      <c r="AU3162" t="s">
        <v>218</v>
      </c>
    </row>
    <row r="3163" spans="1:47">
      <c r="A3163" s="1">
        <f>HYPERLINK("https://cms.ls-nyc.org/matter/dynamic-profile/view/1878953","18-1878953")</f>
        <v>0</v>
      </c>
      <c r="B3163" t="s">
        <v>80</v>
      </c>
      <c r="C3163" t="s">
        <v>438</v>
      </c>
      <c r="E3163" t="s">
        <v>1988</v>
      </c>
      <c r="F3163" t="s">
        <v>3558</v>
      </c>
      <c r="G3163" t="s">
        <v>4354</v>
      </c>
      <c r="H3163" t="s">
        <v>5372</v>
      </c>
      <c r="I3163" t="s">
        <v>6043</v>
      </c>
      <c r="J3163">
        <v>11221</v>
      </c>
      <c r="K3163" t="s">
        <v>6074</v>
      </c>
      <c r="L3163" t="s">
        <v>6074</v>
      </c>
      <c r="N3163" t="s">
        <v>7273</v>
      </c>
      <c r="O3163" t="s">
        <v>7308</v>
      </c>
      <c r="Q3163" t="s">
        <v>7322</v>
      </c>
      <c r="R3163" t="s">
        <v>6074</v>
      </c>
      <c r="S3163" t="s">
        <v>7324</v>
      </c>
      <c r="U3163" t="s">
        <v>312</v>
      </c>
      <c r="V3163">
        <v>632.48</v>
      </c>
      <c r="W3163" t="s">
        <v>7362</v>
      </c>
      <c r="X3163" t="s">
        <v>7376</v>
      </c>
      <c r="Z3163" t="s">
        <v>9716</v>
      </c>
      <c r="AB3163" t="s">
        <v>12324</v>
      </c>
      <c r="AC3163">
        <v>12</v>
      </c>
      <c r="AD3163" t="s">
        <v>12422</v>
      </c>
      <c r="AE3163" t="s">
        <v>6110</v>
      </c>
      <c r="AF3163">
        <v>18</v>
      </c>
      <c r="AG3163">
        <v>3</v>
      </c>
      <c r="AH3163">
        <v>0</v>
      </c>
      <c r="AI3163">
        <v>409.05</v>
      </c>
      <c r="AL3163" t="s">
        <v>12460</v>
      </c>
      <c r="AM3163">
        <v>85000</v>
      </c>
      <c r="AN3163" t="s">
        <v>12491</v>
      </c>
      <c r="AS3163">
        <v>0</v>
      </c>
      <c r="AU3163" t="s">
        <v>218</v>
      </c>
    </row>
    <row r="3164" spans="1:47">
      <c r="A3164" s="1">
        <f>HYPERLINK("https://cms.ls-nyc.org/matter/dynamic-profile/view/1878946","18-1878946")</f>
        <v>0</v>
      </c>
      <c r="B3164" t="s">
        <v>80</v>
      </c>
      <c r="C3164" t="s">
        <v>438</v>
      </c>
      <c r="D3164" t="s">
        <v>396</v>
      </c>
      <c r="E3164" t="s">
        <v>1988</v>
      </c>
      <c r="F3164" t="s">
        <v>3558</v>
      </c>
      <c r="G3164" t="s">
        <v>4354</v>
      </c>
      <c r="H3164" t="s">
        <v>5372</v>
      </c>
      <c r="I3164" t="s">
        <v>6043</v>
      </c>
      <c r="J3164">
        <v>11221</v>
      </c>
      <c r="K3164" t="s">
        <v>6074</v>
      </c>
      <c r="L3164" t="s">
        <v>6074</v>
      </c>
      <c r="N3164" t="s">
        <v>7275</v>
      </c>
      <c r="O3164" t="s">
        <v>7307</v>
      </c>
      <c r="P3164" t="s">
        <v>7315</v>
      </c>
      <c r="Q3164" t="s">
        <v>7322</v>
      </c>
      <c r="R3164" t="s">
        <v>6074</v>
      </c>
      <c r="S3164" t="s">
        <v>7324</v>
      </c>
      <c r="U3164" t="s">
        <v>289</v>
      </c>
      <c r="V3164">
        <v>632.48</v>
      </c>
      <c r="W3164" t="s">
        <v>7362</v>
      </c>
      <c r="X3164" t="s">
        <v>7376</v>
      </c>
      <c r="Y3164" t="s">
        <v>7394</v>
      </c>
      <c r="Z3164" t="s">
        <v>9716</v>
      </c>
      <c r="AB3164" t="s">
        <v>12324</v>
      </c>
      <c r="AC3164">
        <v>12</v>
      </c>
      <c r="AD3164" t="s">
        <v>12422</v>
      </c>
      <c r="AE3164" t="s">
        <v>6110</v>
      </c>
      <c r="AF3164">
        <v>18</v>
      </c>
      <c r="AG3164">
        <v>3</v>
      </c>
      <c r="AH3164">
        <v>0</v>
      </c>
      <c r="AI3164">
        <v>409.05</v>
      </c>
      <c r="AL3164" t="s">
        <v>12460</v>
      </c>
      <c r="AM3164">
        <v>85000</v>
      </c>
      <c r="AS3164">
        <v>0.08</v>
      </c>
      <c r="AT3164" t="s">
        <v>466</v>
      </c>
      <c r="AU3164" t="s">
        <v>218</v>
      </c>
    </row>
    <row r="3165" spans="1:47">
      <c r="A3165" s="1">
        <f>HYPERLINK("https://cms.ls-nyc.org/matter/dynamic-profile/view/1885720","18-1885720")</f>
        <v>0</v>
      </c>
      <c r="B3165" t="s">
        <v>102</v>
      </c>
      <c r="C3165" t="s">
        <v>344</v>
      </c>
      <c r="E3165" t="s">
        <v>1992</v>
      </c>
      <c r="F3165" t="s">
        <v>1954</v>
      </c>
      <c r="G3165" t="s">
        <v>3779</v>
      </c>
      <c r="H3165" t="s">
        <v>5435</v>
      </c>
      <c r="I3165" t="s">
        <v>6047</v>
      </c>
      <c r="J3165">
        <v>10460</v>
      </c>
      <c r="K3165" t="s">
        <v>6074</v>
      </c>
      <c r="L3165" t="s">
        <v>6074</v>
      </c>
      <c r="M3165" t="s">
        <v>6182</v>
      </c>
      <c r="N3165" t="s">
        <v>7273</v>
      </c>
      <c r="O3165" t="s">
        <v>7308</v>
      </c>
      <c r="Q3165" t="s">
        <v>7322</v>
      </c>
      <c r="R3165" t="s">
        <v>6074</v>
      </c>
      <c r="S3165" t="s">
        <v>7324</v>
      </c>
      <c r="U3165" t="s">
        <v>457</v>
      </c>
      <c r="V3165">
        <v>1169</v>
      </c>
      <c r="W3165" t="s">
        <v>7363</v>
      </c>
      <c r="X3165" t="s">
        <v>7376</v>
      </c>
      <c r="Z3165" t="s">
        <v>9727</v>
      </c>
      <c r="AC3165">
        <v>168</v>
      </c>
      <c r="AD3165" t="s">
        <v>12425</v>
      </c>
      <c r="AE3165" t="s">
        <v>7305</v>
      </c>
      <c r="AF3165">
        <v>11</v>
      </c>
      <c r="AG3165">
        <v>1</v>
      </c>
      <c r="AH3165">
        <v>0</v>
      </c>
      <c r="AI3165">
        <v>411.86</v>
      </c>
      <c r="AL3165" t="s">
        <v>12460</v>
      </c>
      <c r="AM3165">
        <v>50000</v>
      </c>
      <c r="AS3165">
        <v>0</v>
      </c>
      <c r="AU3165" t="s">
        <v>13092</v>
      </c>
    </row>
    <row r="3166" spans="1:47">
      <c r="A3166" s="1">
        <f>HYPERLINK("https://cms.ls-nyc.org/matter/dynamic-profile/view/1883414","18-1883414")</f>
        <v>0</v>
      </c>
      <c r="B3166" t="s">
        <v>109</v>
      </c>
      <c r="C3166" t="s">
        <v>411</v>
      </c>
      <c r="E3166" t="s">
        <v>1139</v>
      </c>
      <c r="F3166" t="s">
        <v>2546</v>
      </c>
      <c r="G3166" t="s">
        <v>3809</v>
      </c>
      <c r="H3166" t="s">
        <v>5400</v>
      </c>
      <c r="I3166" t="s">
        <v>6047</v>
      </c>
      <c r="J3166">
        <v>10452</v>
      </c>
      <c r="K3166" t="s">
        <v>6074</v>
      </c>
      <c r="L3166" t="s">
        <v>6074</v>
      </c>
      <c r="M3166" t="s">
        <v>6658</v>
      </c>
      <c r="N3166" t="s">
        <v>7273</v>
      </c>
      <c r="O3166" t="s">
        <v>7308</v>
      </c>
      <c r="Q3166" t="s">
        <v>7322</v>
      </c>
      <c r="R3166" t="s">
        <v>6074</v>
      </c>
      <c r="S3166" t="s">
        <v>7324</v>
      </c>
      <c r="U3166" t="s">
        <v>472</v>
      </c>
      <c r="V3166">
        <v>1164.24</v>
      </c>
      <c r="W3166" t="s">
        <v>7363</v>
      </c>
      <c r="X3166" t="s">
        <v>7375</v>
      </c>
      <c r="Z3166" t="s">
        <v>9721</v>
      </c>
      <c r="AB3166" t="s">
        <v>12328</v>
      </c>
      <c r="AC3166">
        <v>41</v>
      </c>
      <c r="AD3166" t="s">
        <v>12430</v>
      </c>
      <c r="AE3166" t="s">
        <v>6110</v>
      </c>
      <c r="AF3166">
        <v>6</v>
      </c>
      <c r="AG3166">
        <v>1</v>
      </c>
      <c r="AH3166">
        <v>0</v>
      </c>
      <c r="AI3166">
        <v>411.86</v>
      </c>
      <c r="AL3166" t="s">
        <v>12460</v>
      </c>
      <c r="AM3166">
        <v>50000</v>
      </c>
      <c r="AS3166">
        <v>60.75</v>
      </c>
      <c r="AT3166" t="s">
        <v>302</v>
      </c>
      <c r="AU3166" t="s">
        <v>13092</v>
      </c>
    </row>
    <row r="3167" spans="1:47">
      <c r="A3167" s="1">
        <f>HYPERLINK("https://cms.ls-nyc.org/matter/dynamic-profile/view/1880625","18-1880625")</f>
        <v>0</v>
      </c>
      <c r="B3167" t="s">
        <v>128</v>
      </c>
      <c r="C3167" t="s">
        <v>360</v>
      </c>
      <c r="D3167" t="s">
        <v>360</v>
      </c>
      <c r="E3167" t="s">
        <v>1711</v>
      </c>
      <c r="F3167" t="s">
        <v>3359</v>
      </c>
      <c r="G3167" t="s">
        <v>3842</v>
      </c>
      <c r="H3167" t="s">
        <v>6003</v>
      </c>
      <c r="I3167" t="s">
        <v>6049</v>
      </c>
      <c r="J3167">
        <v>10033</v>
      </c>
      <c r="K3167" t="s">
        <v>6074</v>
      </c>
      <c r="L3167" t="s">
        <v>6074</v>
      </c>
      <c r="N3167" t="s">
        <v>6104</v>
      </c>
      <c r="O3167" t="s">
        <v>7306</v>
      </c>
      <c r="P3167" t="s">
        <v>7314</v>
      </c>
      <c r="Q3167" t="s">
        <v>7322</v>
      </c>
      <c r="R3167" t="s">
        <v>6074</v>
      </c>
      <c r="S3167" t="s">
        <v>7324</v>
      </c>
      <c r="U3167" t="s">
        <v>360</v>
      </c>
      <c r="V3167">
        <v>1407.82</v>
      </c>
      <c r="W3167" t="s">
        <v>7365</v>
      </c>
      <c r="X3167" t="s">
        <v>7367</v>
      </c>
      <c r="Y3167" t="s">
        <v>7386</v>
      </c>
      <c r="Z3167" t="s">
        <v>9728</v>
      </c>
      <c r="AB3167" t="s">
        <v>12330</v>
      </c>
      <c r="AC3167">
        <v>232</v>
      </c>
      <c r="AD3167" t="s">
        <v>12422</v>
      </c>
      <c r="AE3167" t="s">
        <v>12441</v>
      </c>
      <c r="AF3167">
        <v>38</v>
      </c>
      <c r="AG3167">
        <v>1</v>
      </c>
      <c r="AH3167">
        <v>0</v>
      </c>
      <c r="AI3167">
        <v>411.86</v>
      </c>
      <c r="AL3167" t="s">
        <v>12460</v>
      </c>
      <c r="AM3167">
        <v>50000</v>
      </c>
      <c r="AS3167">
        <v>2.2</v>
      </c>
      <c r="AT3167" t="s">
        <v>360</v>
      </c>
      <c r="AU3167" t="s">
        <v>13106</v>
      </c>
    </row>
    <row r="3168" spans="1:47">
      <c r="A3168" s="1">
        <f>HYPERLINK("https://cms.ls-nyc.org/matter/dynamic-profile/view/1892433","19-1892433")</f>
        <v>0</v>
      </c>
      <c r="B3168" t="s">
        <v>96</v>
      </c>
      <c r="C3168" t="s">
        <v>337</v>
      </c>
      <c r="E3168" t="s">
        <v>1069</v>
      </c>
      <c r="F3168" t="s">
        <v>3564</v>
      </c>
      <c r="G3168" t="s">
        <v>4396</v>
      </c>
      <c r="H3168" t="s">
        <v>5400</v>
      </c>
      <c r="I3168" t="s">
        <v>6047</v>
      </c>
      <c r="J3168">
        <v>10453</v>
      </c>
      <c r="K3168" t="s">
        <v>6074</v>
      </c>
      <c r="L3168" t="s">
        <v>6074</v>
      </c>
      <c r="N3168" t="s">
        <v>7279</v>
      </c>
      <c r="O3168" t="s">
        <v>7311</v>
      </c>
      <c r="Q3168" t="s">
        <v>7322</v>
      </c>
      <c r="R3168" t="s">
        <v>6074</v>
      </c>
      <c r="S3168" t="s">
        <v>7324</v>
      </c>
      <c r="U3168" t="s">
        <v>457</v>
      </c>
      <c r="V3168">
        <v>1325</v>
      </c>
      <c r="W3168" t="s">
        <v>7363</v>
      </c>
      <c r="X3168" t="s">
        <v>7375</v>
      </c>
      <c r="Z3168" t="s">
        <v>9729</v>
      </c>
      <c r="AB3168" t="s">
        <v>12331</v>
      </c>
      <c r="AC3168">
        <v>170</v>
      </c>
      <c r="AD3168" t="s">
        <v>12422</v>
      </c>
      <c r="AE3168" t="s">
        <v>6110</v>
      </c>
      <c r="AF3168">
        <v>1</v>
      </c>
      <c r="AG3168">
        <v>1</v>
      </c>
      <c r="AH3168">
        <v>0</v>
      </c>
      <c r="AI3168">
        <v>412.33</v>
      </c>
      <c r="AL3168" t="s">
        <v>12460</v>
      </c>
      <c r="AM3168">
        <v>51500</v>
      </c>
      <c r="AS3168">
        <v>0</v>
      </c>
      <c r="AU3168" t="s">
        <v>13093</v>
      </c>
    </row>
    <row r="3169" spans="1:48">
      <c r="A3169" s="1">
        <f>HYPERLINK("https://cms.ls-nyc.org/matter/dynamic-profile/view/1892158","19-1892158")</f>
        <v>0</v>
      </c>
      <c r="B3169" t="s">
        <v>96</v>
      </c>
      <c r="C3169" t="s">
        <v>405</v>
      </c>
      <c r="E3169" t="s">
        <v>1069</v>
      </c>
      <c r="F3169" t="s">
        <v>3564</v>
      </c>
      <c r="G3169" t="s">
        <v>4396</v>
      </c>
      <c r="H3169" t="s">
        <v>5400</v>
      </c>
      <c r="I3169" t="s">
        <v>6047</v>
      </c>
      <c r="J3169">
        <v>10453</v>
      </c>
      <c r="K3169" t="s">
        <v>6074</v>
      </c>
      <c r="L3169" t="s">
        <v>6074</v>
      </c>
      <c r="M3169" t="s">
        <v>6259</v>
      </c>
      <c r="N3169" t="s">
        <v>7273</v>
      </c>
      <c r="O3169" t="s">
        <v>7308</v>
      </c>
      <c r="Q3169" t="s">
        <v>7322</v>
      </c>
      <c r="R3169" t="s">
        <v>6074</v>
      </c>
      <c r="S3169" t="s">
        <v>7324</v>
      </c>
      <c r="U3169" t="s">
        <v>457</v>
      </c>
      <c r="V3169">
        <v>1325</v>
      </c>
      <c r="W3169" t="s">
        <v>7363</v>
      </c>
      <c r="X3169" t="s">
        <v>7375</v>
      </c>
      <c r="Z3169" t="s">
        <v>9729</v>
      </c>
      <c r="AB3169" t="s">
        <v>12331</v>
      </c>
      <c r="AC3169">
        <v>170</v>
      </c>
      <c r="AD3169" t="s">
        <v>12422</v>
      </c>
      <c r="AF3169">
        <v>1</v>
      </c>
      <c r="AG3169">
        <v>1</v>
      </c>
      <c r="AH3169">
        <v>0</v>
      </c>
      <c r="AI3169">
        <v>412.33</v>
      </c>
      <c r="AL3169" t="s">
        <v>12460</v>
      </c>
      <c r="AM3169">
        <v>51500</v>
      </c>
      <c r="AS3169">
        <v>0</v>
      </c>
      <c r="AU3169" t="s">
        <v>13093</v>
      </c>
    </row>
    <row r="3170" spans="1:48">
      <c r="A3170" s="1">
        <f>HYPERLINK("https://cms.ls-nyc.org/matter/dynamic-profile/view/1877573","18-1877573")</f>
        <v>0</v>
      </c>
      <c r="B3170" t="s">
        <v>52</v>
      </c>
      <c r="C3170" t="s">
        <v>372</v>
      </c>
      <c r="D3170" t="s">
        <v>291</v>
      </c>
      <c r="E3170" t="s">
        <v>1993</v>
      </c>
      <c r="F3170" t="s">
        <v>3565</v>
      </c>
      <c r="G3170" t="s">
        <v>5314</v>
      </c>
      <c r="H3170" t="s">
        <v>5347</v>
      </c>
      <c r="I3170" t="s">
        <v>6053</v>
      </c>
      <c r="J3170">
        <v>11364</v>
      </c>
      <c r="K3170" t="s">
        <v>6074</v>
      </c>
      <c r="L3170" t="s">
        <v>6074</v>
      </c>
      <c r="M3170" t="s">
        <v>6110</v>
      </c>
      <c r="N3170" t="s">
        <v>6104</v>
      </c>
      <c r="O3170" t="s">
        <v>7306</v>
      </c>
      <c r="P3170" t="s">
        <v>7314</v>
      </c>
      <c r="Q3170" t="s">
        <v>7323</v>
      </c>
      <c r="R3170" t="s">
        <v>6076</v>
      </c>
      <c r="S3170" t="s">
        <v>7324</v>
      </c>
      <c r="T3170" t="s">
        <v>7336</v>
      </c>
      <c r="U3170" t="s">
        <v>372</v>
      </c>
      <c r="V3170">
        <v>0</v>
      </c>
      <c r="W3170" t="s">
        <v>7361</v>
      </c>
      <c r="X3170" t="s">
        <v>7369</v>
      </c>
      <c r="Y3170" t="s">
        <v>7386</v>
      </c>
      <c r="Z3170" t="s">
        <v>9730</v>
      </c>
      <c r="AA3170" t="s">
        <v>6110</v>
      </c>
      <c r="AB3170" t="s">
        <v>12332</v>
      </c>
      <c r="AC3170">
        <v>194</v>
      </c>
      <c r="AD3170" t="s">
        <v>12424</v>
      </c>
      <c r="AE3170" t="s">
        <v>6110</v>
      </c>
      <c r="AF3170">
        <v>2</v>
      </c>
      <c r="AG3170">
        <v>2</v>
      </c>
      <c r="AH3170">
        <v>0</v>
      </c>
      <c r="AI3170">
        <v>413.12</v>
      </c>
      <c r="AJ3170" t="s">
        <v>12443</v>
      </c>
      <c r="AK3170" t="s">
        <v>12455</v>
      </c>
      <c r="AL3170" t="s">
        <v>12460</v>
      </c>
      <c r="AM3170">
        <v>68000</v>
      </c>
      <c r="AS3170">
        <v>0.8</v>
      </c>
      <c r="AT3170" t="s">
        <v>291</v>
      </c>
      <c r="AU3170" t="s">
        <v>52</v>
      </c>
    </row>
    <row r="3171" spans="1:48">
      <c r="A3171" s="1">
        <f>HYPERLINK("https://cms.ls-nyc.org/matter/dynamic-profile/view/1876342","18-1876342")</f>
        <v>0</v>
      </c>
      <c r="B3171" t="s">
        <v>128</v>
      </c>
      <c r="C3171" t="s">
        <v>253</v>
      </c>
      <c r="D3171" t="s">
        <v>561</v>
      </c>
      <c r="E3171" t="s">
        <v>782</v>
      </c>
      <c r="F3171" t="s">
        <v>3566</v>
      </c>
      <c r="G3171" t="s">
        <v>5315</v>
      </c>
      <c r="H3171" t="s">
        <v>5446</v>
      </c>
      <c r="I3171" t="s">
        <v>6049</v>
      </c>
      <c r="J3171">
        <v>10034</v>
      </c>
      <c r="K3171" t="s">
        <v>6074</v>
      </c>
      <c r="L3171" t="s">
        <v>6074</v>
      </c>
      <c r="O3171" t="s">
        <v>7306</v>
      </c>
      <c r="P3171" t="s">
        <v>7314</v>
      </c>
      <c r="Q3171" t="s">
        <v>7322</v>
      </c>
      <c r="R3171" t="s">
        <v>6076</v>
      </c>
      <c r="S3171" t="s">
        <v>7324</v>
      </c>
      <c r="U3171" t="s">
        <v>253</v>
      </c>
      <c r="V3171">
        <v>1795</v>
      </c>
      <c r="W3171" t="s">
        <v>7365</v>
      </c>
      <c r="X3171" t="s">
        <v>7367</v>
      </c>
      <c r="Y3171" t="s">
        <v>7386</v>
      </c>
      <c r="Z3171" t="s">
        <v>9731</v>
      </c>
      <c r="AB3171" t="s">
        <v>12333</v>
      </c>
      <c r="AC3171">
        <v>28</v>
      </c>
      <c r="AD3171" t="s">
        <v>12422</v>
      </c>
      <c r="AE3171" t="s">
        <v>6110</v>
      </c>
      <c r="AF3171">
        <v>2</v>
      </c>
      <c r="AG3171">
        <v>2</v>
      </c>
      <c r="AH3171">
        <v>0</v>
      </c>
      <c r="AI3171">
        <v>413.12</v>
      </c>
      <c r="AL3171" t="s">
        <v>12460</v>
      </c>
      <c r="AM3171">
        <v>68000</v>
      </c>
      <c r="AS3171">
        <v>2.3</v>
      </c>
      <c r="AT3171" t="s">
        <v>561</v>
      </c>
      <c r="AU3171" t="s">
        <v>13106</v>
      </c>
    </row>
    <row r="3172" spans="1:48">
      <c r="A3172" s="1">
        <f>HYPERLINK("https://cms.ls-nyc.org/matter/dynamic-profile/view/1897686","19-1897686")</f>
        <v>0</v>
      </c>
      <c r="B3172" t="s">
        <v>126</v>
      </c>
      <c r="C3172" t="s">
        <v>263</v>
      </c>
      <c r="E3172" t="s">
        <v>1994</v>
      </c>
      <c r="F3172" t="s">
        <v>1932</v>
      </c>
      <c r="G3172" t="s">
        <v>4479</v>
      </c>
      <c r="H3172" t="s">
        <v>5405</v>
      </c>
      <c r="I3172" t="s">
        <v>6049</v>
      </c>
      <c r="J3172">
        <v>10035</v>
      </c>
      <c r="K3172" t="s">
        <v>6074</v>
      </c>
      <c r="L3172" t="s">
        <v>6074</v>
      </c>
      <c r="N3172" t="s">
        <v>6104</v>
      </c>
      <c r="O3172" t="s">
        <v>7307</v>
      </c>
      <c r="Q3172" t="s">
        <v>7322</v>
      </c>
      <c r="R3172" t="s">
        <v>6074</v>
      </c>
      <c r="S3172" t="s">
        <v>7324</v>
      </c>
      <c r="T3172" t="s">
        <v>7336</v>
      </c>
      <c r="U3172" t="s">
        <v>279</v>
      </c>
      <c r="V3172">
        <v>1230</v>
      </c>
      <c r="W3172" t="s">
        <v>7365</v>
      </c>
      <c r="X3172" t="s">
        <v>7375</v>
      </c>
      <c r="Z3172" t="s">
        <v>9171</v>
      </c>
      <c r="AB3172" t="s">
        <v>12334</v>
      </c>
      <c r="AC3172">
        <v>60</v>
      </c>
      <c r="AD3172" t="s">
        <v>12425</v>
      </c>
      <c r="AE3172" t="s">
        <v>6110</v>
      </c>
      <c r="AF3172">
        <v>8</v>
      </c>
      <c r="AG3172">
        <v>2</v>
      </c>
      <c r="AH3172">
        <v>0</v>
      </c>
      <c r="AI3172">
        <v>413.96</v>
      </c>
      <c r="AL3172" t="s">
        <v>12460</v>
      </c>
      <c r="AM3172">
        <v>70000</v>
      </c>
      <c r="AS3172">
        <v>0</v>
      </c>
      <c r="AU3172" t="s">
        <v>13107</v>
      </c>
    </row>
    <row r="3173" spans="1:48">
      <c r="A3173" s="1">
        <f>HYPERLINK("https://cms.ls-nyc.org/matter/dynamic-profile/view/1891586","19-1891586")</f>
        <v>0</v>
      </c>
      <c r="B3173" t="s">
        <v>72</v>
      </c>
      <c r="C3173" t="s">
        <v>364</v>
      </c>
      <c r="E3173" t="s">
        <v>1995</v>
      </c>
      <c r="F3173" t="s">
        <v>3567</v>
      </c>
      <c r="G3173" t="s">
        <v>3701</v>
      </c>
      <c r="H3173" t="s">
        <v>5441</v>
      </c>
      <c r="I3173" t="s">
        <v>6043</v>
      </c>
      <c r="J3173">
        <v>11233</v>
      </c>
      <c r="K3173" t="s">
        <v>6074</v>
      </c>
      <c r="L3173" t="s">
        <v>6076</v>
      </c>
      <c r="M3173" t="s">
        <v>6110</v>
      </c>
      <c r="N3173" t="s">
        <v>7279</v>
      </c>
      <c r="O3173" t="s">
        <v>7311</v>
      </c>
      <c r="Q3173" t="s">
        <v>7322</v>
      </c>
      <c r="R3173" t="s">
        <v>6074</v>
      </c>
      <c r="S3173" t="s">
        <v>7324</v>
      </c>
      <c r="T3173" t="s">
        <v>7336</v>
      </c>
      <c r="U3173" t="s">
        <v>330</v>
      </c>
      <c r="V3173">
        <v>1485</v>
      </c>
      <c r="W3173" t="s">
        <v>7362</v>
      </c>
      <c r="Z3173" t="s">
        <v>9732</v>
      </c>
      <c r="AC3173">
        <v>359</v>
      </c>
      <c r="AD3173" t="s">
        <v>12422</v>
      </c>
      <c r="AF3173">
        <v>2</v>
      </c>
      <c r="AG3173">
        <v>1</v>
      </c>
      <c r="AH3173">
        <v>0</v>
      </c>
      <c r="AI3173">
        <v>416.33</v>
      </c>
      <c r="AL3173" t="s">
        <v>12460</v>
      </c>
      <c r="AM3173">
        <v>52000</v>
      </c>
      <c r="AN3173" t="s">
        <v>12486</v>
      </c>
      <c r="AS3173">
        <v>0</v>
      </c>
      <c r="AU3173" t="s">
        <v>218</v>
      </c>
    </row>
    <row r="3174" spans="1:48">
      <c r="A3174" s="1">
        <f>HYPERLINK("https://cms.ls-nyc.org/matter/dynamic-profile/view/1891589","19-1891589")</f>
        <v>0</v>
      </c>
      <c r="B3174" t="s">
        <v>72</v>
      </c>
      <c r="C3174" t="s">
        <v>364</v>
      </c>
      <c r="E3174" t="s">
        <v>1995</v>
      </c>
      <c r="F3174" t="s">
        <v>3567</v>
      </c>
      <c r="G3174" t="s">
        <v>3701</v>
      </c>
      <c r="H3174" t="s">
        <v>5441</v>
      </c>
      <c r="I3174" t="s">
        <v>6043</v>
      </c>
      <c r="J3174">
        <v>11233</v>
      </c>
      <c r="K3174" t="s">
        <v>6074</v>
      </c>
      <c r="L3174" t="s">
        <v>6076</v>
      </c>
      <c r="M3174" t="s">
        <v>6110</v>
      </c>
      <c r="N3174" t="s">
        <v>7275</v>
      </c>
      <c r="O3174" t="s">
        <v>7307</v>
      </c>
      <c r="Q3174" t="s">
        <v>7322</v>
      </c>
      <c r="R3174" t="s">
        <v>6074</v>
      </c>
      <c r="S3174" t="s">
        <v>7324</v>
      </c>
      <c r="T3174" t="s">
        <v>7336</v>
      </c>
      <c r="U3174" t="s">
        <v>287</v>
      </c>
      <c r="V3174">
        <v>1485</v>
      </c>
      <c r="W3174" t="s">
        <v>7362</v>
      </c>
      <c r="Z3174" t="s">
        <v>9732</v>
      </c>
      <c r="AC3174">
        <v>359</v>
      </c>
      <c r="AD3174" t="s">
        <v>12422</v>
      </c>
      <c r="AF3174">
        <v>2</v>
      </c>
      <c r="AG3174">
        <v>1</v>
      </c>
      <c r="AH3174">
        <v>0</v>
      </c>
      <c r="AI3174">
        <v>416.33</v>
      </c>
      <c r="AL3174" t="s">
        <v>12460</v>
      </c>
      <c r="AM3174">
        <v>52000</v>
      </c>
      <c r="AN3174" t="s">
        <v>12808</v>
      </c>
      <c r="AS3174">
        <v>0</v>
      </c>
      <c r="AU3174" t="s">
        <v>218</v>
      </c>
    </row>
    <row r="3175" spans="1:48">
      <c r="A3175" s="1">
        <f>HYPERLINK("https://cms.ls-nyc.org/matter/dynamic-profile/view/1891044","19-1891044")</f>
        <v>0</v>
      </c>
      <c r="B3175" t="s">
        <v>133</v>
      </c>
      <c r="C3175" t="s">
        <v>393</v>
      </c>
      <c r="E3175" t="s">
        <v>1996</v>
      </c>
      <c r="F3175" t="s">
        <v>3568</v>
      </c>
      <c r="G3175" t="s">
        <v>4839</v>
      </c>
      <c r="H3175" t="s">
        <v>5529</v>
      </c>
      <c r="I3175" t="s">
        <v>6049</v>
      </c>
      <c r="J3175">
        <v>10033</v>
      </c>
      <c r="K3175" t="s">
        <v>6074</v>
      </c>
      <c r="L3175" t="s">
        <v>6074</v>
      </c>
      <c r="O3175" t="s">
        <v>7306</v>
      </c>
      <c r="Q3175" t="s">
        <v>7322</v>
      </c>
      <c r="R3175" t="s">
        <v>6074</v>
      </c>
      <c r="S3175" t="s">
        <v>7324</v>
      </c>
      <c r="U3175" t="s">
        <v>393</v>
      </c>
      <c r="V3175">
        <v>1900</v>
      </c>
      <c r="W3175" t="s">
        <v>7365</v>
      </c>
      <c r="X3175" t="s">
        <v>7371</v>
      </c>
      <c r="Z3175" t="s">
        <v>9733</v>
      </c>
      <c r="AB3175" t="s">
        <v>12335</v>
      </c>
      <c r="AC3175">
        <v>60</v>
      </c>
      <c r="AD3175" t="s">
        <v>12422</v>
      </c>
      <c r="AE3175" t="s">
        <v>6110</v>
      </c>
      <c r="AF3175">
        <v>8</v>
      </c>
      <c r="AG3175">
        <v>1</v>
      </c>
      <c r="AH3175">
        <v>0</v>
      </c>
      <c r="AI3175">
        <v>416.33</v>
      </c>
      <c r="AJ3175" t="s">
        <v>234</v>
      </c>
      <c r="AK3175" t="s">
        <v>12456</v>
      </c>
      <c r="AL3175" t="s">
        <v>12460</v>
      </c>
      <c r="AM3175">
        <v>52000</v>
      </c>
      <c r="AS3175">
        <v>0</v>
      </c>
      <c r="AU3175" t="s">
        <v>13106</v>
      </c>
    </row>
    <row r="3176" spans="1:48">
      <c r="A3176" s="1">
        <f>HYPERLINK("https://cms.ls-nyc.org/matter/dynamic-profile/view/1881067","18-1881067")</f>
        <v>0</v>
      </c>
      <c r="B3176" t="s">
        <v>82</v>
      </c>
      <c r="C3176" t="s">
        <v>464</v>
      </c>
      <c r="E3176" t="s">
        <v>637</v>
      </c>
      <c r="F3176" t="s">
        <v>2285</v>
      </c>
      <c r="G3176" t="s">
        <v>3937</v>
      </c>
      <c r="H3176" t="s">
        <v>5438</v>
      </c>
      <c r="I3176" t="s">
        <v>6043</v>
      </c>
      <c r="J3176">
        <v>11226</v>
      </c>
      <c r="K3176" t="s">
        <v>6074</v>
      </c>
      <c r="L3176" t="s">
        <v>6074</v>
      </c>
      <c r="M3176" t="s">
        <v>7214</v>
      </c>
      <c r="N3176" t="s">
        <v>7273</v>
      </c>
      <c r="O3176" t="s">
        <v>7308</v>
      </c>
      <c r="Q3176" t="s">
        <v>7322</v>
      </c>
      <c r="R3176" t="s">
        <v>6074</v>
      </c>
      <c r="S3176" t="s">
        <v>7324</v>
      </c>
      <c r="U3176" t="s">
        <v>464</v>
      </c>
      <c r="V3176">
        <v>1632</v>
      </c>
      <c r="W3176" t="s">
        <v>7362</v>
      </c>
      <c r="Z3176" t="s">
        <v>9734</v>
      </c>
      <c r="AB3176" t="s">
        <v>12336</v>
      </c>
      <c r="AC3176">
        <v>6</v>
      </c>
      <c r="AF3176">
        <v>2</v>
      </c>
      <c r="AG3176">
        <v>1</v>
      </c>
      <c r="AH3176">
        <v>0</v>
      </c>
      <c r="AI3176">
        <v>417.63</v>
      </c>
      <c r="AL3176" t="s">
        <v>12460</v>
      </c>
      <c r="AM3176">
        <v>50700</v>
      </c>
      <c r="AS3176">
        <v>0</v>
      </c>
      <c r="AU3176" t="s">
        <v>13084</v>
      </c>
    </row>
    <row r="3177" spans="1:48">
      <c r="A3177" s="1">
        <f>HYPERLINK("https://cms.ls-nyc.org/matter/dynamic-profile/view/1885229","18-1885229")</f>
        <v>0</v>
      </c>
      <c r="B3177" t="s">
        <v>126</v>
      </c>
      <c r="C3177" t="s">
        <v>341</v>
      </c>
      <c r="E3177" t="s">
        <v>1590</v>
      </c>
      <c r="F3177" t="s">
        <v>3569</v>
      </c>
      <c r="G3177" t="s">
        <v>4323</v>
      </c>
      <c r="H3177">
        <v>64</v>
      </c>
      <c r="I3177" t="s">
        <v>6049</v>
      </c>
      <c r="J3177">
        <v>10039</v>
      </c>
      <c r="K3177" t="s">
        <v>6074</v>
      </c>
      <c r="L3177" t="s">
        <v>6074</v>
      </c>
      <c r="M3177" t="s">
        <v>6569</v>
      </c>
      <c r="N3177" t="s">
        <v>7273</v>
      </c>
      <c r="O3177" t="s">
        <v>7308</v>
      </c>
      <c r="Q3177" t="s">
        <v>7322</v>
      </c>
      <c r="R3177" t="s">
        <v>6074</v>
      </c>
      <c r="S3177" t="s">
        <v>7324</v>
      </c>
      <c r="T3177" t="s">
        <v>7336</v>
      </c>
      <c r="U3177" t="s">
        <v>341</v>
      </c>
      <c r="V3177">
        <v>611.4400000000001</v>
      </c>
      <c r="W3177" t="s">
        <v>7365</v>
      </c>
      <c r="X3177" t="s">
        <v>7375</v>
      </c>
      <c r="Z3177" t="s">
        <v>9735</v>
      </c>
      <c r="AB3177" t="s">
        <v>12337</v>
      </c>
      <c r="AC3177">
        <v>245</v>
      </c>
      <c r="AD3177" t="s">
        <v>12422</v>
      </c>
      <c r="AE3177" t="s">
        <v>6110</v>
      </c>
      <c r="AF3177">
        <v>39</v>
      </c>
      <c r="AG3177">
        <v>2</v>
      </c>
      <c r="AH3177">
        <v>0</v>
      </c>
      <c r="AI3177">
        <v>419.2</v>
      </c>
      <c r="AL3177" t="s">
        <v>12460</v>
      </c>
      <c r="AM3177">
        <v>69000</v>
      </c>
      <c r="AS3177">
        <v>0</v>
      </c>
      <c r="AU3177" t="s">
        <v>13107</v>
      </c>
    </row>
    <row r="3178" spans="1:48">
      <c r="A3178" s="1">
        <f>HYPERLINK("https://cms.ls-nyc.org/matter/dynamic-profile/view/1900516","19-1900516")</f>
        <v>0</v>
      </c>
      <c r="B3178" t="s">
        <v>134</v>
      </c>
      <c r="C3178" t="s">
        <v>260</v>
      </c>
      <c r="E3178" t="s">
        <v>1997</v>
      </c>
      <c r="F3178" t="s">
        <v>3570</v>
      </c>
      <c r="G3178" t="s">
        <v>4472</v>
      </c>
      <c r="H3178" t="s">
        <v>5373</v>
      </c>
      <c r="I3178" t="s">
        <v>6049</v>
      </c>
      <c r="J3178">
        <v>10035</v>
      </c>
      <c r="K3178" t="s">
        <v>6074</v>
      </c>
      <c r="L3178" t="s">
        <v>6075</v>
      </c>
      <c r="M3178" t="s">
        <v>7261</v>
      </c>
      <c r="N3178" t="s">
        <v>7276</v>
      </c>
      <c r="O3178" t="s">
        <v>7308</v>
      </c>
      <c r="Q3178" t="s">
        <v>7322</v>
      </c>
      <c r="R3178" t="s">
        <v>6076</v>
      </c>
      <c r="S3178" t="s">
        <v>7324</v>
      </c>
      <c r="T3178" t="s">
        <v>7336</v>
      </c>
      <c r="U3178" t="s">
        <v>363</v>
      </c>
      <c r="V3178">
        <v>1574.13</v>
      </c>
      <c r="W3178" t="s">
        <v>7365</v>
      </c>
      <c r="X3178" t="s">
        <v>7368</v>
      </c>
      <c r="Z3178" t="s">
        <v>9736</v>
      </c>
      <c r="AC3178">
        <v>25</v>
      </c>
      <c r="AD3178" t="s">
        <v>12422</v>
      </c>
      <c r="AE3178" t="s">
        <v>6110</v>
      </c>
      <c r="AF3178">
        <v>19</v>
      </c>
      <c r="AG3178">
        <v>4</v>
      </c>
      <c r="AH3178">
        <v>0</v>
      </c>
      <c r="AI3178">
        <v>419.42</v>
      </c>
      <c r="AL3178" t="s">
        <v>12460</v>
      </c>
      <c r="AM3178">
        <v>108000</v>
      </c>
      <c r="AS3178">
        <v>0</v>
      </c>
      <c r="AU3178" t="s">
        <v>13107</v>
      </c>
      <c r="AV3178" t="s">
        <v>13145</v>
      </c>
    </row>
    <row r="3179" spans="1:48">
      <c r="A3179" s="1">
        <f>HYPERLINK("https://cms.ls-nyc.org/matter/dynamic-profile/view/1889601","19-1889601")</f>
        <v>0</v>
      </c>
      <c r="B3179" t="s">
        <v>76</v>
      </c>
      <c r="C3179" t="s">
        <v>285</v>
      </c>
      <c r="E3179" t="s">
        <v>1998</v>
      </c>
      <c r="F3179" t="s">
        <v>3571</v>
      </c>
      <c r="G3179" t="s">
        <v>5316</v>
      </c>
      <c r="H3179" t="s">
        <v>5355</v>
      </c>
      <c r="I3179" t="s">
        <v>6043</v>
      </c>
      <c r="J3179">
        <v>11239</v>
      </c>
      <c r="K3179" t="s">
        <v>6074</v>
      </c>
      <c r="L3179" t="s">
        <v>6075</v>
      </c>
      <c r="M3179" t="s">
        <v>7262</v>
      </c>
      <c r="N3179" t="s">
        <v>7276</v>
      </c>
      <c r="O3179" t="s">
        <v>7310</v>
      </c>
      <c r="Q3179" t="s">
        <v>7322</v>
      </c>
      <c r="S3179" t="s">
        <v>7324</v>
      </c>
      <c r="U3179" t="s">
        <v>285</v>
      </c>
      <c r="V3179">
        <v>1480</v>
      </c>
      <c r="W3179" t="s">
        <v>7362</v>
      </c>
      <c r="X3179" t="s">
        <v>7376</v>
      </c>
      <c r="Z3179" t="s">
        <v>9737</v>
      </c>
      <c r="AA3179" t="s">
        <v>10293</v>
      </c>
      <c r="AB3179" t="s">
        <v>12338</v>
      </c>
      <c r="AC3179">
        <v>60</v>
      </c>
      <c r="AD3179" t="s">
        <v>6322</v>
      </c>
      <c r="AF3179">
        <v>11</v>
      </c>
      <c r="AG3179">
        <v>2</v>
      </c>
      <c r="AH3179">
        <v>0</v>
      </c>
      <c r="AI3179">
        <v>419.87</v>
      </c>
      <c r="AJ3179" t="s">
        <v>12449</v>
      </c>
      <c r="AK3179" t="s">
        <v>12456</v>
      </c>
      <c r="AL3179" t="s">
        <v>12460</v>
      </c>
      <c r="AM3179">
        <v>71000</v>
      </c>
      <c r="AS3179">
        <v>1.5</v>
      </c>
      <c r="AT3179" t="s">
        <v>285</v>
      </c>
      <c r="AU3179" t="s">
        <v>13084</v>
      </c>
    </row>
    <row r="3180" spans="1:48">
      <c r="A3180" s="1">
        <f>HYPERLINK("https://cms.ls-nyc.org/matter/dynamic-profile/view/1895980","19-1895980")</f>
        <v>0</v>
      </c>
      <c r="B3180" t="s">
        <v>116</v>
      </c>
      <c r="C3180" t="s">
        <v>315</v>
      </c>
      <c r="D3180" t="s">
        <v>343</v>
      </c>
      <c r="E3180" t="s">
        <v>1999</v>
      </c>
      <c r="F3180" t="s">
        <v>3572</v>
      </c>
      <c r="G3180" t="s">
        <v>5317</v>
      </c>
      <c r="H3180" t="s">
        <v>5451</v>
      </c>
      <c r="I3180" t="s">
        <v>6047</v>
      </c>
      <c r="J3180">
        <v>10468</v>
      </c>
      <c r="K3180" t="s">
        <v>6074</v>
      </c>
      <c r="L3180" t="s">
        <v>6074</v>
      </c>
      <c r="N3180" t="s">
        <v>7278</v>
      </c>
      <c r="O3180" t="s">
        <v>7306</v>
      </c>
      <c r="P3180" t="s">
        <v>7314</v>
      </c>
      <c r="Q3180" t="s">
        <v>7322</v>
      </c>
      <c r="R3180" t="s">
        <v>6076</v>
      </c>
      <c r="S3180" t="s">
        <v>7324</v>
      </c>
      <c r="U3180" t="s">
        <v>315</v>
      </c>
      <c r="V3180">
        <v>1014.14</v>
      </c>
      <c r="W3180" t="s">
        <v>7363</v>
      </c>
      <c r="X3180" t="s">
        <v>7376</v>
      </c>
      <c r="Y3180" t="s">
        <v>7386</v>
      </c>
      <c r="Z3180" t="s">
        <v>9738</v>
      </c>
      <c r="AB3180" t="s">
        <v>9856</v>
      </c>
      <c r="AC3180">
        <v>0</v>
      </c>
      <c r="AD3180" t="s">
        <v>12422</v>
      </c>
      <c r="AF3180">
        <v>18</v>
      </c>
      <c r="AG3180">
        <v>2</v>
      </c>
      <c r="AH3180">
        <v>0</v>
      </c>
      <c r="AI3180">
        <v>419.87</v>
      </c>
      <c r="AL3180" t="s">
        <v>12484</v>
      </c>
      <c r="AM3180">
        <v>71000</v>
      </c>
      <c r="AS3180">
        <v>1.25</v>
      </c>
      <c r="AT3180" t="s">
        <v>270</v>
      </c>
      <c r="AU3180" t="s">
        <v>116</v>
      </c>
      <c r="AV3180" t="s">
        <v>13145</v>
      </c>
    </row>
    <row r="3181" spans="1:48">
      <c r="A3181" s="1">
        <f>HYPERLINK("https://cms.ls-nyc.org/matter/dynamic-profile/view/1879974","18-1879974")</f>
        <v>0</v>
      </c>
      <c r="B3181" t="s">
        <v>82</v>
      </c>
      <c r="C3181" t="s">
        <v>271</v>
      </c>
      <c r="E3181" t="s">
        <v>1961</v>
      </c>
      <c r="F3181" t="s">
        <v>3573</v>
      </c>
      <c r="G3181" t="s">
        <v>3937</v>
      </c>
      <c r="H3181" t="s">
        <v>5542</v>
      </c>
      <c r="I3181" t="s">
        <v>6043</v>
      </c>
      <c r="J3181">
        <v>11226</v>
      </c>
      <c r="K3181" t="s">
        <v>6074</v>
      </c>
      <c r="L3181" t="s">
        <v>6074</v>
      </c>
      <c r="M3181" t="s">
        <v>7214</v>
      </c>
      <c r="N3181" t="s">
        <v>7273</v>
      </c>
      <c r="O3181" t="s">
        <v>7308</v>
      </c>
      <c r="Q3181" t="s">
        <v>7322</v>
      </c>
      <c r="R3181" t="s">
        <v>6074</v>
      </c>
      <c r="S3181" t="s">
        <v>7324</v>
      </c>
      <c r="U3181" t="s">
        <v>464</v>
      </c>
      <c r="V3181">
        <v>1250</v>
      </c>
      <c r="W3181" t="s">
        <v>7362</v>
      </c>
      <c r="X3181" t="s">
        <v>7368</v>
      </c>
      <c r="Z3181" t="s">
        <v>9739</v>
      </c>
      <c r="AC3181">
        <v>6</v>
      </c>
      <c r="AD3181" t="s">
        <v>12422</v>
      </c>
      <c r="AE3181" t="s">
        <v>6110</v>
      </c>
      <c r="AF3181">
        <v>1</v>
      </c>
      <c r="AG3181">
        <v>1</v>
      </c>
      <c r="AH3181">
        <v>0</v>
      </c>
      <c r="AI3181">
        <v>420.1</v>
      </c>
      <c r="AL3181" t="s">
        <v>12460</v>
      </c>
      <c r="AM3181">
        <v>51000</v>
      </c>
      <c r="AS3181">
        <v>1.5</v>
      </c>
      <c r="AT3181" t="s">
        <v>320</v>
      </c>
      <c r="AU3181" t="s">
        <v>13083</v>
      </c>
    </row>
    <row r="3182" spans="1:48">
      <c r="A3182" s="1">
        <f>HYPERLINK("https://cms.ls-nyc.org/matter/dynamic-profile/view/1867935","18-1867935")</f>
        <v>0</v>
      </c>
      <c r="B3182" t="s">
        <v>82</v>
      </c>
      <c r="C3182" t="s">
        <v>489</v>
      </c>
      <c r="E3182" t="s">
        <v>1961</v>
      </c>
      <c r="F3182" t="s">
        <v>3573</v>
      </c>
      <c r="G3182" t="s">
        <v>3937</v>
      </c>
      <c r="H3182" t="s">
        <v>5542</v>
      </c>
      <c r="I3182" t="s">
        <v>6043</v>
      </c>
      <c r="J3182">
        <v>11226</v>
      </c>
      <c r="K3182" t="s">
        <v>6074</v>
      </c>
      <c r="L3182" t="s">
        <v>6074</v>
      </c>
      <c r="M3182" t="s">
        <v>7263</v>
      </c>
      <c r="N3182" t="s">
        <v>7276</v>
      </c>
      <c r="O3182" t="s">
        <v>7308</v>
      </c>
      <c r="Q3182" t="s">
        <v>7322</v>
      </c>
      <c r="R3182" t="s">
        <v>6074</v>
      </c>
      <c r="S3182" t="s">
        <v>7324</v>
      </c>
      <c r="U3182" t="s">
        <v>464</v>
      </c>
      <c r="V3182">
        <v>1250</v>
      </c>
      <c r="W3182" t="s">
        <v>7362</v>
      </c>
      <c r="X3182" t="s">
        <v>7372</v>
      </c>
      <c r="Z3182" t="s">
        <v>9739</v>
      </c>
      <c r="AC3182">
        <v>6</v>
      </c>
      <c r="AD3182" t="s">
        <v>12422</v>
      </c>
      <c r="AE3182" t="s">
        <v>6110</v>
      </c>
      <c r="AF3182">
        <v>1</v>
      </c>
      <c r="AG3182">
        <v>1</v>
      </c>
      <c r="AH3182">
        <v>0</v>
      </c>
      <c r="AI3182">
        <v>420.1</v>
      </c>
      <c r="AL3182" t="s">
        <v>12460</v>
      </c>
      <c r="AM3182">
        <v>51000</v>
      </c>
      <c r="AS3182">
        <v>12</v>
      </c>
      <c r="AT3182" t="s">
        <v>448</v>
      </c>
      <c r="AU3182" t="s">
        <v>13087</v>
      </c>
    </row>
    <row r="3183" spans="1:48">
      <c r="A3183" s="1">
        <f>HYPERLINK("https://cms.ls-nyc.org/matter/dynamic-profile/view/1890526","19-1890526")</f>
        <v>0</v>
      </c>
      <c r="B3183" t="s">
        <v>72</v>
      </c>
      <c r="C3183" t="s">
        <v>448</v>
      </c>
      <c r="E3183" t="s">
        <v>915</v>
      </c>
      <c r="F3183" t="s">
        <v>3129</v>
      </c>
      <c r="G3183" t="s">
        <v>3701</v>
      </c>
      <c r="H3183" t="s">
        <v>5506</v>
      </c>
      <c r="I3183" t="s">
        <v>6043</v>
      </c>
      <c r="J3183">
        <v>11233</v>
      </c>
      <c r="K3183" t="s">
        <v>6074</v>
      </c>
      <c r="L3183" t="s">
        <v>6076</v>
      </c>
      <c r="M3183" t="s">
        <v>6101</v>
      </c>
      <c r="N3183" t="s">
        <v>7279</v>
      </c>
      <c r="O3183" t="s">
        <v>7311</v>
      </c>
      <c r="Q3183" t="s">
        <v>7322</v>
      </c>
      <c r="R3183" t="s">
        <v>6074</v>
      </c>
      <c r="S3183" t="s">
        <v>7324</v>
      </c>
      <c r="T3183" t="s">
        <v>7336</v>
      </c>
      <c r="U3183" t="s">
        <v>330</v>
      </c>
      <c r="V3183">
        <v>1027</v>
      </c>
      <c r="W3183" t="s">
        <v>7362</v>
      </c>
      <c r="X3183" t="s">
        <v>7372</v>
      </c>
      <c r="Z3183" t="s">
        <v>9740</v>
      </c>
      <c r="AA3183" t="s">
        <v>6101</v>
      </c>
      <c r="AC3183">
        <v>359</v>
      </c>
      <c r="AD3183" t="s">
        <v>12422</v>
      </c>
      <c r="AE3183" t="s">
        <v>6110</v>
      </c>
      <c r="AF3183">
        <v>7</v>
      </c>
      <c r="AG3183">
        <v>2</v>
      </c>
      <c r="AH3183">
        <v>0</v>
      </c>
      <c r="AI3183">
        <v>420.19</v>
      </c>
      <c r="AL3183" t="s">
        <v>12460</v>
      </c>
      <c r="AM3183">
        <v>71054</v>
      </c>
      <c r="AN3183" t="s">
        <v>12809</v>
      </c>
      <c r="AS3183">
        <v>0</v>
      </c>
      <c r="AU3183" t="s">
        <v>218</v>
      </c>
    </row>
    <row r="3184" spans="1:48">
      <c r="A3184" s="1">
        <f>HYPERLINK("https://cms.ls-nyc.org/matter/dynamic-profile/view/1891464","19-1891464")</f>
        <v>0</v>
      </c>
      <c r="B3184" t="s">
        <v>72</v>
      </c>
      <c r="C3184" t="s">
        <v>278</v>
      </c>
      <c r="E3184" t="s">
        <v>915</v>
      </c>
      <c r="F3184" t="s">
        <v>3129</v>
      </c>
      <c r="G3184" t="s">
        <v>3701</v>
      </c>
      <c r="H3184" t="s">
        <v>5506</v>
      </c>
      <c r="I3184" t="s">
        <v>6043</v>
      </c>
      <c r="J3184">
        <v>11233</v>
      </c>
      <c r="K3184" t="s">
        <v>6074</v>
      </c>
      <c r="L3184" t="s">
        <v>6076</v>
      </c>
      <c r="N3184" t="s">
        <v>7275</v>
      </c>
      <c r="O3184" t="s">
        <v>7307</v>
      </c>
      <c r="Q3184" t="s">
        <v>7322</v>
      </c>
      <c r="R3184" t="s">
        <v>6074</v>
      </c>
      <c r="S3184" t="s">
        <v>7324</v>
      </c>
      <c r="T3184" t="s">
        <v>7336</v>
      </c>
      <c r="U3184" t="s">
        <v>287</v>
      </c>
      <c r="V3184">
        <v>1027</v>
      </c>
      <c r="W3184" t="s">
        <v>7362</v>
      </c>
      <c r="X3184" t="s">
        <v>7372</v>
      </c>
      <c r="Z3184" t="s">
        <v>9740</v>
      </c>
      <c r="AC3184">
        <v>359</v>
      </c>
      <c r="AD3184" t="s">
        <v>12422</v>
      </c>
      <c r="AE3184" t="s">
        <v>6110</v>
      </c>
      <c r="AF3184">
        <v>7</v>
      </c>
      <c r="AG3184">
        <v>2</v>
      </c>
      <c r="AH3184">
        <v>0</v>
      </c>
      <c r="AI3184">
        <v>420.19</v>
      </c>
      <c r="AL3184" t="s">
        <v>12460</v>
      </c>
      <c r="AM3184">
        <v>71054</v>
      </c>
      <c r="AN3184" t="s">
        <v>12810</v>
      </c>
      <c r="AS3184">
        <v>0</v>
      </c>
      <c r="AU3184" t="s">
        <v>180</v>
      </c>
    </row>
    <row r="3185" spans="1:48">
      <c r="A3185" s="1">
        <f>HYPERLINK("https://cms.ls-nyc.org/matter/dynamic-profile/view/1878058","18-1878058")</f>
        <v>0</v>
      </c>
      <c r="B3185" t="s">
        <v>90</v>
      </c>
      <c r="C3185" t="s">
        <v>255</v>
      </c>
      <c r="E3185" t="s">
        <v>828</v>
      </c>
      <c r="F3185" t="s">
        <v>2592</v>
      </c>
      <c r="G3185" t="s">
        <v>4507</v>
      </c>
      <c r="H3185" t="s">
        <v>5481</v>
      </c>
      <c r="I3185" t="s">
        <v>6043</v>
      </c>
      <c r="J3185">
        <v>11216</v>
      </c>
      <c r="K3185" t="s">
        <v>6074</v>
      </c>
      <c r="L3185" t="s">
        <v>6074</v>
      </c>
      <c r="N3185" t="s">
        <v>7282</v>
      </c>
      <c r="O3185" t="s">
        <v>7308</v>
      </c>
      <c r="Q3185" t="s">
        <v>7322</v>
      </c>
      <c r="S3185" t="s">
        <v>7324</v>
      </c>
      <c r="U3185" t="s">
        <v>291</v>
      </c>
      <c r="V3185">
        <v>1088</v>
      </c>
      <c r="W3185" t="s">
        <v>7362</v>
      </c>
      <c r="X3185" t="s">
        <v>7375</v>
      </c>
      <c r="Z3185" t="s">
        <v>9741</v>
      </c>
      <c r="AC3185">
        <v>82</v>
      </c>
      <c r="AD3185" t="s">
        <v>12422</v>
      </c>
      <c r="AE3185" t="s">
        <v>6110</v>
      </c>
      <c r="AF3185">
        <v>0</v>
      </c>
      <c r="AG3185">
        <v>1</v>
      </c>
      <c r="AH3185">
        <v>0</v>
      </c>
      <c r="AI3185">
        <v>428.34</v>
      </c>
      <c r="AJ3185" t="s">
        <v>350</v>
      </c>
      <c r="AK3185" t="s">
        <v>12456</v>
      </c>
      <c r="AL3185" t="s">
        <v>12460</v>
      </c>
      <c r="AM3185">
        <v>52000</v>
      </c>
      <c r="AN3185" t="s">
        <v>12532</v>
      </c>
      <c r="AS3185">
        <v>0</v>
      </c>
      <c r="AU3185" t="s">
        <v>218</v>
      </c>
    </row>
    <row r="3186" spans="1:48">
      <c r="A3186" s="1">
        <f>HYPERLINK("https://cms.ls-nyc.org/matter/dynamic-profile/view/1878057","18-1878057")</f>
        <v>0</v>
      </c>
      <c r="B3186" t="s">
        <v>90</v>
      </c>
      <c r="C3186" t="s">
        <v>255</v>
      </c>
      <c r="E3186" t="s">
        <v>828</v>
      </c>
      <c r="F3186" t="s">
        <v>2592</v>
      </c>
      <c r="G3186" t="s">
        <v>4507</v>
      </c>
      <c r="H3186" t="s">
        <v>5481</v>
      </c>
      <c r="I3186" t="s">
        <v>6043</v>
      </c>
      <c r="J3186">
        <v>11216</v>
      </c>
      <c r="K3186" t="s">
        <v>6074</v>
      </c>
      <c r="L3186" t="s">
        <v>6074</v>
      </c>
      <c r="M3186" t="s">
        <v>6104</v>
      </c>
      <c r="N3186" t="s">
        <v>7275</v>
      </c>
      <c r="O3186" t="s">
        <v>7307</v>
      </c>
      <c r="Q3186" t="s">
        <v>7322</v>
      </c>
      <c r="S3186" t="s">
        <v>7324</v>
      </c>
      <c r="U3186" t="s">
        <v>291</v>
      </c>
      <c r="V3186">
        <v>1088</v>
      </c>
      <c r="W3186" t="s">
        <v>7362</v>
      </c>
      <c r="X3186" t="s">
        <v>7375</v>
      </c>
      <c r="Z3186" t="s">
        <v>9741</v>
      </c>
      <c r="AC3186">
        <v>82</v>
      </c>
      <c r="AD3186" t="s">
        <v>12422</v>
      </c>
      <c r="AE3186" t="s">
        <v>6110</v>
      </c>
      <c r="AF3186">
        <v>0</v>
      </c>
      <c r="AG3186">
        <v>1</v>
      </c>
      <c r="AH3186">
        <v>0</v>
      </c>
      <c r="AI3186">
        <v>428.34</v>
      </c>
      <c r="AJ3186" t="s">
        <v>350</v>
      </c>
      <c r="AK3186" t="s">
        <v>12456</v>
      </c>
      <c r="AL3186" t="s">
        <v>12460</v>
      </c>
      <c r="AM3186">
        <v>52000</v>
      </c>
      <c r="AN3186" t="s">
        <v>12532</v>
      </c>
      <c r="AS3186">
        <v>0</v>
      </c>
      <c r="AU3186" t="s">
        <v>218</v>
      </c>
    </row>
    <row r="3187" spans="1:48">
      <c r="A3187" s="1">
        <f>HYPERLINK("https://cms.ls-nyc.org/matter/dynamic-profile/view/1881824","18-1881824")</f>
        <v>0</v>
      </c>
      <c r="B3187" t="s">
        <v>103</v>
      </c>
      <c r="C3187" t="s">
        <v>360</v>
      </c>
      <c r="E3187" t="s">
        <v>667</v>
      </c>
      <c r="F3187" t="s">
        <v>3574</v>
      </c>
      <c r="G3187" t="s">
        <v>3810</v>
      </c>
      <c r="H3187" t="s">
        <v>6004</v>
      </c>
      <c r="I3187" t="s">
        <v>6047</v>
      </c>
      <c r="J3187">
        <v>10451</v>
      </c>
      <c r="K3187" t="s">
        <v>6074</v>
      </c>
      <c r="L3187" t="s">
        <v>6074</v>
      </c>
      <c r="M3187" t="s">
        <v>6201</v>
      </c>
      <c r="N3187" t="s">
        <v>7273</v>
      </c>
      <c r="O3187" t="s">
        <v>7308</v>
      </c>
      <c r="Q3187" t="s">
        <v>7322</v>
      </c>
      <c r="R3187" t="s">
        <v>6074</v>
      </c>
      <c r="S3187" t="s">
        <v>7324</v>
      </c>
      <c r="U3187" t="s">
        <v>472</v>
      </c>
      <c r="V3187">
        <v>1010</v>
      </c>
      <c r="W3187" t="s">
        <v>7363</v>
      </c>
      <c r="X3187" t="s">
        <v>7376</v>
      </c>
      <c r="Z3187" t="s">
        <v>9742</v>
      </c>
      <c r="AB3187" t="s">
        <v>12339</v>
      </c>
      <c r="AC3187">
        <v>100</v>
      </c>
      <c r="AD3187" t="s">
        <v>12422</v>
      </c>
      <c r="AE3187" t="s">
        <v>6110</v>
      </c>
      <c r="AF3187">
        <v>5</v>
      </c>
      <c r="AG3187">
        <v>1</v>
      </c>
      <c r="AH3187">
        <v>0</v>
      </c>
      <c r="AI3187">
        <v>428.34</v>
      </c>
      <c r="AL3187" t="s">
        <v>12460</v>
      </c>
      <c r="AM3187">
        <v>52000</v>
      </c>
      <c r="AS3187">
        <v>4</v>
      </c>
      <c r="AT3187" t="s">
        <v>283</v>
      </c>
      <c r="AU3187" t="s">
        <v>13095</v>
      </c>
    </row>
    <row r="3188" spans="1:48">
      <c r="A3188" s="1">
        <f>HYPERLINK("https://cms.ls-nyc.org/matter/dynamic-profile/view/1887883","19-1887883")</f>
        <v>0</v>
      </c>
      <c r="B3188" t="s">
        <v>125</v>
      </c>
      <c r="C3188" t="s">
        <v>390</v>
      </c>
      <c r="D3188" t="s">
        <v>339</v>
      </c>
      <c r="E3188" t="s">
        <v>935</v>
      </c>
      <c r="F3188" t="s">
        <v>2569</v>
      </c>
      <c r="G3188" t="s">
        <v>5318</v>
      </c>
      <c r="H3188" t="s">
        <v>6005</v>
      </c>
      <c r="I3188" t="s">
        <v>6049</v>
      </c>
      <c r="J3188">
        <v>10040</v>
      </c>
      <c r="K3188" t="s">
        <v>6074</v>
      </c>
      <c r="L3188" t="s">
        <v>6074</v>
      </c>
      <c r="N3188" t="s">
        <v>7278</v>
      </c>
      <c r="O3188" t="s">
        <v>7306</v>
      </c>
      <c r="P3188" t="s">
        <v>7314</v>
      </c>
      <c r="Q3188" t="s">
        <v>7322</v>
      </c>
      <c r="S3188" t="s">
        <v>7324</v>
      </c>
      <c r="U3188" t="s">
        <v>390</v>
      </c>
      <c r="V3188">
        <v>1072.59</v>
      </c>
      <c r="W3188" t="s">
        <v>7365</v>
      </c>
      <c r="X3188" t="s">
        <v>7368</v>
      </c>
      <c r="Y3188" t="s">
        <v>7386</v>
      </c>
      <c r="Z3188" t="s">
        <v>7727</v>
      </c>
      <c r="AB3188" t="s">
        <v>12340</v>
      </c>
      <c r="AC3188">
        <v>0</v>
      </c>
      <c r="AD3188" t="s">
        <v>12422</v>
      </c>
      <c r="AE3188" t="s">
        <v>6110</v>
      </c>
      <c r="AF3188">
        <v>14</v>
      </c>
      <c r="AG3188">
        <v>2</v>
      </c>
      <c r="AH3188">
        <v>0</v>
      </c>
      <c r="AI3188">
        <v>431.35</v>
      </c>
      <c r="AL3188" t="s">
        <v>12461</v>
      </c>
      <c r="AM3188">
        <v>71000</v>
      </c>
      <c r="AS3188">
        <v>1.6</v>
      </c>
      <c r="AT3188" t="s">
        <v>492</v>
      </c>
      <c r="AU3188" t="s">
        <v>13106</v>
      </c>
    </row>
    <row r="3189" spans="1:48">
      <c r="A3189" s="1">
        <f>HYPERLINK("https://cms.ls-nyc.org/matter/dynamic-profile/view/1892828","19-1892828")</f>
        <v>0</v>
      </c>
      <c r="B3189" t="s">
        <v>133</v>
      </c>
      <c r="C3189" t="s">
        <v>356</v>
      </c>
      <c r="E3189" t="s">
        <v>1106</v>
      </c>
      <c r="F3189" t="s">
        <v>3467</v>
      </c>
      <c r="G3189" t="s">
        <v>4839</v>
      </c>
      <c r="H3189" t="s">
        <v>5455</v>
      </c>
      <c r="I3189" t="s">
        <v>6049</v>
      </c>
      <c r="J3189">
        <v>10033</v>
      </c>
      <c r="K3189" t="s">
        <v>6074</v>
      </c>
      <c r="L3189" t="s">
        <v>6074</v>
      </c>
      <c r="O3189" t="s">
        <v>7306</v>
      </c>
      <c r="Q3189" t="s">
        <v>7322</v>
      </c>
      <c r="R3189" t="s">
        <v>6074</v>
      </c>
      <c r="S3189" t="s">
        <v>7324</v>
      </c>
      <c r="U3189" t="s">
        <v>356</v>
      </c>
      <c r="V3189">
        <v>1700</v>
      </c>
      <c r="W3189" t="s">
        <v>7365</v>
      </c>
      <c r="X3189" t="s">
        <v>7371</v>
      </c>
      <c r="Z3189" t="s">
        <v>9743</v>
      </c>
      <c r="AC3189">
        <v>60</v>
      </c>
      <c r="AD3189" t="s">
        <v>12422</v>
      </c>
      <c r="AE3189" t="s">
        <v>6110</v>
      </c>
      <c r="AF3189">
        <v>16</v>
      </c>
      <c r="AG3189">
        <v>2</v>
      </c>
      <c r="AH3189">
        <v>0</v>
      </c>
      <c r="AI3189">
        <v>431.7</v>
      </c>
      <c r="AJ3189" t="s">
        <v>234</v>
      </c>
      <c r="AK3189" t="s">
        <v>12456</v>
      </c>
      <c r="AL3189" t="s">
        <v>12460</v>
      </c>
      <c r="AM3189">
        <v>73000</v>
      </c>
      <c r="AS3189">
        <v>0</v>
      </c>
      <c r="AU3189" t="s">
        <v>13106</v>
      </c>
    </row>
    <row r="3190" spans="1:48">
      <c r="A3190" s="1">
        <f>HYPERLINK("https://cms.ls-nyc.org/matter/dynamic-profile/view/1890550","19-1890550")</f>
        <v>0</v>
      </c>
      <c r="B3190" t="s">
        <v>72</v>
      </c>
      <c r="C3190" t="s">
        <v>448</v>
      </c>
      <c r="E3190" t="s">
        <v>2000</v>
      </c>
      <c r="F3190" t="s">
        <v>2429</v>
      </c>
      <c r="G3190" t="s">
        <v>3701</v>
      </c>
      <c r="H3190" t="s">
        <v>5418</v>
      </c>
      <c r="I3190" t="s">
        <v>6043</v>
      </c>
      <c r="J3190">
        <v>11233</v>
      </c>
      <c r="K3190" t="s">
        <v>6074</v>
      </c>
      <c r="L3190" t="s">
        <v>6076</v>
      </c>
      <c r="M3190" t="s">
        <v>6110</v>
      </c>
      <c r="N3190" t="s">
        <v>7279</v>
      </c>
      <c r="O3190" t="s">
        <v>7311</v>
      </c>
      <c r="Q3190" t="s">
        <v>7322</v>
      </c>
      <c r="R3190" t="s">
        <v>6074</v>
      </c>
      <c r="S3190" t="s">
        <v>7324</v>
      </c>
      <c r="T3190" t="s">
        <v>7336</v>
      </c>
      <c r="U3190" t="s">
        <v>330</v>
      </c>
      <c r="V3190">
        <v>1016</v>
      </c>
      <c r="W3190" t="s">
        <v>7362</v>
      </c>
      <c r="X3190" t="s">
        <v>7372</v>
      </c>
      <c r="Z3190" t="s">
        <v>9744</v>
      </c>
      <c r="AC3190">
        <v>359</v>
      </c>
      <c r="AD3190" t="s">
        <v>12422</v>
      </c>
      <c r="AE3190" t="s">
        <v>6110</v>
      </c>
      <c r="AF3190">
        <v>30</v>
      </c>
      <c r="AG3190">
        <v>2</v>
      </c>
      <c r="AH3190">
        <v>0</v>
      </c>
      <c r="AI3190">
        <v>435.02</v>
      </c>
      <c r="AL3190" t="s">
        <v>12460</v>
      </c>
      <c r="AM3190">
        <v>73562</v>
      </c>
      <c r="AN3190" t="s">
        <v>12811</v>
      </c>
      <c r="AS3190">
        <v>0</v>
      </c>
      <c r="AU3190" t="s">
        <v>218</v>
      </c>
    </row>
    <row r="3191" spans="1:48">
      <c r="A3191" s="1">
        <f>HYPERLINK("https://cms.ls-nyc.org/matter/dynamic-profile/view/1891485","19-1891485")</f>
        <v>0</v>
      </c>
      <c r="B3191" t="s">
        <v>72</v>
      </c>
      <c r="C3191" t="s">
        <v>278</v>
      </c>
      <c r="E3191" t="s">
        <v>2000</v>
      </c>
      <c r="F3191" t="s">
        <v>2429</v>
      </c>
      <c r="G3191" t="s">
        <v>3701</v>
      </c>
      <c r="H3191" t="s">
        <v>5418</v>
      </c>
      <c r="I3191" t="s">
        <v>6043</v>
      </c>
      <c r="J3191">
        <v>11233</v>
      </c>
      <c r="K3191" t="s">
        <v>6074</v>
      </c>
      <c r="L3191" t="s">
        <v>6076</v>
      </c>
      <c r="N3191" t="s">
        <v>7275</v>
      </c>
      <c r="O3191" t="s">
        <v>7307</v>
      </c>
      <c r="Q3191" t="s">
        <v>7322</v>
      </c>
      <c r="R3191" t="s">
        <v>6074</v>
      </c>
      <c r="S3191" t="s">
        <v>7324</v>
      </c>
      <c r="T3191" t="s">
        <v>7336</v>
      </c>
      <c r="U3191" t="s">
        <v>287</v>
      </c>
      <c r="V3191">
        <v>1016</v>
      </c>
      <c r="W3191" t="s">
        <v>7362</v>
      </c>
      <c r="X3191" t="s">
        <v>7372</v>
      </c>
      <c r="Z3191" t="s">
        <v>9744</v>
      </c>
      <c r="AC3191">
        <v>359</v>
      </c>
      <c r="AD3191" t="s">
        <v>12422</v>
      </c>
      <c r="AE3191" t="s">
        <v>6110</v>
      </c>
      <c r="AF3191">
        <v>30</v>
      </c>
      <c r="AG3191">
        <v>2</v>
      </c>
      <c r="AH3191">
        <v>0</v>
      </c>
      <c r="AI3191">
        <v>435.02</v>
      </c>
      <c r="AL3191" t="s">
        <v>12460</v>
      </c>
      <c r="AM3191">
        <v>73562</v>
      </c>
      <c r="AN3191" t="s">
        <v>12812</v>
      </c>
      <c r="AS3191">
        <v>0</v>
      </c>
      <c r="AU3191" t="s">
        <v>180</v>
      </c>
    </row>
    <row r="3192" spans="1:48">
      <c r="A3192" s="1">
        <f>HYPERLINK("https://cms.ls-nyc.org/matter/dynamic-profile/view/1882158","18-1882158")</f>
        <v>0</v>
      </c>
      <c r="B3192" t="s">
        <v>89</v>
      </c>
      <c r="C3192" t="s">
        <v>442</v>
      </c>
      <c r="E3192" t="s">
        <v>2001</v>
      </c>
      <c r="F3192" t="s">
        <v>3575</v>
      </c>
      <c r="G3192" t="s">
        <v>4439</v>
      </c>
      <c r="H3192" t="s">
        <v>5441</v>
      </c>
      <c r="I3192" t="s">
        <v>6043</v>
      </c>
      <c r="J3192">
        <v>11213</v>
      </c>
      <c r="K3192" t="s">
        <v>6074</v>
      </c>
      <c r="L3192" t="s">
        <v>6074</v>
      </c>
      <c r="M3192" t="s">
        <v>6104</v>
      </c>
      <c r="N3192" t="s">
        <v>7273</v>
      </c>
      <c r="O3192" t="s">
        <v>7308</v>
      </c>
      <c r="Q3192" t="s">
        <v>7322</v>
      </c>
      <c r="R3192" t="s">
        <v>6074</v>
      </c>
      <c r="S3192" t="s">
        <v>7324</v>
      </c>
      <c r="T3192" t="s">
        <v>7336</v>
      </c>
      <c r="U3192" t="s">
        <v>7350</v>
      </c>
      <c r="V3192">
        <v>1169.88</v>
      </c>
      <c r="W3192" t="s">
        <v>7362</v>
      </c>
      <c r="X3192" t="s">
        <v>7376</v>
      </c>
      <c r="Z3192" t="s">
        <v>9745</v>
      </c>
      <c r="AA3192" t="s">
        <v>6110</v>
      </c>
      <c r="AB3192" t="s">
        <v>12341</v>
      </c>
      <c r="AC3192">
        <v>35</v>
      </c>
      <c r="AD3192" t="s">
        <v>12422</v>
      </c>
      <c r="AE3192" t="s">
        <v>6110</v>
      </c>
      <c r="AF3192">
        <v>5</v>
      </c>
      <c r="AG3192">
        <v>2</v>
      </c>
      <c r="AH3192">
        <v>0</v>
      </c>
      <c r="AI3192">
        <v>437.42</v>
      </c>
      <c r="AK3192" t="s">
        <v>12458</v>
      </c>
      <c r="AL3192" t="s">
        <v>12460</v>
      </c>
      <c r="AM3192">
        <v>72000</v>
      </c>
      <c r="AS3192">
        <v>0.1</v>
      </c>
      <c r="AT3192" t="s">
        <v>260</v>
      </c>
      <c r="AU3192" t="s">
        <v>218</v>
      </c>
    </row>
    <row r="3193" spans="1:48">
      <c r="A3193" s="1">
        <f>HYPERLINK("https://cms.ls-nyc.org/matter/dynamic-profile/view/1890581","19-1890581")</f>
        <v>0</v>
      </c>
      <c r="B3193" t="s">
        <v>72</v>
      </c>
      <c r="C3193" t="s">
        <v>448</v>
      </c>
      <c r="E3193" t="s">
        <v>2002</v>
      </c>
      <c r="F3193" t="s">
        <v>3576</v>
      </c>
      <c r="G3193" t="s">
        <v>3701</v>
      </c>
      <c r="H3193" t="s">
        <v>5378</v>
      </c>
      <c r="I3193" t="s">
        <v>6043</v>
      </c>
      <c r="J3193">
        <v>11233</v>
      </c>
      <c r="K3193" t="s">
        <v>6074</v>
      </c>
      <c r="L3193" t="s">
        <v>6076</v>
      </c>
      <c r="M3193" t="s">
        <v>6104</v>
      </c>
      <c r="N3193" t="s">
        <v>7279</v>
      </c>
      <c r="O3193" t="s">
        <v>7311</v>
      </c>
      <c r="Q3193" t="s">
        <v>7322</v>
      </c>
      <c r="R3193" t="s">
        <v>6074</v>
      </c>
      <c r="S3193" t="s">
        <v>7324</v>
      </c>
      <c r="T3193" t="s">
        <v>7336</v>
      </c>
      <c r="U3193" t="s">
        <v>330</v>
      </c>
      <c r="V3193">
        <v>1520</v>
      </c>
      <c r="W3193" t="s">
        <v>7362</v>
      </c>
      <c r="X3193" t="s">
        <v>7372</v>
      </c>
      <c r="Z3193" t="s">
        <v>9746</v>
      </c>
      <c r="AC3193">
        <v>359</v>
      </c>
      <c r="AD3193" t="s">
        <v>12422</v>
      </c>
      <c r="AE3193" t="s">
        <v>6110</v>
      </c>
      <c r="AF3193">
        <v>2</v>
      </c>
      <c r="AG3193">
        <v>2</v>
      </c>
      <c r="AH3193">
        <v>0</v>
      </c>
      <c r="AI3193">
        <v>437.61</v>
      </c>
      <c r="AL3193" t="s">
        <v>12460</v>
      </c>
      <c r="AM3193">
        <v>74000</v>
      </c>
      <c r="AN3193" t="s">
        <v>12687</v>
      </c>
      <c r="AS3193">
        <v>0</v>
      </c>
      <c r="AU3193" t="s">
        <v>218</v>
      </c>
    </row>
    <row r="3194" spans="1:48">
      <c r="A3194" s="1">
        <f>HYPERLINK("https://cms.ls-nyc.org/matter/dynamic-profile/view/1891597","19-1891597")</f>
        <v>0</v>
      </c>
      <c r="B3194" t="s">
        <v>72</v>
      </c>
      <c r="C3194" t="s">
        <v>364</v>
      </c>
      <c r="E3194" t="s">
        <v>2002</v>
      </c>
      <c r="F3194" t="s">
        <v>3576</v>
      </c>
      <c r="G3194" t="s">
        <v>3701</v>
      </c>
      <c r="H3194" t="s">
        <v>5378</v>
      </c>
      <c r="I3194" t="s">
        <v>6043</v>
      </c>
      <c r="J3194">
        <v>11233</v>
      </c>
      <c r="K3194" t="s">
        <v>6074</v>
      </c>
      <c r="L3194" t="s">
        <v>6076</v>
      </c>
      <c r="N3194" t="s">
        <v>7275</v>
      </c>
      <c r="O3194" t="s">
        <v>7307</v>
      </c>
      <c r="Q3194" t="s">
        <v>7322</v>
      </c>
      <c r="R3194" t="s">
        <v>6074</v>
      </c>
      <c r="S3194" t="s">
        <v>7324</v>
      </c>
      <c r="T3194" t="s">
        <v>7336</v>
      </c>
      <c r="U3194" t="s">
        <v>287</v>
      </c>
      <c r="V3194">
        <v>1520</v>
      </c>
      <c r="W3194" t="s">
        <v>7362</v>
      </c>
      <c r="X3194" t="s">
        <v>7372</v>
      </c>
      <c r="Z3194" t="s">
        <v>9746</v>
      </c>
      <c r="AC3194">
        <v>359</v>
      </c>
      <c r="AD3194" t="s">
        <v>12422</v>
      </c>
      <c r="AE3194" t="s">
        <v>6110</v>
      </c>
      <c r="AF3194">
        <v>2</v>
      </c>
      <c r="AG3194">
        <v>2</v>
      </c>
      <c r="AH3194">
        <v>0</v>
      </c>
      <c r="AI3194">
        <v>437.61</v>
      </c>
      <c r="AL3194" t="s">
        <v>12460</v>
      </c>
      <c r="AM3194">
        <v>74000</v>
      </c>
      <c r="AN3194" t="s">
        <v>12813</v>
      </c>
      <c r="AS3194">
        <v>0</v>
      </c>
      <c r="AU3194" t="s">
        <v>180</v>
      </c>
    </row>
    <row r="3195" spans="1:48">
      <c r="A3195" s="1">
        <f>HYPERLINK("https://cms.ls-nyc.org/matter/dynamic-profile/view/1890575","19-1890575")</f>
        <v>0</v>
      </c>
      <c r="B3195" t="s">
        <v>72</v>
      </c>
      <c r="C3195" t="s">
        <v>448</v>
      </c>
      <c r="E3195" t="s">
        <v>1815</v>
      </c>
      <c r="F3195" t="s">
        <v>2165</v>
      </c>
      <c r="G3195" t="s">
        <v>3701</v>
      </c>
      <c r="H3195" t="s">
        <v>6006</v>
      </c>
      <c r="I3195" t="s">
        <v>6043</v>
      </c>
      <c r="J3195">
        <v>11233</v>
      </c>
      <c r="K3195" t="s">
        <v>6074</v>
      </c>
      <c r="L3195" t="s">
        <v>6076</v>
      </c>
      <c r="N3195" t="s">
        <v>7279</v>
      </c>
      <c r="O3195" t="s">
        <v>7311</v>
      </c>
      <c r="Q3195" t="s">
        <v>7322</v>
      </c>
      <c r="R3195" t="s">
        <v>6074</v>
      </c>
      <c r="S3195" t="s">
        <v>7324</v>
      </c>
      <c r="T3195" t="s">
        <v>7336</v>
      </c>
      <c r="U3195" t="s">
        <v>330</v>
      </c>
      <c r="V3195">
        <v>1094.88</v>
      </c>
      <c r="W3195" t="s">
        <v>7362</v>
      </c>
      <c r="X3195" t="s">
        <v>7305</v>
      </c>
      <c r="Z3195" t="s">
        <v>8295</v>
      </c>
      <c r="AC3195">
        <v>359</v>
      </c>
      <c r="AD3195" t="s">
        <v>12422</v>
      </c>
      <c r="AE3195" t="s">
        <v>6110</v>
      </c>
      <c r="AF3195">
        <v>40</v>
      </c>
      <c r="AG3195">
        <v>1</v>
      </c>
      <c r="AH3195">
        <v>0</v>
      </c>
      <c r="AI3195">
        <v>440.35</v>
      </c>
      <c r="AL3195" t="s">
        <v>12460</v>
      </c>
      <c r="AM3195">
        <v>55000</v>
      </c>
      <c r="AN3195" t="s">
        <v>12488</v>
      </c>
      <c r="AS3195">
        <v>0</v>
      </c>
      <c r="AU3195" t="s">
        <v>180</v>
      </c>
    </row>
    <row r="3196" spans="1:48">
      <c r="A3196" s="1">
        <f>HYPERLINK("https://cms.ls-nyc.org/matter/dynamic-profile/view/1891590","19-1891590")</f>
        <v>0</v>
      </c>
      <c r="B3196" t="s">
        <v>72</v>
      </c>
      <c r="C3196" t="s">
        <v>364</v>
      </c>
      <c r="E3196" t="s">
        <v>1815</v>
      </c>
      <c r="F3196" t="s">
        <v>2165</v>
      </c>
      <c r="G3196" t="s">
        <v>3701</v>
      </c>
      <c r="H3196" t="s">
        <v>6006</v>
      </c>
      <c r="I3196" t="s">
        <v>6043</v>
      </c>
      <c r="J3196">
        <v>11233</v>
      </c>
      <c r="K3196" t="s">
        <v>6074</v>
      </c>
      <c r="L3196" t="s">
        <v>6076</v>
      </c>
      <c r="N3196" t="s">
        <v>7275</v>
      </c>
      <c r="O3196" t="s">
        <v>7307</v>
      </c>
      <c r="Q3196" t="s">
        <v>7322</v>
      </c>
      <c r="R3196" t="s">
        <v>6074</v>
      </c>
      <c r="S3196" t="s">
        <v>7324</v>
      </c>
      <c r="T3196" t="s">
        <v>7336</v>
      </c>
      <c r="U3196" t="s">
        <v>287</v>
      </c>
      <c r="V3196">
        <v>1094.88</v>
      </c>
      <c r="W3196" t="s">
        <v>7362</v>
      </c>
      <c r="X3196" t="s">
        <v>7305</v>
      </c>
      <c r="Z3196" t="s">
        <v>8295</v>
      </c>
      <c r="AC3196">
        <v>359</v>
      </c>
      <c r="AD3196" t="s">
        <v>12422</v>
      </c>
      <c r="AE3196" t="s">
        <v>6110</v>
      </c>
      <c r="AF3196">
        <v>40</v>
      </c>
      <c r="AG3196">
        <v>1</v>
      </c>
      <c r="AH3196">
        <v>0</v>
      </c>
      <c r="AI3196">
        <v>440.35</v>
      </c>
      <c r="AL3196" t="s">
        <v>12460</v>
      </c>
      <c r="AM3196">
        <v>55000</v>
      </c>
      <c r="AN3196" t="s">
        <v>12814</v>
      </c>
      <c r="AS3196">
        <v>0</v>
      </c>
      <c r="AU3196" t="s">
        <v>180</v>
      </c>
    </row>
    <row r="3197" spans="1:48">
      <c r="A3197" s="1">
        <f>HYPERLINK("https://cms.ls-nyc.org/matter/dynamic-profile/view/1899127","19-1899127")</f>
        <v>0</v>
      </c>
      <c r="B3197" t="s">
        <v>125</v>
      </c>
      <c r="C3197" t="s">
        <v>254</v>
      </c>
      <c r="E3197" t="s">
        <v>651</v>
      </c>
      <c r="F3197" t="s">
        <v>3577</v>
      </c>
      <c r="G3197" t="s">
        <v>5319</v>
      </c>
      <c r="H3197" t="s">
        <v>5439</v>
      </c>
      <c r="I3197" t="s">
        <v>6049</v>
      </c>
      <c r="J3197">
        <v>10034</v>
      </c>
      <c r="K3197" t="s">
        <v>6074</v>
      </c>
      <c r="L3197" t="s">
        <v>6075</v>
      </c>
      <c r="N3197" t="s">
        <v>6104</v>
      </c>
      <c r="O3197" t="s">
        <v>7306</v>
      </c>
      <c r="Q3197" t="s">
        <v>7322</v>
      </c>
      <c r="R3197" t="s">
        <v>6076</v>
      </c>
      <c r="S3197" t="s">
        <v>7324</v>
      </c>
      <c r="U3197" t="s">
        <v>254</v>
      </c>
      <c r="V3197">
        <v>1625</v>
      </c>
      <c r="W3197" t="s">
        <v>7365</v>
      </c>
      <c r="X3197" t="s">
        <v>7367</v>
      </c>
      <c r="Z3197" t="s">
        <v>9747</v>
      </c>
      <c r="AB3197" t="s">
        <v>12342</v>
      </c>
      <c r="AC3197">
        <v>28</v>
      </c>
      <c r="AD3197" t="s">
        <v>12422</v>
      </c>
      <c r="AE3197" t="s">
        <v>6110</v>
      </c>
      <c r="AF3197">
        <v>1</v>
      </c>
      <c r="AG3197">
        <v>1</v>
      </c>
      <c r="AH3197">
        <v>0</v>
      </c>
      <c r="AI3197">
        <v>440.35</v>
      </c>
      <c r="AL3197" t="s">
        <v>12460</v>
      </c>
      <c r="AM3197">
        <v>55000</v>
      </c>
      <c r="AS3197">
        <v>1.2</v>
      </c>
      <c r="AT3197" t="s">
        <v>363</v>
      </c>
      <c r="AU3197" t="s">
        <v>13106</v>
      </c>
      <c r="AV3197" t="s">
        <v>13145</v>
      </c>
    </row>
    <row r="3198" spans="1:48">
      <c r="A3198" s="1">
        <f>HYPERLINK("https://cms.ls-nyc.org/matter/dynamic-profile/view/1890587","19-1890587")</f>
        <v>0</v>
      </c>
      <c r="B3198" t="s">
        <v>72</v>
      </c>
      <c r="C3198" t="s">
        <v>448</v>
      </c>
      <c r="E3198" t="s">
        <v>2003</v>
      </c>
      <c r="F3198" t="s">
        <v>3578</v>
      </c>
      <c r="G3198" t="s">
        <v>3701</v>
      </c>
      <c r="H3198" t="s">
        <v>6007</v>
      </c>
      <c r="I3198" t="s">
        <v>6043</v>
      </c>
      <c r="J3198">
        <v>11233</v>
      </c>
      <c r="K3198" t="s">
        <v>6074</v>
      </c>
      <c r="L3198" t="s">
        <v>6076</v>
      </c>
      <c r="M3198" t="s">
        <v>6104</v>
      </c>
      <c r="N3198" t="s">
        <v>7279</v>
      </c>
      <c r="O3198" t="s">
        <v>7311</v>
      </c>
      <c r="Q3198" t="s">
        <v>7322</v>
      </c>
      <c r="R3198" t="s">
        <v>6074</v>
      </c>
      <c r="S3198" t="s">
        <v>7324</v>
      </c>
      <c r="T3198" t="s">
        <v>7336</v>
      </c>
      <c r="U3198" t="s">
        <v>330</v>
      </c>
      <c r="V3198">
        <v>1077</v>
      </c>
      <c r="W3198" t="s">
        <v>7362</v>
      </c>
      <c r="X3198" t="s">
        <v>7372</v>
      </c>
      <c r="Z3198" t="s">
        <v>8997</v>
      </c>
      <c r="AC3198">
        <v>359</v>
      </c>
      <c r="AD3198" t="s">
        <v>12422</v>
      </c>
      <c r="AE3198" t="s">
        <v>6110</v>
      </c>
      <c r="AF3198">
        <v>12</v>
      </c>
      <c r="AG3198">
        <v>2</v>
      </c>
      <c r="AH3198">
        <v>2</v>
      </c>
      <c r="AI3198">
        <v>446.6</v>
      </c>
      <c r="AL3198" t="s">
        <v>12460</v>
      </c>
      <c r="AM3198">
        <v>115000</v>
      </c>
      <c r="AN3198" t="s">
        <v>12687</v>
      </c>
      <c r="AS3198">
        <v>0</v>
      </c>
      <c r="AU3198" t="s">
        <v>218</v>
      </c>
    </row>
    <row r="3199" spans="1:48">
      <c r="A3199" s="1">
        <f>HYPERLINK("https://cms.ls-nyc.org/matter/dynamic-profile/view/1891610","19-1891610")</f>
        <v>0</v>
      </c>
      <c r="B3199" t="s">
        <v>72</v>
      </c>
      <c r="C3199" t="s">
        <v>364</v>
      </c>
      <c r="E3199" t="s">
        <v>2003</v>
      </c>
      <c r="F3199" t="s">
        <v>3578</v>
      </c>
      <c r="G3199" t="s">
        <v>3701</v>
      </c>
      <c r="H3199" t="s">
        <v>6007</v>
      </c>
      <c r="I3199" t="s">
        <v>6043</v>
      </c>
      <c r="J3199">
        <v>11233</v>
      </c>
      <c r="K3199" t="s">
        <v>6074</v>
      </c>
      <c r="L3199" t="s">
        <v>6076</v>
      </c>
      <c r="N3199" t="s">
        <v>7275</v>
      </c>
      <c r="O3199" t="s">
        <v>7307</v>
      </c>
      <c r="Q3199" t="s">
        <v>7322</v>
      </c>
      <c r="R3199" t="s">
        <v>6074</v>
      </c>
      <c r="S3199" t="s">
        <v>7324</v>
      </c>
      <c r="T3199" t="s">
        <v>7336</v>
      </c>
      <c r="U3199" t="s">
        <v>287</v>
      </c>
      <c r="V3199">
        <v>1077</v>
      </c>
      <c r="W3199" t="s">
        <v>7362</v>
      </c>
      <c r="X3199" t="s">
        <v>7372</v>
      </c>
      <c r="Z3199" t="s">
        <v>8997</v>
      </c>
      <c r="AC3199">
        <v>359</v>
      </c>
      <c r="AD3199" t="s">
        <v>12422</v>
      </c>
      <c r="AE3199" t="s">
        <v>6110</v>
      </c>
      <c r="AF3199">
        <v>12</v>
      </c>
      <c r="AG3199">
        <v>2</v>
      </c>
      <c r="AH3199">
        <v>2</v>
      </c>
      <c r="AI3199">
        <v>446.6</v>
      </c>
      <c r="AL3199" t="s">
        <v>12460</v>
      </c>
      <c r="AM3199">
        <v>115000</v>
      </c>
      <c r="AN3199" t="s">
        <v>12815</v>
      </c>
      <c r="AS3199">
        <v>0</v>
      </c>
      <c r="AU3199" t="s">
        <v>180</v>
      </c>
    </row>
    <row r="3200" spans="1:48">
      <c r="A3200" s="1">
        <f>HYPERLINK("https://cms.ls-nyc.org/matter/dynamic-profile/view/1889094","19-1889094")</f>
        <v>0</v>
      </c>
      <c r="B3200" t="s">
        <v>70</v>
      </c>
      <c r="C3200" t="s">
        <v>259</v>
      </c>
      <c r="E3200" t="s">
        <v>570</v>
      </c>
      <c r="F3200" t="s">
        <v>3579</v>
      </c>
      <c r="G3200" t="s">
        <v>3721</v>
      </c>
      <c r="H3200" t="s">
        <v>5436</v>
      </c>
      <c r="I3200" t="s">
        <v>6043</v>
      </c>
      <c r="J3200">
        <v>11226</v>
      </c>
      <c r="K3200" t="s">
        <v>6076</v>
      </c>
      <c r="L3200" t="s">
        <v>6075</v>
      </c>
      <c r="N3200" t="s">
        <v>7279</v>
      </c>
      <c r="O3200" t="s">
        <v>7311</v>
      </c>
      <c r="Q3200" t="s">
        <v>7322</v>
      </c>
      <c r="R3200" t="s">
        <v>6074</v>
      </c>
      <c r="S3200" t="s">
        <v>7324</v>
      </c>
      <c r="U3200" t="s">
        <v>250</v>
      </c>
      <c r="V3200">
        <v>838</v>
      </c>
      <c r="W3200" t="s">
        <v>7362</v>
      </c>
      <c r="Z3200" t="s">
        <v>9748</v>
      </c>
      <c r="AB3200" t="s">
        <v>12343</v>
      </c>
      <c r="AC3200">
        <v>0</v>
      </c>
      <c r="AD3200" t="s">
        <v>12422</v>
      </c>
      <c r="AF3200">
        <v>26</v>
      </c>
      <c r="AG3200">
        <v>1</v>
      </c>
      <c r="AH3200">
        <v>0</v>
      </c>
      <c r="AI3200">
        <v>448.36</v>
      </c>
      <c r="AL3200" t="s">
        <v>12460</v>
      </c>
      <c r="AM3200">
        <v>56000</v>
      </c>
      <c r="AS3200">
        <v>0.1</v>
      </c>
      <c r="AT3200" t="s">
        <v>285</v>
      </c>
      <c r="AU3200" t="s">
        <v>88</v>
      </c>
    </row>
    <row r="3201" spans="1:48">
      <c r="A3201" s="1">
        <f>HYPERLINK("https://cms.ls-nyc.org/matter/dynamic-profile/view/1889260","19-1889260")</f>
        <v>0</v>
      </c>
      <c r="B3201" t="s">
        <v>75</v>
      </c>
      <c r="C3201" t="s">
        <v>259</v>
      </c>
      <c r="E3201" t="s">
        <v>570</v>
      </c>
      <c r="F3201" t="s">
        <v>3579</v>
      </c>
      <c r="G3201" t="s">
        <v>3721</v>
      </c>
      <c r="H3201" t="s">
        <v>5436</v>
      </c>
      <c r="I3201" t="s">
        <v>6043</v>
      </c>
      <c r="J3201">
        <v>11226</v>
      </c>
      <c r="K3201" t="s">
        <v>6076</v>
      </c>
      <c r="L3201" t="s">
        <v>6076</v>
      </c>
      <c r="O3201" t="s">
        <v>7309</v>
      </c>
      <c r="Q3201" t="s">
        <v>7322</v>
      </c>
      <c r="S3201" t="s">
        <v>7324</v>
      </c>
      <c r="U3201" t="s">
        <v>267</v>
      </c>
      <c r="V3201">
        <v>838</v>
      </c>
      <c r="W3201" t="s">
        <v>7362</v>
      </c>
      <c r="Z3201" t="s">
        <v>9748</v>
      </c>
      <c r="AB3201" t="s">
        <v>12343</v>
      </c>
      <c r="AC3201">
        <v>0</v>
      </c>
      <c r="AF3201">
        <v>26</v>
      </c>
      <c r="AG3201">
        <v>1</v>
      </c>
      <c r="AH3201">
        <v>0</v>
      </c>
      <c r="AI3201">
        <v>448.36</v>
      </c>
      <c r="AL3201" t="s">
        <v>12460</v>
      </c>
      <c r="AM3201">
        <v>56000</v>
      </c>
      <c r="AS3201">
        <v>0</v>
      </c>
      <c r="AU3201" t="s">
        <v>88</v>
      </c>
    </row>
    <row r="3202" spans="1:48">
      <c r="A3202" s="1">
        <f>HYPERLINK("https://cms.ls-nyc.org/matter/dynamic-profile/view/1890994","19-1890994")</f>
        <v>0</v>
      </c>
      <c r="B3202" t="s">
        <v>108</v>
      </c>
      <c r="C3202" t="s">
        <v>393</v>
      </c>
      <c r="E3202" t="s">
        <v>872</v>
      </c>
      <c r="F3202" t="s">
        <v>3580</v>
      </c>
      <c r="G3202" t="s">
        <v>5320</v>
      </c>
      <c r="H3202" t="s">
        <v>5372</v>
      </c>
      <c r="I3202" t="s">
        <v>6047</v>
      </c>
      <c r="J3202">
        <v>10467</v>
      </c>
      <c r="K3202" t="s">
        <v>6074</v>
      </c>
      <c r="L3202" t="s">
        <v>6074</v>
      </c>
      <c r="N3202" t="s">
        <v>6104</v>
      </c>
      <c r="O3202" t="s">
        <v>7306</v>
      </c>
      <c r="Q3202" t="s">
        <v>7322</v>
      </c>
      <c r="R3202" t="s">
        <v>6076</v>
      </c>
      <c r="S3202" t="s">
        <v>7324</v>
      </c>
      <c r="U3202" t="s">
        <v>393</v>
      </c>
      <c r="V3202">
        <v>1164.51</v>
      </c>
      <c r="W3202" t="s">
        <v>7363</v>
      </c>
      <c r="X3202" t="s">
        <v>7376</v>
      </c>
      <c r="Y3202" t="s">
        <v>7386</v>
      </c>
      <c r="Z3202" t="s">
        <v>9749</v>
      </c>
      <c r="AC3202">
        <v>40</v>
      </c>
      <c r="AD3202" t="s">
        <v>12422</v>
      </c>
      <c r="AE3202" t="s">
        <v>6110</v>
      </c>
      <c r="AF3202">
        <v>13</v>
      </c>
      <c r="AG3202">
        <v>1</v>
      </c>
      <c r="AH3202">
        <v>0</v>
      </c>
      <c r="AI3202">
        <v>448.36</v>
      </c>
      <c r="AL3202" t="s">
        <v>12460</v>
      </c>
      <c r="AM3202">
        <v>56000</v>
      </c>
      <c r="AS3202">
        <v>4.4</v>
      </c>
      <c r="AT3202" t="s">
        <v>294</v>
      </c>
      <c r="AU3202" t="s">
        <v>97</v>
      </c>
    </row>
    <row r="3203" spans="1:48">
      <c r="A3203" s="1">
        <f>HYPERLINK("https://cms.ls-nyc.org/matter/dynamic-profile/view/1892403","19-1892403")</f>
        <v>0</v>
      </c>
      <c r="B3203" t="s">
        <v>96</v>
      </c>
      <c r="C3203" t="s">
        <v>337</v>
      </c>
      <c r="E3203" t="s">
        <v>1514</v>
      </c>
      <c r="F3203" t="s">
        <v>2861</v>
      </c>
      <c r="G3203" t="s">
        <v>3792</v>
      </c>
      <c r="H3203" t="s">
        <v>6008</v>
      </c>
      <c r="I3203" t="s">
        <v>6047</v>
      </c>
      <c r="J3203">
        <v>10453</v>
      </c>
      <c r="K3203" t="s">
        <v>6074</v>
      </c>
      <c r="L3203" t="s">
        <v>6074</v>
      </c>
      <c r="N3203" t="s">
        <v>7279</v>
      </c>
      <c r="O3203" t="s">
        <v>7311</v>
      </c>
      <c r="Q3203" t="s">
        <v>7322</v>
      </c>
      <c r="R3203" t="s">
        <v>6074</v>
      </c>
      <c r="S3203" t="s">
        <v>7324</v>
      </c>
      <c r="U3203" t="s">
        <v>457</v>
      </c>
      <c r="V3203">
        <v>1219.13</v>
      </c>
      <c r="W3203" t="s">
        <v>7363</v>
      </c>
      <c r="X3203" t="s">
        <v>7375</v>
      </c>
      <c r="Z3203" t="s">
        <v>9750</v>
      </c>
      <c r="AC3203">
        <v>170</v>
      </c>
      <c r="AD3203" t="s">
        <v>12422</v>
      </c>
      <c r="AE3203" t="s">
        <v>6110</v>
      </c>
      <c r="AF3203">
        <v>15</v>
      </c>
      <c r="AG3203">
        <v>2</v>
      </c>
      <c r="AH3203">
        <v>0</v>
      </c>
      <c r="AI3203">
        <v>449.44</v>
      </c>
      <c r="AL3203" t="s">
        <v>12461</v>
      </c>
      <c r="AM3203">
        <v>76000</v>
      </c>
      <c r="AS3203">
        <v>0</v>
      </c>
      <c r="AU3203" t="s">
        <v>13093</v>
      </c>
    </row>
    <row r="3204" spans="1:48">
      <c r="A3204" s="1">
        <f>HYPERLINK("https://cms.ls-nyc.org/matter/dynamic-profile/view/1891975","19-1891975")</f>
        <v>0</v>
      </c>
      <c r="B3204" t="s">
        <v>96</v>
      </c>
      <c r="C3204" t="s">
        <v>329</v>
      </c>
      <c r="E3204" t="s">
        <v>1514</v>
      </c>
      <c r="F3204" t="s">
        <v>2861</v>
      </c>
      <c r="G3204" t="s">
        <v>3792</v>
      </c>
      <c r="H3204" t="s">
        <v>6008</v>
      </c>
      <c r="I3204" t="s">
        <v>6047</v>
      </c>
      <c r="J3204">
        <v>10453</v>
      </c>
      <c r="K3204" t="s">
        <v>6074</v>
      </c>
      <c r="L3204" t="s">
        <v>6074</v>
      </c>
      <c r="M3204" t="s">
        <v>6259</v>
      </c>
      <c r="N3204" t="s">
        <v>7273</v>
      </c>
      <c r="O3204" t="s">
        <v>7308</v>
      </c>
      <c r="Q3204" t="s">
        <v>7322</v>
      </c>
      <c r="R3204" t="s">
        <v>6074</v>
      </c>
      <c r="S3204" t="s">
        <v>7324</v>
      </c>
      <c r="U3204" t="s">
        <v>457</v>
      </c>
      <c r="V3204">
        <v>1219.13</v>
      </c>
      <c r="W3204" t="s">
        <v>7363</v>
      </c>
      <c r="X3204" t="s">
        <v>7375</v>
      </c>
      <c r="Z3204" t="s">
        <v>9750</v>
      </c>
      <c r="AC3204">
        <v>170</v>
      </c>
      <c r="AD3204" t="s">
        <v>12422</v>
      </c>
      <c r="AE3204" t="s">
        <v>6110</v>
      </c>
      <c r="AF3204">
        <v>15</v>
      </c>
      <c r="AG3204">
        <v>2</v>
      </c>
      <c r="AH3204">
        <v>0</v>
      </c>
      <c r="AI3204">
        <v>449.44</v>
      </c>
      <c r="AL3204" t="s">
        <v>12461</v>
      </c>
      <c r="AM3204">
        <v>76000</v>
      </c>
      <c r="AS3204">
        <v>0</v>
      </c>
      <c r="AU3204" t="s">
        <v>13093</v>
      </c>
    </row>
    <row r="3205" spans="1:48">
      <c r="A3205" s="1">
        <f>HYPERLINK("https://cms.ls-nyc.org/matter/dynamic-profile/view/1887586","19-1887586")</f>
        <v>0</v>
      </c>
      <c r="B3205" t="s">
        <v>92</v>
      </c>
      <c r="C3205" t="s">
        <v>492</v>
      </c>
      <c r="D3205" t="s">
        <v>472</v>
      </c>
      <c r="E3205" t="s">
        <v>1710</v>
      </c>
      <c r="F3205" t="s">
        <v>3230</v>
      </c>
      <c r="G3205" t="s">
        <v>4991</v>
      </c>
      <c r="H3205" t="s">
        <v>5385</v>
      </c>
      <c r="I3205" t="s">
        <v>6043</v>
      </c>
      <c r="J3205">
        <v>11233</v>
      </c>
      <c r="K3205" t="s">
        <v>6074</v>
      </c>
      <c r="L3205" t="s">
        <v>6074</v>
      </c>
      <c r="M3205" t="s">
        <v>7188</v>
      </c>
      <c r="N3205" t="s">
        <v>7279</v>
      </c>
      <c r="O3205" t="s">
        <v>7311</v>
      </c>
      <c r="P3205" t="s">
        <v>7321</v>
      </c>
      <c r="Q3205" t="s">
        <v>7322</v>
      </c>
      <c r="R3205" t="s">
        <v>6074</v>
      </c>
      <c r="S3205" t="s">
        <v>7324</v>
      </c>
      <c r="U3205" t="s">
        <v>7344</v>
      </c>
      <c r="V3205">
        <v>0</v>
      </c>
      <c r="W3205" t="s">
        <v>7362</v>
      </c>
      <c r="X3205" t="s">
        <v>7370</v>
      </c>
      <c r="Y3205" t="s">
        <v>7387</v>
      </c>
      <c r="Z3205" t="s">
        <v>9172</v>
      </c>
      <c r="AC3205">
        <v>7</v>
      </c>
      <c r="AD3205" t="s">
        <v>12422</v>
      </c>
      <c r="AF3205">
        <v>0</v>
      </c>
      <c r="AG3205">
        <v>1</v>
      </c>
      <c r="AH3205">
        <v>0</v>
      </c>
      <c r="AI3205">
        <v>453.05</v>
      </c>
      <c r="AL3205" t="s">
        <v>12460</v>
      </c>
      <c r="AM3205">
        <v>55000</v>
      </c>
      <c r="AP3205" t="s">
        <v>12908</v>
      </c>
      <c r="AS3205">
        <v>0.3</v>
      </c>
      <c r="AT3205" t="s">
        <v>492</v>
      </c>
      <c r="AU3205" t="s">
        <v>180</v>
      </c>
    </row>
    <row r="3206" spans="1:48">
      <c r="A3206" s="1">
        <f>HYPERLINK("https://cms.ls-nyc.org/matter/dynamic-profile/view/1887590","19-1887590")</f>
        <v>0</v>
      </c>
      <c r="B3206" t="s">
        <v>92</v>
      </c>
      <c r="C3206" t="s">
        <v>492</v>
      </c>
      <c r="D3206" t="s">
        <v>472</v>
      </c>
      <c r="E3206" t="s">
        <v>1710</v>
      </c>
      <c r="F3206" t="s">
        <v>3230</v>
      </c>
      <c r="G3206" t="s">
        <v>4991</v>
      </c>
      <c r="H3206" t="s">
        <v>5385</v>
      </c>
      <c r="I3206" t="s">
        <v>6043</v>
      </c>
      <c r="J3206">
        <v>11233</v>
      </c>
      <c r="K3206" t="s">
        <v>6074</v>
      </c>
      <c r="L3206" t="s">
        <v>6074</v>
      </c>
      <c r="N3206" t="s">
        <v>7275</v>
      </c>
      <c r="O3206" t="s">
        <v>7307</v>
      </c>
      <c r="P3206" t="s">
        <v>7315</v>
      </c>
      <c r="Q3206" t="s">
        <v>7322</v>
      </c>
      <c r="R3206" t="s">
        <v>6074</v>
      </c>
      <c r="S3206" t="s">
        <v>7324</v>
      </c>
      <c r="U3206" t="s">
        <v>465</v>
      </c>
      <c r="V3206">
        <v>0</v>
      </c>
      <c r="W3206" t="s">
        <v>7362</v>
      </c>
      <c r="X3206" t="s">
        <v>7370</v>
      </c>
      <c r="Y3206" t="s">
        <v>7387</v>
      </c>
      <c r="Z3206" t="s">
        <v>9172</v>
      </c>
      <c r="AC3206">
        <v>7</v>
      </c>
      <c r="AD3206" t="s">
        <v>12422</v>
      </c>
      <c r="AF3206">
        <v>0</v>
      </c>
      <c r="AG3206">
        <v>1</v>
      </c>
      <c r="AH3206">
        <v>0</v>
      </c>
      <c r="AI3206">
        <v>453.05</v>
      </c>
      <c r="AL3206" t="s">
        <v>12460</v>
      </c>
      <c r="AM3206">
        <v>55000</v>
      </c>
      <c r="AP3206" t="s">
        <v>7305</v>
      </c>
      <c r="AS3206">
        <v>0.2</v>
      </c>
      <c r="AT3206" t="s">
        <v>492</v>
      </c>
      <c r="AU3206" t="s">
        <v>180</v>
      </c>
    </row>
    <row r="3207" spans="1:48">
      <c r="A3207" s="1">
        <f>HYPERLINK("https://cms.ls-nyc.org/matter/dynamic-profile/view/1876927","18-1876927")</f>
        <v>0</v>
      </c>
      <c r="B3207" t="s">
        <v>90</v>
      </c>
      <c r="C3207" t="s">
        <v>290</v>
      </c>
      <c r="E3207" t="s">
        <v>686</v>
      </c>
      <c r="F3207" t="s">
        <v>3581</v>
      </c>
      <c r="G3207" t="s">
        <v>4507</v>
      </c>
      <c r="H3207" t="s">
        <v>5598</v>
      </c>
      <c r="I3207" t="s">
        <v>6043</v>
      </c>
      <c r="J3207">
        <v>11216</v>
      </c>
      <c r="K3207" t="s">
        <v>6074</v>
      </c>
      <c r="L3207" t="s">
        <v>6074</v>
      </c>
      <c r="N3207" t="s">
        <v>7282</v>
      </c>
      <c r="O3207" t="s">
        <v>7308</v>
      </c>
      <c r="Q3207" t="s">
        <v>7322</v>
      </c>
      <c r="R3207" t="s">
        <v>6074</v>
      </c>
      <c r="S3207" t="s">
        <v>7324</v>
      </c>
      <c r="U3207" t="s">
        <v>399</v>
      </c>
      <c r="V3207">
        <v>1450</v>
      </c>
      <c r="W3207" t="s">
        <v>7362</v>
      </c>
      <c r="X3207" t="s">
        <v>7375</v>
      </c>
      <c r="Z3207" t="s">
        <v>9751</v>
      </c>
      <c r="AC3207">
        <v>82</v>
      </c>
      <c r="AD3207" t="s">
        <v>12422</v>
      </c>
      <c r="AE3207" t="s">
        <v>6110</v>
      </c>
      <c r="AF3207">
        <v>1</v>
      </c>
      <c r="AG3207">
        <v>1</v>
      </c>
      <c r="AH3207">
        <v>0</v>
      </c>
      <c r="AI3207">
        <v>453.05</v>
      </c>
      <c r="AJ3207" t="s">
        <v>350</v>
      </c>
      <c r="AK3207" t="s">
        <v>12456</v>
      </c>
      <c r="AL3207" t="s">
        <v>12460</v>
      </c>
      <c r="AM3207">
        <v>55000</v>
      </c>
      <c r="AN3207" t="s">
        <v>12816</v>
      </c>
      <c r="AS3207">
        <v>0</v>
      </c>
      <c r="AU3207" t="s">
        <v>218</v>
      </c>
    </row>
    <row r="3208" spans="1:48">
      <c r="A3208" s="1">
        <f>HYPERLINK("https://cms.ls-nyc.org/matter/dynamic-profile/view/1876925","18-1876925")</f>
        <v>0</v>
      </c>
      <c r="B3208" t="s">
        <v>90</v>
      </c>
      <c r="C3208" t="s">
        <v>290</v>
      </c>
      <c r="E3208" t="s">
        <v>686</v>
      </c>
      <c r="F3208" t="s">
        <v>3581</v>
      </c>
      <c r="G3208" t="s">
        <v>4507</v>
      </c>
      <c r="H3208" t="s">
        <v>5598</v>
      </c>
      <c r="I3208" t="s">
        <v>6043</v>
      </c>
      <c r="J3208">
        <v>11216</v>
      </c>
      <c r="K3208" t="s">
        <v>6074</v>
      </c>
      <c r="L3208" t="s">
        <v>6074</v>
      </c>
      <c r="N3208" t="s">
        <v>6104</v>
      </c>
      <c r="O3208" t="s">
        <v>7307</v>
      </c>
      <c r="Q3208" t="s">
        <v>7322</v>
      </c>
      <c r="R3208" t="s">
        <v>6074</v>
      </c>
      <c r="S3208" t="s">
        <v>7324</v>
      </c>
      <c r="U3208" t="s">
        <v>399</v>
      </c>
      <c r="V3208">
        <v>1450</v>
      </c>
      <c r="W3208" t="s">
        <v>7362</v>
      </c>
      <c r="X3208" t="s">
        <v>7375</v>
      </c>
      <c r="Z3208" t="s">
        <v>9751</v>
      </c>
      <c r="AC3208">
        <v>82</v>
      </c>
      <c r="AD3208" t="s">
        <v>12422</v>
      </c>
      <c r="AE3208" t="s">
        <v>6110</v>
      </c>
      <c r="AF3208">
        <v>1</v>
      </c>
      <c r="AG3208">
        <v>1</v>
      </c>
      <c r="AH3208">
        <v>0</v>
      </c>
      <c r="AI3208">
        <v>453.05</v>
      </c>
      <c r="AJ3208" t="s">
        <v>350</v>
      </c>
      <c r="AK3208" t="s">
        <v>12456</v>
      </c>
      <c r="AL3208" t="s">
        <v>12460</v>
      </c>
      <c r="AM3208">
        <v>55000</v>
      </c>
      <c r="AN3208" t="s">
        <v>12491</v>
      </c>
      <c r="AS3208">
        <v>0</v>
      </c>
      <c r="AU3208" t="s">
        <v>218</v>
      </c>
    </row>
    <row r="3209" spans="1:48">
      <c r="A3209" s="1">
        <f>HYPERLINK("https://cms.ls-nyc.org/matter/dynamic-profile/view/1881553","18-1881553")</f>
        <v>0</v>
      </c>
      <c r="B3209" t="s">
        <v>72</v>
      </c>
      <c r="C3209" t="s">
        <v>369</v>
      </c>
      <c r="D3209" t="s">
        <v>405</v>
      </c>
      <c r="E3209" t="s">
        <v>616</v>
      </c>
      <c r="F3209" t="s">
        <v>3582</v>
      </c>
      <c r="G3209" t="s">
        <v>4439</v>
      </c>
      <c r="H3209" t="s">
        <v>5393</v>
      </c>
      <c r="I3209" t="s">
        <v>6043</v>
      </c>
      <c r="J3209">
        <v>11213</v>
      </c>
      <c r="K3209" t="s">
        <v>6074</v>
      </c>
      <c r="L3209" t="s">
        <v>6074</v>
      </c>
      <c r="M3209" t="s">
        <v>6104</v>
      </c>
      <c r="N3209" t="s">
        <v>6104</v>
      </c>
      <c r="O3209" t="s">
        <v>7306</v>
      </c>
      <c r="P3209" t="s">
        <v>7314</v>
      </c>
      <c r="Q3209" t="s">
        <v>7322</v>
      </c>
      <c r="R3209" t="s">
        <v>6074</v>
      </c>
      <c r="S3209" t="s">
        <v>7324</v>
      </c>
      <c r="T3209" t="s">
        <v>7336</v>
      </c>
      <c r="U3209" t="s">
        <v>391</v>
      </c>
      <c r="V3209">
        <v>794</v>
      </c>
      <c r="W3209" t="s">
        <v>7362</v>
      </c>
      <c r="X3209" t="s">
        <v>7376</v>
      </c>
      <c r="Y3209" t="s">
        <v>7386</v>
      </c>
      <c r="Z3209" t="s">
        <v>9752</v>
      </c>
      <c r="AA3209" t="s">
        <v>6110</v>
      </c>
      <c r="AB3209" t="s">
        <v>12344</v>
      </c>
      <c r="AC3209">
        <v>35</v>
      </c>
      <c r="AD3209" t="s">
        <v>12422</v>
      </c>
      <c r="AE3209" t="s">
        <v>6110</v>
      </c>
      <c r="AF3209">
        <v>20</v>
      </c>
      <c r="AG3209">
        <v>2</v>
      </c>
      <c r="AH3209">
        <v>2</v>
      </c>
      <c r="AI3209">
        <v>454.18</v>
      </c>
      <c r="AK3209" t="s">
        <v>12456</v>
      </c>
      <c r="AL3209" t="s">
        <v>12460</v>
      </c>
      <c r="AM3209">
        <v>114000</v>
      </c>
      <c r="AN3209" t="s">
        <v>12532</v>
      </c>
      <c r="AS3209">
        <v>1.5</v>
      </c>
      <c r="AT3209" t="s">
        <v>269</v>
      </c>
      <c r="AU3209" t="s">
        <v>218</v>
      </c>
    </row>
    <row r="3210" spans="1:48">
      <c r="A3210" s="1">
        <f>HYPERLINK("https://cms.ls-nyc.org/matter/dynamic-profile/view/1893258","19-1893258")</f>
        <v>0</v>
      </c>
      <c r="B3210" t="s">
        <v>72</v>
      </c>
      <c r="C3210" t="s">
        <v>293</v>
      </c>
      <c r="E3210" t="s">
        <v>2004</v>
      </c>
      <c r="F3210" t="s">
        <v>2528</v>
      </c>
      <c r="G3210" t="s">
        <v>3701</v>
      </c>
      <c r="H3210" t="s">
        <v>5438</v>
      </c>
      <c r="I3210" t="s">
        <v>6043</v>
      </c>
      <c r="J3210">
        <v>11233</v>
      </c>
      <c r="K3210" t="s">
        <v>6074</v>
      </c>
      <c r="L3210" t="s">
        <v>6076</v>
      </c>
      <c r="M3210" t="s">
        <v>6110</v>
      </c>
      <c r="N3210" t="s">
        <v>7279</v>
      </c>
      <c r="O3210" t="s">
        <v>7311</v>
      </c>
      <c r="Q3210" t="s">
        <v>7322</v>
      </c>
      <c r="R3210" t="s">
        <v>6074</v>
      </c>
      <c r="S3210" t="s">
        <v>7324</v>
      </c>
      <c r="T3210" t="s">
        <v>7336</v>
      </c>
      <c r="U3210" t="s">
        <v>330</v>
      </c>
      <c r="V3210">
        <v>1515</v>
      </c>
      <c r="W3210" t="s">
        <v>7362</v>
      </c>
      <c r="X3210" t="s">
        <v>7305</v>
      </c>
      <c r="Z3210" t="s">
        <v>9753</v>
      </c>
      <c r="AA3210" t="s">
        <v>6110</v>
      </c>
      <c r="AC3210">
        <v>359</v>
      </c>
      <c r="AD3210" t="s">
        <v>12422</v>
      </c>
      <c r="AE3210" t="s">
        <v>6110</v>
      </c>
      <c r="AF3210">
        <v>2</v>
      </c>
      <c r="AG3210">
        <v>1</v>
      </c>
      <c r="AH3210">
        <v>0</v>
      </c>
      <c r="AI3210">
        <v>454.64</v>
      </c>
      <c r="AL3210" t="s">
        <v>12460</v>
      </c>
      <c r="AM3210">
        <v>56784</v>
      </c>
      <c r="AN3210" t="s">
        <v>12817</v>
      </c>
      <c r="AS3210">
        <v>0</v>
      </c>
      <c r="AU3210" t="s">
        <v>218</v>
      </c>
    </row>
    <row r="3211" spans="1:48">
      <c r="A3211" s="1">
        <f>HYPERLINK("https://cms.ls-nyc.org/matter/dynamic-profile/view/1893262","19-1893262")</f>
        <v>0</v>
      </c>
      <c r="B3211" t="s">
        <v>72</v>
      </c>
      <c r="C3211" t="s">
        <v>293</v>
      </c>
      <c r="E3211" t="s">
        <v>2004</v>
      </c>
      <c r="F3211" t="s">
        <v>2528</v>
      </c>
      <c r="G3211" t="s">
        <v>3701</v>
      </c>
      <c r="H3211" t="s">
        <v>5438</v>
      </c>
      <c r="I3211" t="s">
        <v>6043</v>
      </c>
      <c r="J3211">
        <v>11233</v>
      </c>
      <c r="K3211" t="s">
        <v>6074</v>
      </c>
      <c r="L3211" t="s">
        <v>6076</v>
      </c>
      <c r="M3211" t="s">
        <v>6110</v>
      </c>
      <c r="N3211" t="s">
        <v>7275</v>
      </c>
      <c r="O3211" t="s">
        <v>7307</v>
      </c>
      <c r="Q3211" t="s">
        <v>7322</v>
      </c>
      <c r="R3211" t="s">
        <v>6074</v>
      </c>
      <c r="S3211" t="s">
        <v>7324</v>
      </c>
      <c r="T3211" t="s">
        <v>7336</v>
      </c>
      <c r="U3211" t="s">
        <v>287</v>
      </c>
      <c r="V3211">
        <v>1515</v>
      </c>
      <c r="W3211" t="s">
        <v>7362</v>
      </c>
      <c r="X3211" t="s">
        <v>7305</v>
      </c>
      <c r="Z3211" t="s">
        <v>9753</v>
      </c>
      <c r="AC3211">
        <v>359</v>
      </c>
      <c r="AD3211" t="s">
        <v>12422</v>
      </c>
      <c r="AE3211" t="s">
        <v>6110</v>
      </c>
      <c r="AF3211">
        <v>2</v>
      </c>
      <c r="AG3211">
        <v>1</v>
      </c>
      <c r="AH3211">
        <v>0</v>
      </c>
      <c r="AI3211">
        <v>454.64</v>
      </c>
      <c r="AL3211" t="s">
        <v>12460</v>
      </c>
      <c r="AM3211">
        <v>56784</v>
      </c>
      <c r="AN3211" t="s">
        <v>12818</v>
      </c>
      <c r="AS3211">
        <v>0</v>
      </c>
      <c r="AU3211" t="s">
        <v>218</v>
      </c>
    </row>
    <row r="3212" spans="1:48">
      <c r="A3212" s="1">
        <f>HYPERLINK("https://cms.ls-nyc.org/matter/dynamic-profile/view/1901226","19-1901226")</f>
        <v>0</v>
      </c>
      <c r="B3212" t="s">
        <v>131</v>
      </c>
      <c r="C3212" t="s">
        <v>496</v>
      </c>
      <c r="E3212" t="s">
        <v>716</v>
      </c>
      <c r="F3212" t="s">
        <v>3583</v>
      </c>
      <c r="G3212" t="s">
        <v>5321</v>
      </c>
      <c r="H3212" t="s">
        <v>5453</v>
      </c>
      <c r="I3212" t="s">
        <v>6049</v>
      </c>
      <c r="J3212">
        <v>10032</v>
      </c>
      <c r="K3212" t="s">
        <v>6074</v>
      </c>
      <c r="L3212" t="s">
        <v>6075</v>
      </c>
      <c r="N3212" t="s">
        <v>7278</v>
      </c>
      <c r="O3212" t="s">
        <v>7307</v>
      </c>
      <c r="Q3212" t="s">
        <v>7322</v>
      </c>
      <c r="R3212" t="s">
        <v>6076</v>
      </c>
      <c r="S3212" t="s">
        <v>7324</v>
      </c>
      <c r="U3212" t="s">
        <v>496</v>
      </c>
      <c r="V3212">
        <v>2036.46</v>
      </c>
      <c r="W3212" t="s">
        <v>7365</v>
      </c>
      <c r="X3212" t="s">
        <v>7367</v>
      </c>
      <c r="Z3212" t="s">
        <v>9754</v>
      </c>
      <c r="AC3212">
        <v>14</v>
      </c>
      <c r="AD3212" t="s">
        <v>12422</v>
      </c>
      <c r="AE3212" t="s">
        <v>6110</v>
      </c>
      <c r="AF3212">
        <v>2</v>
      </c>
      <c r="AG3212">
        <v>1</v>
      </c>
      <c r="AH3212">
        <v>0</v>
      </c>
      <c r="AI3212">
        <v>456.37</v>
      </c>
      <c r="AL3212" t="s">
        <v>12460</v>
      </c>
      <c r="AM3212">
        <v>57000</v>
      </c>
      <c r="AS3212">
        <v>0</v>
      </c>
      <c r="AU3212" t="s">
        <v>13106</v>
      </c>
      <c r="AV3212" t="s">
        <v>13145</v>
      </c>
    </row>
    <row r="3213" spans="1:48">
      <c r="A3213" s="1">
        <f>HYPERLINK("https://cms.ls-nyc.org/matter/dynamic-profile/view/1885317","18-1885317")</f>
        <v>0</v>
      </c>
      <c r="B3213" t="s">
        <v>89</v>
      </c>
      <c r="C3213" t="s">
        <v>341</v>
      </c>
      <c r="E3213" t="s">
        <v>831</v>
      </c>
      <c r="F3213" t="s">
        <v>1017</v>
      </c>
      <c r="G3213" t="s">
        <v>4982</v>
      </c>
      <c r="H3213" t="s">
        <v>5821</v>
      </c>
      <c r="I3213" t="s">
        <v>6043</v>
      </c>
      <c r="J3213">
        <v>11213</v>
      </c>
      <c r="K3213" t="s">
        <v>6074</v>
      </c>
      <c r="L3213" t="s">
        <v>6074</v>
      </c>
      <c r="M3213" t="s">
        <v>6147</v>
      </c>
      <c r="N3213" t="s">
        <v>7273</v>
      </c>
      <c r="O3213" t="s">
        <v>7308</v>
      </c>
      <c r="Q3213" t="s">
        <v>7322</v>
      </c>
      <c r="R3213" t="s">
        <v>6074</v>
      </c>
      <c r="S3213" t="s">
        <v>7324</v>
      </c>
      <c r="T3213" t="s">
        <v>7336</v>
      </c>
      <c r="U3213" t="s">
        <v>563</v>
      </c>
      <c r="V3213">
        <v>1197</v>
      </c>
      <c r="W3213" t="s">
        <v>7362</v>
      </c>
      <c r="X3213" t="s">
        <v>7376</v>
      </c>
      <c r="Z3213" t="s">
        <v>9755</v>
      </c>
      <c r="AA3213" t="s">
        <v>6110</v>
      </c>
      <c r="AB3213" t="s">
        <v>12345</v>
      </c>
      <c r="AC3213">
        <v>34</v>
      </c>
      <c r="AD3213" t="s">
        <v>12422</v>
      </c>
      <c r="AE3213" t="s">
        <v>6110</v>
      </c>
      <c r="AF3213">
        <v>7</v>
      </c>
      <c r="AG3213">
        <v>3</v>
      </c>
      <c r="AH3213">
        <v>0</v>
      </c>
      <c r="AI3213">
        <v>457.41</v>
      </c>
      <c r="AL3213" t="s">
        <v>12460</v>
      </c>
      <c r="AM3213">
        <v>95050.08</v>
      </c>
      <c r="AS3213">
        <v>0.1</v>
      </c>
      <c r="AT3213" t="s">
        <v>405</v>
      </c>
      <c r="AU3213" t="s">
        <v>218</v>
      </c>
    </row>
    <row r="3214" spans="1:48">
      <c r="A3214" s="1">
        <f>HYPERLINK("https://cms.ls-nyc.org/matter/dynamic-profile/view/1889794","19-1889794")</f>
        <v>0</v>
      </c>
      <c r="B3214" t="s">
        <v>86</v>
      </c>
      <c r="C3214" t="s">
        <v>286</v>
      </c>
      <c r="D3214" t="s">
        <v>557</v>
      </c>
      <c r="E3214" t="s">
        <v>1276</v>
      </c>
      <c r="F3214" t="s">
        <v>663</v>
      </c>
      <c r="G3214" t="s">
        <v>5078</v>
      </c>
      <c r="H3214" t="s">
        <v>6009</v>
      </c>
      <c r="I3214" t="s">
        <v>6043</v>
      </c>
      <c r="J3214">
        <v>11236</v>
      </c>
      <c r="K3214" t="s">
        <v>6074</v>
      </c>
      <c r="L3214" t="s">
        <v>6074</v>
      </c>
      <c r="N3214" t="s">
        <v>7291</v>
      </c>
      <c r="O3214" t="s">
        <v>7311</v>
      </c>
      <c r="P3214" t="s">
        <v>7321</v>
      </c>
      <c r="Q3214" t="s">
        <v>7322</v>
      </c>
      <c r="R3214" t="s">
        <v>6076</v>
      </c>
      <c r="S3214" t="s">
        <v>7327</v>
      </c>
      <c r="T3214" t="s">
        <v>7340</v>
      </c>
      <c r="U3214" t="s">
        <v>337</v>
      </c>
      <c r="V3214">
        <v>869</v>
      </c>
      <c r="W3214" t="s">
        <v>7362</v>
      </c>
      <c r="X3214" t="s">
        <v>7375</v>
      </c>
      <c r="Y3214" t="s">
        <v>7397</v>
      </c>
      <c r="Z3214" t="s">
        <v>8418</v>
      </c>
      <c r="AB3214" t="s">
        <v>12346</v>
      </c>
      <c r="AC3214">
        <v>113</v>
      </c>
      <c r="AD3214" t="s">
        <v>12422</v>
      </c>
      <c r="AE3214" t="s">
        <v>6110</v>
      </c>
      <c r="AF3214">
        <v>15</v>
      </c>
      <c r="AG3214">
        <v>1</v>
      </c>
      <c r="AH3214">
        <v>0</v>
      </c>
      <c r="AI3214">
        <v>457.97</v>
      </c>
      <c r="AL3214" t="s">
        <v>12460</v>
      </c>
      <c r="AM3214">
        <v>57200</v>
      </c>
      <c r="AN3214" t="s">
        <v>12819</v>
      </c>
      <c r="AS3214">
        <v>4.25</v>
      </c>
      <c r="AT3214" t="s">
        <v>557</v>
      </c>
      <c r="AU3214" t="s">
        <v>180</v>
      </c>
    </row>
    <row r="3215" spans="1:48">
      <c r="A3215" s="1">
        <f>HYPERLINK("https://cms.ls-nyc.org/matter/dynamic-profile/view/1880097","18-1880097")</f>
        <v>0</v>
      </c>
      <c r="B3215" t="s">
        <v>89</v>
      </c>
      <c r="C3215" t="s">
        <v>245</v>
      </c>
      <c r="E3215" t="s">
        <v>2005</v>
      </c>
      <c r="F3215" t="s">
        <v>3578</v>
      </c>
      <c r="G3215" t="s">
        <v>4982</v>
      </c>
      <c r="H3215" t="s">
        <v>5358</v>
      </c>
      <c r="I3215" t="s">
        <v>6043</v>
      </c>
      <c r="J3215">
        <v>11213</v>
      </c>
      <c r="K3215" t="s">
        <v>6074</v>
      </c>
      <c r="L3215" t="s">
        <v>6074</v>
      </c>
      <c r="M3215" t="s">
        <v>6147</v>
      </c>
      <c r="N3215" t="s">
        <v>7273</v>
      </c>
      <c r="O3215" t="s">
        <v>7308</v>
      </c>
      <c r="Q3215" t="s">
        <v>7322</v>
      </c>
      <c r="R3215" t="s">
        <v>6074</v>
      </c>
      <c r="S3215" t="s">
        <v>7324</v>
      </c>
      <c r="T3215" t="s">
        <v>7336</v>
      </c>
      <c r="U3215" t="s">
        <v>255</v>
      </c>
      <c r="V3215">
        <v>0</v>
      </c>
      <c r="W3215" t="s">
        <v>7362</v>
      </c>
      <c r="X3215" t="s">
        <v>7376</v>
      </c>
      <c r="Z3215" t="s">
        <v>9756</v>
      </c>
      <c r="AA3215" t="s">
        <v>6110</v>
      </c>
      <c r="AB3215" t="s">
        <v>12347</v>
      </c>
      <c r="AC3215">
        <v>34</v>
      </c>
      <c r="AD3215" t="s">
        <v>12422</v>
      </c>
      <c r="AE3215" t="s">
        <v>6110</v>
      </c>
      <c r="AF3215">
        <v>0</v>
      </c>
      <c r="AG3215">
        <v>1</v>
      </c>
      <c r="AH3215">
        <v>0</v>
      </c>
      <c r="AI3215">
        <v>461.29</v>
      </c>
      <c r="AL3215" t="s">
        <v>12460</v>
      </c>
      <c r="AM3215">
        <v>56000</v>
      </c>
      <c r="AS3215">
        <v>1.2</v>
      </c>
      <c r="AT3215" t="s">
        <v>255</v>
      </c>
      <c r="AU3215" t="s">
        <v>218</v>
      </c>
    </row>
    <row r="3216" spans="1:48">
      <c r="A3216" s="1">
        <f>HYPERLINK("https://cms.ls-nyc.org/matter/dynamic-profile/view/1871454","18-1871454")</f>
        <v>0</v>
      </c>
      <c r="B3216" t="s">
        <v>96</v>
      </c>
      <c r="C3216" t="s">
        <v>342</v>
      </c>
      <c r="E3216" t="s">
        <v>2006</v>
      </c>
      <c r="F3216" t="s">
        <v>3584</v>
      </c>
      <c r="G3216" t="s">
        <v>3772</v>
      </c>
      <c r="H3216" t="s">
        <v>5363</v>
      </c>
      <c r="I3216" t="s">
        <v>6047</v>
      </c>
      <c r="J3216">
        <v>10468</v>
      </c>
      <c r="K3216" t="s">
        <v>6074</v>
      </c>
      <c r="L3216" t="s">
        <v>6074</v>
      </c>
      <c r="M3216" t="s">
        <v>6178</v>
      </c>
      <c r="N3216" t="s">
        <v>7273</v>
      </c>
      <c r="O3216" t="s">
        <v>7308</v>
      </c>
      <c r="Q3216" t="s">
        <v>7322</v>
      </c>
      <c r="R3216" t="s">
        <v>6074</v>
      </c>
      <c r="S3216" t="s">
        <v>7324</v>
      </c>
      <c r="T3216" t="s">
        <v>7336</v>
      </c>
      <c r="U3216" t="s">
        <v>342</v>
      </c>
      <c r="V3216">
        <v>1495</v>
      </c>
      <c r="W3216" t="s">
        <v>7363</v>
      </c>
      <c r="X3216" t="s">
        <v>7376</v>
      </c>
      <c r="Z3216" t="s">
        <v>9757</v>
      </c>
      <c r="AB3216" t="s">
        <v>12348</v>
      </c>
      <c r="AC3216">
        <v>58</v>
      </c>
      <c r="AD3216" t="s">
        <v>12422</v>
      </c>
      <c r="AF3216">
        <v>1</v>
      </c>
      <c r="AG3216">
        <v>2</v>
      </c>
      <c r="AH3216">
        <v>0</v>
      </c>
      <c r="AI3216">
        <v>467.8</v>
      </c>
      <c r="AL3216" t="s">
        <v>12460</v>
      </c>
      <c r="AM3216">
        <v>77000</v>
      </c>
      <c r="AS3216">
        <v>0.5</v>
      </c>
      <c r="AT3216" t="s">
        <v>342</v>
      </c>
      <c r="AU3216" t="s">
        <v>13092</v>
      </c>
    </row>
    <row r="3217" spans="1:48">
      <c r="A3217" s="1">
        <f>HYPERLINK("https://cms.ls-nyc.org/matter/dynamic-profile/view/1899643","19-1899643")</f>
        <v>0</v>
      </c>
      <c r="B3217" t="s">
        <v>90</v>
      </c>
      <c r="C3217" t="s">
        <v>446</v>
      </c>
      <c r="E3217" t="s">
        <v>913</v>
      </c>
      <c r="F3217" t="s">
        <v>3585</v>
      </c>
      <c r="G3217" t="s">
        <v>3743</v>
      </c>
      <c r="H3217" t="s">
        <v>5382</v>
      </c>
      <c r="I3217" t="s">
        <v>6043</v>
      </c>
      <c r="J3217">
        <v>11212</v>
      </c>
      <c r="K3217" t="s">
        <v>6074</v>
      </c>
      <c r="L3217" t="s">
        <v>6075</v>
      </c>
      <c r="M3217" t="s">
        <v>7264</v>
      </c>
      <c r="N3217" t="s">
        <v>7276</v>
      </c>
      <c r="O3217" t="s">
        <v>7308</v>
      </c>
      <c r="Q3217" t="s">
        <v>7322</v>
      </c>
      <c r="R3217" t="s">
        <v>6076</v>
      </c>
      <c r="S3217" t="s">
        <v>7324</v>
      </c>
      <c r="T3217" t="s">
        <v>7336</v>
      </c>
      <c r="U3217" t="s">
        <v>265</v>
      </c>
      <c r="V3217">
        <v>966</v>
      </c>
      <c r="W3217" t="s">
        <v>7362</v>
      </c>
      <c r="X3217" t="s">
        <v>7368</v>
      </c>
      <c r="Z3217" t="s">
        <v>9758</v>
      </c>
      <c r="AB3217" t="s">
        <v>12349</v>
      </c>
      <c r="AC3217">
        <v>16</v>
      </c>
      <c r="AD3217" t="s">
        <v>12422</v>
      </c>
      <c r="AE3217" t="s">
        <v>6110</v>
      </c>
      <c r="AF3217">
        <v>16</v>
      </c>
      <c r="AG3217">
        <v>3</v>
      </c>
      <c r="AH3217">
        <v>0</v>
      </c>
      <c r="AI3217">
        <v>468.82</v>
      </c>
      <c r="AL3217" t="s">
        <v>12460</v>
      </c>
      <c r="AM3217">
        <v>100000</v>
      </c>
      <c r="AS3217">
        <v>5.4</v>
      </c>
      <c r="AT3217" t="s">
        <v>460</v>
      </c>
      <c r="AU3217" t="s">
        <v>218</v>
      </c>
      <c r="AV3217" t="s">
        <v>13145</v>
      </c>
    </row>
    <row r="3218" spans="1:48">
      <c r="A3218" s="1">
        <f>HYPERLINK("https://cms.ls-nyc.org/matter/dynamic-profile/view/1901091","19-1901091")</f>
        <v>0</v>
      </c>
      <c r="B3218" t="s">
        <v>89</v>
      </c>
      <c r="C3218" t="s">
        <v>324</v>
      </c>
      <c r="E3218" t="s">
        <v>913</v>
      </c>
      <c r="F3218" t="s">
        <v>3585</v>
      </c>
      <c r="G3218" t="s">
        <v>3743</v>
      </c>
      <c r="H3218" t="s">
        <v>5382</v>
      </c>
      <c r="I3218" t="s">
        <v>6043</v>
      </c>
      <c r="J3218">
        <v>11212</v>
      </c>
      <c r="K3218" t="s">
        <v>6074</v>
      </c>
      <c r="L3218" t="s">
        <v>6075</v>
      </c>
      <c r="M3218" t="s">
        <v>6152</v>
      </c>
      <c r="O3218" t="s">
        <v>7312</v>
      </c>
      <c r="Q3218" t="s">
        <v>7322</v>
      </c>
      <c r="R3218" t="s">
        <v>6074</v>
      </c>
      <c r="S3218" t="s">
        <v>7329</v>
      </c>
      <c r="T3218" t="s">
        <v>7336</v>
      </c>
      <c r="U3218" t="s">
        <v>247</v>
      </c>
      <c r="V3218">
        <v>996</v>
      </c>
      <c r="W3218" t="s">
        <v>7362</v>
      </c>
      <c r="X3218" t="s">
        <v>7368</v>
      </c>
      <c r="Z3218" t="s">
        <v>9758</v>
      </c>
      <c r="AB3218" t="s">
        <v>12349</v>
      </c>
      <c r="AC3218">
        <v>16</v>
      </c>
      <c r="AD3218" t="s">
        <v>12422</v>
      </c>
      <c r="AE3218" t="s">
        <v>6110</v>
      </c>
      <c r="AF3218">
        <v>16</v>
      </c>
      <c r="AG3218">
        <v>3</v>
      </c>
      <c r="AH3218">
        <v>0</v>
      </c>
      <c r="AI3218">
        <v>468.82</v>
      </c>
      <c r="AL3218" t="s">
        <v>12460</v>
      </c>
      <c r="AM3218">
        <v>100000</v>
      </c>
      <c r="AN3218" t="s">
        <v>12820</v>
      </c>
      <c r="AS3218">
        <v>0</v>
      </c>
      <c r="AU3218" t="s">
        <v>218</v>
      </c>
      <c r="AV3218" t="s">
        <v>13145</v>
      </c>
    </row>
    <row r="3219" spans="1:48">
      <c r="A3219" s="1">
        <f>HYPERLINK("https://cms.ls-nyc.org/matter/dynamic-profile/view/1874267","18-1874267")</f>
        <v>0</v>
      </c>
      <c r="B3219" t="s">
        <v>113</v>
      </c>
      <c r="C3219" t="s">
        <v>384</v>
      </c>
      <c r="E3219" t="s">
        <v>966</v>
      </c>
      <c r="F3219" t="s">
        <v>2528</v>
      </c>
      <c r="G3219" t="s">
        <v>4681</v>
      </c>
      <c r="H3219" t="s">
        <v>5874</v>
      </c>
      <c r="I3219" t="s">
        <v>6047</v>
      </c>
      <c r="J3219">
        <v>10451</v>
      </c>
      <c r="K3219" t="s">
        <v>6074</v>
      </c>
      <c r="L3219" t="s">
        <v>6075</v>
      </c>
      <c r="N3219" t="s">
        <v>7275</v>
      </c>
      <c r="O3219" t="s">
        <v>7309</v>
      </c>
      <c r="Q3219" t="s">
        <v>7322</v>
      </c>
      <c r="R3219" t="s">
        <v>6074</v>
      </c>
      <c r="S3219" t="s">
        <v>7324</v>
      </c>
      <c r="U3219" t="s">
        <v>384</v>
      </c>
      <c r="V3219">
        <v>947</v>
      </c>
      <c r="W3219" t="s">
        <v>7363</v>
      </c>
      <c r="X3219" t="s">
        <v>7376</v>
      </c>
      <c r="Z3219" t="s">
        <v>9759</v>
      </c>
      <c r="AB3219" t="s">
        <v>12350</v>
      </c>
      <c r="AC3219">
        <v>81</v>
      </c>
      <c r="AD3219" t="s">
        <v>12422</v>
      </c>
      <c r="AE3219" t="s">
        <v>6110</v>
      </c>
      <c r="AF3219">
        <v>0</v>
      </c>
      <c r="AG3219">
        <v>1</v>
      </c>
      <c r="AH3219">
        <v>0</v>
      </c>
      <c r="AI3219">
        <v>469.52</v>
      </c>
      <c r="AJ3219" t="s">
        <v>12454</v>
      </c>
      <c r="AK3219" t="s">
        <v>12456</v>
      </c>
      <c r="AL3219" t="s">
        <v>12460</v>
      </c>
      <c r="AM3219">
        <v>57000</v>
      </c>
      <c r="AS3219">
        <v>1.6</v>
      </c>
      <c r="AT3219" t="s">
        <v>270</v>
      </c>
      <c r="AU3219" t="s">
        <v>106</v>
      </c>
    </row>
    <row r="3220" spans="1:48">
      <c r="A3220" s="1">
        <f>HYPERLINK("https://cms.ls-nyc.org/matter/dynamic-profile/view/1891914","19-1891914")</f>
        <v>0</v>
      </c>
      <c r="B3220" t="s">
        <v>72</v>
      </c>
      <c r="C3220" t="s">
        <v>329</v>
      </c>
      <c r="E3220" t="s">
        <v>2007</v>
      </c>
      <c r="F3220" t="s">
        <v>3586</v>
      </c>
      <c r="G3220" t="s">
        <v>3700</v>
      </c>
      <c r="H3220" t="s">
        <v>6010</v>
      </c>
      <c r="I3220" t="s">
        <v>6043</v>
      </c>
      <c r="J3220">
        <v>11233</v>
      </c>
      <c r="K3220" t="s">
        <v>6074</v>
      </c>
      <c r="L3220" t="s">
        <v>6076</v>
      </c>
      <c r="N3220" t="s">
        <v>7279</v>
      </c>
      <c r="O3220" t="s">
        <v>7311</v>
      </c>
      <c r="Q3220" t="s">
        <v>7322</v>
      </c>
      <c r="R3220" t="s">
        <v>6074</v>
      </c>
      <c r="S3220" t="s">
        <v>7324</v>
      </c>
      <c r="T3220" t="s">
        <v>7336</v>
      </c>
      <c r="U3220" t="s">
        <v>287</v>
      </c>
      <c r="V3220">
        <v>1292.74</v>
      </c>
      <c r="W3220" t="s">
        <v>7362</v>
      </c>
      <c r="X3220" t="s">
        <v>7305</v>
      </c>
      <c r="Z3220" t="s">
        <v>9760</v>
      </c>
      <c r="AC3220">
        <v>359</v>
      </c>
      <c r="AD3220" t="s">
        <v>12422</v>
      </c>
      <c r="AE3220" t="s">
        <v>6110</v>
      </c>
      <c r="AF3220">
        <v>27</v>
      </c>
      <c r="AG3220">
        <v>2</v>
      </c>
      <c r="AH3220">
        <v>0</v>
      </c>
      <c r="AI3220">
        <v>473.09</v>
      </c>
      <c r="AL3220" t="s">
        <v>12460</v>
      </c>
      <c r="AM3220">
        <v>80000</v>
      </c>
      <c r="AN3220" t="s">
        <v>12601</v>
      </c>
      <c r="AS3220">
        <v>0</v>
      </c>
      <c r="AU3220" t="s">
        <v>180</v>
      </c>
    </row>
    <row r="3221" spans="1:48">
      <c r="A3221" s="1">
        <f>HYPERLINK("https://cms.ls-nyc.org/matter/dynamic-profile/view/1891920","19-1891920")</f>
        <v>0</v>
      </c>
      <c r="B3221" t="s">
        <v>72</v>
      </c>
      <c r="C3221" t="s">
        <v>329</v>
      </c>
      <c r="E3221" t="s">
        <v>2007</v>
      </c>
      <c r="F3221" t="s">
        <v>3586</v>
      </c>
      <c r="G3221" t="s">
        <v>3700</v>
      </c>
      <c r="H3221" t="s">
        <v>6010</v>
      </c>
      <c r="I3221" t="s">
        <v>6043</v>
      </c>
      <c r="J3221">
        <v>11233</v>
      </c>
      <c r="K3221" t="s">
        <v>6074</v>
      </c>
      <c r="L3221" t="s">
        <v>6076</v>
      </c>
      <c r="N3221" t="s">
        <v>7275</v>
      </c>
      <c r="O3221" t="s">
        <v>7307</v>
      </c>
      <c r="Q3221" t="s">
        <v>7322</v>
      </c>
      <c r="R3221" t="s">
        <v>6074</v>
      </c>
      <c r="S3221" t="s">
        <v>7324</v>
      </c>
      <c r="T3221" t="s">
        <v>7336</v>
      </c>
      <c r="U3221" t="s">
        <v>287</v>
      </c>
      <c r="V3221">
        <v>1292.74</v>
      </c>
      <c r="W3221" t="s">
        <v>7362</v>
      </c>
      <c r="X3221" t="s">
        <v>7305</v>
      </c>
      <c r="Z3221" t="s">
        <v>9760</v>
      </c>
      <c r="AC3221">
        <v>359</v>
      </c>
      <c r="AD3221" t="s">
        <v>12422</v>
      </c>
      <c r="AE3221" t="s">
        <v>6110</v>
      </c>
      <c r="AF3221">
        <v>27</v>
      </c>
      <c r="AG3221">
        <v>2</v>
      </c>
      <c r="AH3221">
        <v>0</v>
      </c>
      <c r="AI3221">
        <v>473.09</v>
      </c>
      <c r="AL3221" t="s">
        <v>12460</v>
      </c>
      <c r="AM3221">
        <v>80000</v>
      </c>
      <c r="AN3221" t="s">
        <v>12821</v>
      </c>
      <c r="AS3221">
        <v>0</v>
      </c>
      <c r="AU3221" t="s">
        <v>180</v>
      </c>
    </row>
    <row r="3222" spans="1:48">
      <c r="A3222" s="1">
        <f>HYPERLINK("https://cms.ls-nyc.org/matter/dynamic-profile/view/1874350","18-1874350")</f>
        <v>0</v>
      </c>
      <c r="B3222" t="s">
        <v>159</v>
      </c>
      <c r="C3222" t="s">
        <v>471</v>
      </c>
      <c r="D3222" t="s">
        <v>257</v>
      </c>
      <c r="E3222" t="s">
        <v>2008</v>
      </c>
      <c r="F3222" t="s">
        <v>2629</v>
      </c>
      <c r="G3222" t="s">
        <v>4753</v>
      </c>
      <c r="H3222" t="s">
        <v>5436</v>
      </c>
      <c r="I3222" t="s">
        <v>6049</v>
      </c>
      <c r="J3222">
        <v>10034</v>
      </c>
      <c r="K3222" t="s">
        <v>6074</v>
      </c>
      <c r="L3222" t="s">
        <v>6074</v>
      </c>
      <c r="N3222" t="s">
        <v>7290</v>
      </c>
      <c r="O3222" t="s">
        <v>7311</v>
      </c>
      <c r="P3222" t="s">
        <v>7319</v>
      </c>
      <c r="Q3222" t="s">
        <v>7322</v>
      </c>
      <c r="R3222" t="s">
        <v>6076</v>
      </c>
      <c r="S3222" t="s">
        <v>7333</v>
      </c>
      <c r="T3222" t="s">
        <v>7336</v>
      </c>
      <c r="U3222" t="s">
        <v>471</v>
      </c>
      <c r="V3222">
        <v>960</v>
      </c>
      <c r="W3222" t="s">
        <v>7365</v>
      </c>
      <c r="X3222" t="s">
        <v>7367</v>
      </c>
      <c r="Y3222" t="s">
        <v>7397</v>
      </c>
      <c r="Z3222" t="s">
        <v>9761</v>
      </c>
      <c r="AB3222" t="s">
        <v>12351</v>
      </c>
      <c r="AC3222">
        <v>101</v>
      </c>
      <c r="AD3222" t="s">
        <v>6322</v>
      </c>
      <c r="AE3222" t="s">
        <v>6110</v>
      </c>
      <c r="AF3222">
        <v>16</v>
      </c>
      <c r="AG3222">
        <v>1</v>
      </c>
      <c r="AH3222">
        <v>0</v>
      </c>
      <c r="AI3222">
        <v>477.76</v>
      </c>
      <c r="AL3222" t="s">
        <v>12460</v>
      </c>
      <c r="AM3222">
        <v>58000</v>
      </c>
      <c r="AO3222" t="s">
        <v>12850</v>
      </c>
      <c r="AP3222" t="s">
        <v>12858</v>
      </c>
      <c r="AQ3222" t="s">
        <v>12909</v>
      </c>
      <c r="AR3222" t="s">
        <v>13061</v>
      </c>
      <c r="AS3222">
        <v>53.15</v>
      </c>
      <c r="AT3222" t="s">
        <v>343</v>
      </c>
      <c r="AU3222" t="s">
        <v>13107</v>
      </c>
    </row>
    <row r="3223" spans="1:48">
      <c r="A3223" s="1">
        <f>HYPERLINK("https://cms.ls-nyc.org/matter/dynamic-profile/view/1892467","19-1892467")</f>
        <v>0</v>
      </c>
      <c r="B3223" t="s">
        <v>81</v>
      </c>
      <c r="C3223" t="s">
        <v>337</v>
      </c>
      <c r="E3223" t="s">
        <v>1503</v>
      </c>
      <c r="F3223" t="s">
        <v>3587</v>
      </c>
      <c r="G3223" t="s">
        <v>3874</v>
      </c>
      <c r="H3223" t="s">
        <v>5357</v>
      </c>
      <c r="I3223" t="s">
        <v>6043</v>
      </c>
      <c r="J3223">
        <v>11225</v>
      </c>
      <c r="K3223" t="s">
        <v>6074</v>
      </c>
      <c r="L3223" t="s">
        <v>6074</v>
      </c>
      <c r="O3223" t="s">
        <v>7308</v>
      </c>
      <c r="Q3223" t="s">
        <v>7322</v>
      </c>
      <c r="S3223" t="s">
        <v>7324</v>
      </c>
      <c r="U3223" t="s">
        <v>477</v>
      </c>
      <c r="V3223">
        <v>0</v>
      </c>
      <c r="W3223" t="s">
        <v>7362</v>
      </c>
      <c r="Z3223" t="s">
        <v>9762</v>
      </c>
      <c r="AB3223" t="s">
        <v>9856</v>
      </c>
      <c r="AC3223">
        <v>0</v>
      </c>
      <c r="AF3223">
        <v>0</v>
      </c>
      <c r="AG3223">
        <v>2</v>
      </c>
      <c r="AH3223">
        <v>0</v>
      </c>
      <c r="AI3223">
        <v>479.01</v>
      </c>
      <c r="AL3223" t="s">
        <v>12460</v>
      </c>
      <c r="AM3223">
        <v>81000</v>
      </c>
      <c r="AS3223">
        <v>1</v>
      </c>
      <c r="AT3223" t="s">
        <v>457</v>
      </c>
      <c r="AU3223" t="s">
        <v>88</v>
      </c>
    </row>
    <row r="3224" spans="1:48">
      <c r="A3224" s="1">
        <f>HYPERLINK("https://cms.ls-nyc.org/matter/dynamic-profile/view/1876211","18-1876211")</f>
        <v>0</v>
      </c>
      <c r="B3224" t="s">
        <v>68</v>
      </c>
      <c r="C3224" t="s">
        <v>248</v>
      </c>
      <c r="D3224" t="s">
        <v>351</v>
      </c>
      <c r="E3224" t="s">
        <v>2009</v>
      </c>
      <c r="F3224" t="s">
        <v>2465</v>
      </c>
      <c r="G3224" t="s">
        <v>5322</v>
      </c>
      <c r="H3224" t="s">
        <v>5731</v>
      </c>
      <c r="I3224" t="s">
        <v>6043</v>
      </c>
      <c r="J3224">
        <v>11207</v>
      </c>
      <c r="K3224" t="s">
        <v>6074</v>
      </c>
      <c r="L3224" t="s">
        <v>6074</v>
      </c>
      <c r="M3224" t="s">
        <v>7265</v>
      </c>
      <c r="N3224" t="s">
        <v>7274</v>
      </c>
      <c r="O3224" t="s">
        <v>7308</v>
      </c>
      <c r="P3224" t="s">
        <v>7316</v>
      </c>
      <c r="Q3224" t="s">
        <v>7322</v>
      </c>
      <c r="R3224" t="s">
        <v>6076</v>
      </c>
      <c r="S3224" t="s">
        <v>7324</v>
      </c>
      <c r="U3224" t="s">
        <v>248</v>
      </c>
      <c r="V3224">
        <v>900</v>
      </c>
      <c r="W3224" t="s">
        <v>7362</v>
      </c>
      <c r="X3224" t="s">
        <v>7368</v>
      </c>
      <c r="Y3224" t="s">
        <v>7388</v>
      </c>
      <c r="Z3224" t="s">
        <v>9763</v>
      </c>
      <c r="AB3224" t="s">
        <v>12352</v>
      </c>
      <c r="AC3224">
        <v>12</v>
      </c>
      <c r="AD3224" t="s">
        <v>12422</v>
      </c>
      <c r="AE3224" t="s">
        <v>6110</v>
      </c>
      <c r="AF3224">
        <v>10</v>
      </c>
      <c r="AG3224">
        <v>1</v>
      </c>
      <c r="AH3224">
        <v>0</v>
      </c>
      <c r="AI3224">
        <v>479.08</v>
      </c>
      <c r="AJ3224" t="s">
        <v>244</v>
      </c>
      <c r="AK3224" t="s">
        <v>12456</v>
      </c>
      <c r="AL3224" t="s">
        <v>12460</v>
      </c>
      <c r="AM3224">
        <v>58160</v>
      </c>
      <c r="AN3224" t="s">
        <v>12822</v>
      </c>
      <c r="AS3224">
        <v>24.5</v>
      </c>
      <c r="AT3224" t="s">
        <v>351</v>
      </c>
      <c r="AU3224" t="s">
        <v>218</v>
      </c>
    </row>
    <row r="3225" spans="1:48">
      <c r="A3225" s="1">
        <f>HYPERLINK("https://cms.ls-nyc.org/matter/dynamic-profile/view/1894310","19-1894310")</f>
        <v>0</v>
      </c>
      <c r="B3225" t="s">
        <v>81</v>
      </c>
      <c r="C3225" t="s">
        <v>338</v>
      </c>
      <c r="E3225" t="s">
        <v>1503</v>
      </c>
      <c r="F3225" t="s">
        <v>3587</v>
      </c>
      <c r="G3225" t="s">
        <v>3874</v>
      </c>
      <c r="H3225" t="s">
        <v>5357</v>
      </c>
      <c r="I3225" t="s">
        <v>6043</v>
      </c>
      <c r="J3225">
        <v>11225</v>
      </c>
      <c r="K3225" t="s">
        <v>6074</v>
      </c>
      <c r="L3225" t="s">
        <v>6074</v>
      </c>
      <c r="O3225" t="s">
        <v>7308</v>
      </c>
      <c r="Q3225" t="s">
        <v>7322</v>
      </c>
      <c r="R3225" t="s">
        <v>6074</v>
      </c>
      <c r="S3225" t="s">
        <v>7324</v>
      </c>
      <c r="U3225" t="s">
        <v>338</v>
      </c>
      <c r="V3225">
        <v>0</v>
      </c>
      <c r="W3225" t="s">
        <v>7362</v>
      </c>
      <c r="Z3225" t="s">
        <v>9762</v>
      </c>
      <c r="AB3225" t="s">
        <v>9856</v>
      </c>
      <c r="AC3225">
        <v>0</v>
      </c>
      <c r="AF3225">
        <v>0</v>
      </c>
      <c r="AG3225">
        <v>2</v>
      </c>
      <c r="AH3225">
        <v>0</v>
      </c>
      <c r="AI3225">
        <v>480.19</v>
      </c>
      <c r="AL3225" t="s">
        <v>12460</v>
      </c>
      <c r="AM3225">
        <v>81200</v>
      </c>
      <c r="AS3225">
        <v>0</v>
      </c>
      <c r="AU3225" t="s">
        <v>88</v>
      </c>
    </row>
    <row r="3226" spans="1:48">
      <c r="A3226" s="1">
        <f>HYPERLINK("https://cms.ls-nyc.org/matter/dynamic-profile/view/1891554","19-1891554")</f>
        <v>0</v>
      </c>
      <c r="B3226" t="s">
        <v>109</v>
      </c>
      <c r="C3226" t="s">
        <v>278</v>
      </c>
      <c r="D3226" t="s">
        <v>235</v>
      </c>
      <c r="E3226" t="s">
        <v>686</v>
      </c>
      <c r="F3226" t="s">
        <v>2185</v>
      </c>
      <c r="G3226" t="s">
        <v>3784</v>
      </c>
      <c r="H3226" t="s">
        <v>5364</v>
      </c>
      <c r="I3226" t="s">
        <v>6047</v>
      </c>
      <c r="J3226">
        <v>10459</v>
      </c>
      <c r="K3226" t="s">
        <v>6074</v>
      </c>
      <c r="L3226" t="s">
        <v>6074</v>
      </c>
      <c r="N3226" t="s">
        <v>7278</v>
      </c>
      <c r="O3226" t="s">
        <v>7307</v>
      </c>
      <c r="P3226" t="s">
        <v>7315</v>
      </c>
      <c r="Q3226" t="s">
        <v>7322</v>
      </c>
      <c r="R3226" t="s">
        <v>6076</v>
      </c>
      <c r="S3226" t="s">
        <v>7324</v>
      </c>
      <c r="U3226" t="s">
        <v>287</v>
      </c>
      <c r="V3226">
        <v>1750</v>
      </c>
      <c r="W3226" t="s">
        <v>7363</v>
      </c>
      <c r="X3226" t="s">
        <v>7376</v>
      </c>
      <c r="Y3226" t="s">
        <v>7386</v>
      </c>
      <c r="Z3226" t="s">
        <v>7557</v>
      </c>
      <c r="AB3226" t="s">
        <v>10403</v>
      </c>
      <c r="AC3226">
        <v>20</v>
      </c>
      <c r="AD3226" t="s">
        <v>6322</v>
      </c>
      <c r="AE3226" t="s">
        <v>6110</v>
      </c>
      <c r="AF3226">
        <v>1</v>
      </c>
      <c r="AG3226">
        <v>1</v>
      </c>
      <c r="AH3226">
        <v>0</v>
      </c>
      <c r="AI3226">
        <v>480.38</v>
      </c>
      <c r="AL3226" t="s">
        <v>12460</v>
      </c>
      <c r="AM3226">
        <v>60000</v>
      </c>
      <c r="AS3226">
        <v>3</v>
      </c>
      <c r="AT3226" t="s">
        <v>318</v>
      </c>
      <c r="AU3226" t="s">
        <v>13092</v>
      </c>
    </row>
    <row r="3227" spans="1:48">
      <c r="A3227" s="1">
        <f>HYPERLINK("https://cms.ls-nyc.org/matter/dynamic-profile/view/1890005","19-1890005")</f>
        <v>0</v>
      </c>
      <c r="B3227" t="s">
        <v>96</v>
      </c>
      <c r="C3227" t="s">
        <v>366</v>
      </c>
      <c r="E3227" t="s">
        <v>1720</v>
      </c>
      <c r="F3227" t="s">
        <v>2313</v>
      </c>
      <c r="G3227" t="s">
        <v>3792</v>
      </c>
      <c r="H3227" t="s">
        <v>5887</v>
      </c>
      <c r="I3227" t="s">
        <v>6047</v>
      </c>
      <c r="J3227">
        <v>10453</v>
      </c>
      <c r="K3227" t="s">
        <v>6074</v>
      </c>
      <c r="L3227" t="s">
        <v>6074</v>
      </c>
      <c r="N3227" t="s">
        <v>7279</v>
      </c>
      <c r="O3227" t="s">
        <v>7311</v>
      </c>
      <c r="Q3227" t="s">
        <v>7322</v>
      </c>
      <c r="R3227" t="s">
        <v>6074</v>
      </c>
      <c r="S3227" t="s">
        <v>7324</v>
      </c>
      <c r="U3227" t="s">
        <v>457</v>
      </c>
      <c r="V3227">
        <v>897</v>
      </c>
      <c r="W3227" t="s">
        <v>7363</v>
      </c>
      <c r="X3227" t="s">
        <v>7376</v>
      </c>
      <c r="Z3227" t="s">
        <v>9764</v>
      </c>
      <c r="AB3227" t="s">
        <v>12353</v>
      </c>
      <c r="AC3227">
        <v>170</v>
      </c>
      <c r="AD3227" t="s">
        <v>12422</v>
      </c>
      <c r="AF3227">
        <v>23</v>
      </c>
      <c r="AG3227">
        <v>1</v>
      </c>
      <c r="AH3227">
        <v>0</v>
      </c>
      <c r="AI3227">
        <v>480.38</v>
      </c>
      <c r="AL3227" t="s">
        <v>12460</v>
      </c>
      <c r="AM3227">
        <v>60000</v>
      </c>
      <c r="AS3227">
        <v>0</v>
      </c>
      <c r="AU3227" t="s">
        <v>13113</v>
      </c>
    </row>
    <row r="3228" spans="1:48">
      <c r="A3228" s="1">
        <f>HYPERLINK("https://cms.ls-nyc.org/matter/dynamic-profile/view/1889994","19-1889994")</f>
        <v>0</v>
      </c>
      <c r="B3228" t="s">
        <v>96</v>
      </c>
      <c r="C3228" t="s">
        <v>366</v>
      </c>
      <c r="E3228" t="s">
        <v>1720</v>
      </c>
      <c r="F3228" t="s">
        <v>2313</v>
      </c>
      <c r="G3228" t="s">
        <v>3792</v>
      </c>
      <c r="H3228" t="s">
        <v>5887</v>
      </c>
      <c r="I3228" t="s">
        <v>6047</v>
      </c>
      <c r="J3228">
        <v>10453</v>
      </c>
      <c r="K3228" t="s">
        <v>6074</v>
      </c>
      <c r="L3228" t="s">
        <v>6074</v>
      </c>
      <c r="M3228" t="s">
        <v>6259</v>
      </c>
      <c r="N3228" t="s">
        <v>7273</v>
      </c>
      <c r="O3228" t="s">
        <v>7308</v>
      </c>
      <c r="Q3228" t="s">
        <v>7322</v>
      </c>
      <c r="R3228" t="s">
        <v>6074</v>
      </c>
      <c r="S3228" t="s">
        <v>7324</v>
      </c>
      <c r="U3228" t="s">
        <v>457</v>
      </c>
      <c r="V3228">
        <v>897</v>
      </c>
      <c r="W3228" t="s">
        <v>7363</v>
      </c>
      <c r="X3228" t="s">
        <v>7376</v>
      </c>
      <c r="Z3228" t="s">
        <v>9764</v>
      </c>
      <c r="AB3228" t="s">
        <v>12353</v>
      </c>
      <c r="AC3228">
        <v>170</v>
      </c>
      <c r="AD3228" t="s">
        <v>12422</v>
      </c>
      <c r="AF3228">
        <v>23</v>
      </c>
      <c r="AG3228">
        <v>1</v>
      </c>
      <c r="AH3228">
        <v>0</v>
      </c>
      <c r="AI3228">
        <v>480.38</v>
      </c>
      <c r="AL3228" t="s">
        <v>12460</v>
      </c>
      <c r="AM3228">
        <v>60000</v>
      </c>
      <c r="AS3228">
        <v>0</v>
      </c>
      <c r="AU3228" t="s">
        <v>13113</v>
      </c>
    </row>
    <row r="3229" spans="1:48">
      <c r="A3229" s="1">
        <f>HYPERLINK("https://cms.ls-nyc.org/matter/dynamic-profile/view/1889801","19-1889801")</f>
        <v>0</v>
      </c>
      <c r="B3229" t="s">
        <v>96</v>
      </c>
      <c r="C3229" t="s">
        <v>286</v>
      </c>
      <c r="D3229" t="s">
        <v>287</v>
      </c>
      <c r="E3229" t="s">
        <v>637</v>
      </c>
      <c r="F3229" t="s">
        <v>3588</v>
      </c>
      <c r="G3229" t="s">
        <v>5323</v>
      </c>
      <c r="H3229" t="s">
        <v>5609</v>
      </c>
      <c r="I3229" t="s">
        <v>6047</v>
      </c>
      <c r="J3229">
        <v>10452</v>
      </c>
      <c r="K3229" t="s">
        <v>6074</v>
      </c>
      <c r="L3229" t="s">
        <v>6074</v>
      </c>
      <c r="N3229" t="s">
        <v>7279</v>
      </c>
      <c r="O3229" t="s">
        <v>7307</v>
      </c>
      <c r="P3229" t="s">
        <v>7315</v>
      </c>
      <c r="Q3229" t="s">
        <v>7322</v>
      </c>
      <c r="R3229" t="s">
        <v>6076</v>
      </c>
      <c r="S3229" t="s">
        <v>7324</v>
      </c>
      <c r="U3229" t="s">
        <v>359</v>
      </c>
      <c r="V3229">
        <v>1226</v>
      </c>
      <c r="W3229" t="s">
        <v>7363</v>
      </c>
      <c r="X3229" t="s">
        <v>7376</v>
      </c>
      <c r="Y3229" t="s">
        <v>7402</v>
      </c>
      <c r="Z3229" t="s">
        <v>9765</v>
      </c>
      <c r="AB3229" t="s">
        <v>12354</v>
      </c>
      <c r="AC3229">
        <v>56</v>
      </c>
      <c r="AD3229" t="s">
        <v>6322</v>
      </c>
      <c r="AE3229" t="s">
        <v>6110</v>
      </c>
      <c r="AF3229">
        <v>5</v>
      </c>
      <c r="AG3229">
        <v>1</v>
      </c>
      <c r="AH3229">
        <v>0</v>
      </c>
      <c r="AI3229">
        <v>480.38</v>
      </c>
      <c r="AL3229" t="s">
        <v>12461</v>
      </c>
      <c r="AM3229">
        <v>60000</v>
      </c>
      <c r="AS3229">
        <v>0.1</v>
      </c>
      <c r="AT3229" t="s">
        <v>393</v>
      </c>
      <c r="AU3229" t="s">
        <v>13092</v>
      </c>
    </row>
    <row r="3230" spans="1:48">
      <c r="A3230" s="1">
        <f>HYPERLINK("https://cms.ls-nyc.org/matter/dynamic-profile/view/1889605","19-1889605")</f>
        <v>0</v>
      </c>
      <c r="B3230" t="s">
        <v>116</v>
      </c>
      <c r="C3230" t="s">
        <v>285</v>
      </c>
      <c r="D3230" t="s">
        <v>361</v>
      </c>
      <c r="E3230" t="s">
        <v>572</v>
      </c>
      <c r="F3230" t="s">
        <v>1647</v>
      </c>
      <c r="G3230" t="s">
        <v>5324</v>
      </c>
      <c r="H3230" t="s">
        <v>5438</v>
      </c>
      <c r="I3230" t="s">
        <v>6047</v>
      </c>
      <c r="J3230">
        <v>10453</v>
      </c>
      <c r="K3230" t="s">
        <v>6074</v>
      </c>
      <c r="L3230" t="s">
        <v>6074</v>
      </c>
      <c r="N3230" t="s">
        <v>6104</v>
      </c>
      <c r="O3230" t="s">
        <v>7306</v>
      </c>
      <c r="P3230" t="s">
        <v>7314</v>
      </c>
      <c r="Q3230" t="s">
        <v>7322</v>
      </c>
      <c r="R3230" t="s">
        <v>6076</v>
      </c>
      <c r="S3230" t="s">
        <v>7324</v>
      </c>
      <c r="U3230" t="s">
        <v>285</v>
      </c>
      <c r="V3230">
        <v>1526</v>
      </c>
      <c r="W3230" t="s">
        <v>7363</v>
      </c>
      <c r="X3230" t="s">
        <v>7376</v>
      </c>
      <c r="Y3230" t="s">
        <v>7386</v>
      </c>
      <c r="Z3230" t="s">
        <v>9766</v>
      </c>
      <c r="AB3230" t="s">
        <v>12355</v>
      </c>
      <c r="AC3230">
        <v>225</v>
      </c>
      <c r="AD3230" t="s">
        <v>12422</v>
      </c>
      <c r="AE3230" t="s">
        <v>6110</v>
      </c>
      <c r="AF3230">
        <v>1</v>
      </c>
      <c r="AG3230">
        <v>2</v>
      </c>
      <c r="AH3230">
        <v>0</v>
      </c>
      <c r="AI3230">
        <v>484.92</v>
      </c>
      <c r="AL3230" t="s">
        <v>12460</v>
      </c>
      <c r="AM3230">
        <v>82000</v>
      </c>
      <c r="AS3230">
        <v>1.5</v>
      </c>
      <c r="AT3230" t="s">
        <v>285</v>
      </c>
      <c r="AU3230" t="s">
        <v>116</v>
      </c>
    </row>
    <row r="3231" spans="1:48">
      <c r="A3231" s="1">
        <f>HYPERLINK("https://cms.ls-nyc.org/matter/dynamic-profile/view/1882523","18-1882523")</f>
        <v>0</v>
      </c>
      <c r="B3231" t="s">
        <v>81</v>
      </c>
      <c r="C3231" t="s">
        <v>283</v>
      </c>
      <c r="E3231" t="s">
        <v>1503</v>
      </c>
      <c r="F3231" t="s">
        <v>3587</v>
      </c>
      <c r="G3231" t="s">
        <v>3874</v>
      </c>
      <c r="H3231" t="s">
        <v>5357</v>
      </c>
      <c r="I3231" t="s">
        <v>6043</v>
      </c>
      <c r="J3231">
        <v>11225</v>
      </c>
      <c r="K3231" t="s">
        <v>6074</v>
      </c>
      <c r="L3231" t="s">
        <v>6075</v>
      </c>
      <c r="O3231" t="s">
        <v>7308</v>
      </c>
      <c r="Q3231" t="s">
        <v>7322</v>
      </c>
      <c r="S3231" t="s">
        <v>7324</v>
      </c>
      <c r="U3231" t="s">
        <v>283</v>
      </c>
      <c r="V3231">
        <v>0</v>
      </c>
      <c r="W3231" t="s">
        <v>7362</v>
      </c>
      <c r="Z3231" t="s">
        <v>9762</v>
      </c>
      <c r="AB3231" t="s">
        <v>9856</v>
      </c>
      <c r="AC3231">
        <v>0</v>
      </c>
      <c r="AD3231" t="s">
        <v>12422</v>
      </c>
      <c r="AF3231">
        <v>0</v>
      </c>
      <c r="AG3231">
        <v>2</v>
      </c>
      <c r="AH3231">
        <v>0</v>
      </c>
      <c r="AI3231">
        <v>493.32</v>
      </c>
      <c r="AL3231" t="s">
        <v>12460</v>
      </c>
      <c r="AM3231">
        <v>81200</v>
      </c>
      <c r="AS3231">
        <v>2.9</v>
      </c>
      <c r="AT3231" t="s">
        <v>280</v>
      </c>
      <c r="AU3231" t="s">
        <v>13084</v>
      </c>
      <c r="AV3231" t="s">
        <v>13145</v>
      </c>
    </row>
    <row r="3232" spans="1:48">
      <c r="A3232" s="1">
        <f>HYPERLINK("https://cms.ls-nyc.org/matter/dynamic-profile/view/1886506","18-1886506")</f>
        <v>0</v>
      </c>
      <c r="B3232" t="s">
        <v>102</v>
      </c>
      <c r="C3232" t="s">
        <v>300</v>
      </c>
      <c r="E3232" t="s">
        <v>626</v>
      </c>
      <c r="F3232" t="s">
        <v>3589</v>
      </c>
      <c r="G3232" t="s">
        <v>3779</v>
      </c>
      <c r="I3232" t="s">
        <v>6047</v>
      </c>
      <c r="J3232">
        <v>10460</v>
      </c>
      <c r="K3232" t="s">
        <v>6074</v>
      </c>
      <c r="L3232" t="s">
        <v>6074</v>
      </c>
      <c r="M3232" t="s">
        <v>6182</v>
      </c>
      <c r="N3232" t="s">
        <v>7273</v>
      </c>
      <c r="O3232" t="s">
        <v>7308</v>
      </c>
      <c r="Q3232" t="s">
        <v>7322</v>
      </c>
      <c r="R3232" t="s">
        <v>6074</v>
      </c>
      <c r="S3232" t="s">
        <v>7324</v>
      </c>
      <c r="U3232" t="s">
        <v>457</v>
      </c>
      <c r="V3232">
        <v>1367</v>
      </c>
      <c r="W3232" t="s">
        <v>7363</v>
      </c>
      <c r="X3232" t="s">
        <v>7376</v>
      </c>
      <c r="Z3232" t="s">
        <v>9767</v>
      </c>
      <c r="AB3232" t="s">
        <v>12356</v>
      </c>
      <c r="AC3232">
        <v>0</v>
      </c>
      <c r="AD3232" t="s">
        <v>6322</v>
      </c>
      <c r="AE3232" t="s">
        <v>6110</v>
      </c>
      <c r="AF3232">
        <v>34</v>
      </c>
      <c r="AG3232">
        <v>1</v>
      </c>
      <c r="AH3232">
        <v>0</v>
      </c>
      <c r="AI3232">
        <v>494.11</v>
      </c>
      <c r="AL3232" t="s">
        <v>12460</v>
      </c>
      <c r="AM3232">
        <v>59985</v>
      </c>
      <c r="AS3232">
        <v>0</v>
      </c>
      <c r="AU3232" t="s">
        <v>13092</v>
      </c>
    </row>
    <row r="3233" spans="1:47">
      <c r="A3233" s="1">
        <f>HYPERLINK("https://cms.ls-nyc.org/matter/dynamic-profile/view/1876914","18-1876914")</f>
        <v>0</v>
      </c>
      <c r="B3233" t="s">
        <v>90</v>
      </c>
      <c r="C3233" t="s">
        <v>290</v>
      </c>
      <c r="E3233" t="s">
        <v>2010</v>
      </c>
      <c r="F3233" t="s">
        <v>3590</v>
      </c>
      <c r="G3233" t="s">
        <v>4507</v>
      </c>
      <c r="H3233" t="s">
        <v>5742</v>
      </c>
      <c r="I3233" t="s">
        <v>6043</v>
      </c>
      <c r="J3233">
        <v>11216</v>
      </c>
      <c r="K3233" t="s">
        <v>6074</v>
      </c>
      <c r="L3233" t="s">
        <v>6074</v>
      </c>
      <c r="N3233" t="s">
        <v>7282</v>
      </c>
      <c r="O3233" t="s">
        <v>7308</v>
      </c>
      <c r="Q3233" t="s">
        <v>7322</v>
      </c>
      <c r="R3233" t="s">
        <v>6074</v>
      </c>
      <c r="S3233" t="s">
        <v>7324</v>
      </c>
      <c r="U3233" t="s">
        <v>233</v>
      </c>
      <c r="V3233">
        <v>2200</v>
      </c>
      <c r="W3233" t="s">
        <v>7362</v>
      </c>
      <c r="X3233" t="s">
        <v>7375</v>
      </c>
      <c r="Z3233" t="s">
        <v>9768</v>
      </c>
      <c r="AB3233" t="s">
        <v>12357</v>
      </c>
      <c r="AC3233">
        <v>82</v>
      </c>
      <c r="AD3233" t="s">
        <v>12422</v>
      </c>
      <c r="AE3233" t="s">
        <v>6110</v>
      </c>
      <c r="AF3233">
        <v>1</v>
      </c>
      <c r="AG3233">
        <v>1</v>
      </c>
      <c r="AH3233">
        <v>0</v>
      </c>
      <c r="AI3233">
        <v>494.23</v>
      </c>
      <c r="AJ3233" t="s">
        <v>350</v>
      </c>
      <c r="AK3233" t="s">
        <v>12456</v>
      </c>
      <c r="AL3233" t="s">
        <v>12460</v>
      </c>
      <c r="AM3233">
        <v>60000</v>
      </c>
      <c r="AN3233" t="s">
        <v>12823</v>
      </c>
      <c r="AS3233">
        <v>0</v>
      </c>
      <c r="AU3233" t="s">
        <v>218</v>
      </c>
    </row>
    <row r="3234" spans="1:47">
      <c r="A3234" s="1">
        <f>HYPERLINK("https://cms.ls-nyc.org/matter/dynamic-profile/view/1876913","18-1876913")</f>
        <v>0</v>
      </c>
      <c r="B3234" t="s">
        <v>90</v>
      </c>
      <c r="C3234" t="s">
        <v>290</v>
      </c>
      <c r="E3234" t="s">
        <v>2010</v>
      </c>
      <c r="F3234" t="s">
        <v>3590</v>
      </c>
      <c r="G3234" t="s">
        <v>4507</v>
      </c>
      <c r="H3234" t="s">
        <v>5742</v>
      </c>
      <c r="I3234" t="s">
        <v>6043</v>
      </c>
      <c r="J3234">
        <v>11216</v>
      </c>
      <c r="K3234" t="s">
        <v>6074</v>
      </c>
      <c r="L3234" t="s">
        <v>6074</v>
      </c>
      <c r="N3234" t="s">
        <v>6104</v>
      </c>
      <c r="O3234" t="s">
        <v>7307</v>
      </c>
      <c r="Q3234" t="s">
        <v>7322</v>
      </c>
      <c r="R3234" t="s">
        <v>6074</v>
      </c>
      <c r="S3234" t="s">
        <v>7324</v>
      </c>
      <c r="U3234" t="s">
        <v>233</v>
      </c>
      <c r="V3234">
        <v>2200</v>
      </c>
      <c r="W3234" t="s">
        <v>7362</v>
      </c>
      <c r="X3234" t="s">
        <v>7375</v>
      </c>
      <c r="Z3234" t="s">
        <v>9768</v>
      </c>
      <c r="AB3234" t="s">
        <v>12357</v>
      </c>
      <c r="AC3234">
        <v>82</v>
      </c>
      <c r="AD3234" t="s">
        <v>12422</v>
      </c>
      <c r="AE3234" t="s">
        <v>6110</v>
      </c>
      <c r="AF3234">
        <v>1</v>
      </c>
      <c r="AG3234">
        <v>1</v>
      </c>
      <c r="AH3234">
        <v>0</v>
      </c>
      <c r="AI3234">
        <v>494.23</v>
      </c>
      <c r="AJ3234" t="s">
        <v>350</v>
      </c>
      <c r="AK3234" t="s">
        <v>12456</v>
      </c>
      <c r="AL3234" t="s">
        <v>12460</v>
      </c>
      <c r="AM3234">
        <v>60000</v>
      </c>
      <c r="AN3234" t="s">
        <v>12491</v>
      </c>
      <c r="AS3234">
        <v>0</v>
      </c>
      <c r="AU3234" t="s">
        <v>218</v>
      </c>
    </row>
    <row r="3235" spans="1:47">
      <c r="A3235" s="1">
        <f>HYPERLINK("https://cms.ls-nyc.org/matter/dynamic-profile/view/1879671","18-1879671")</f>
        <v>0</v>
      </c>
      <c r="B3235" t="s">
        <v>144</v>
      </c>
      <c r="C3235" t="s">
        <v>483</v>
      </c>
      <c r="E3235" t="s">
        <v>1010</v>
      </c>
      <c r="F3235" t="s">
        <v>3591</v>
      </c>
      <c r="G3235" t="s">
        <v>4085</v>
      </c>
      <c r="H3235" t="s">
        <v>5376</v>
      </c>
      <c r="I3235" t="s">
        <v>6043</v>
      </c>
      <c r="J3235">
        <v>11207</v>
      </c>
      <c r="K3235" t="s">
        <v>6076</v>
      </c>
      <c r="L3235" t="s">
        <v>6076</v>
      </c>
      <c r="N3235" t="s">
        <v>7295</v>
      </c>
      <c r="O3235" t="s">
        <v>7308</v>
      </c>
      <c r="Q3235" t="s">
        <v>7322</v>
      </c>
      <c r="R3235" t="s">
        <v>6074</v>
      </c>
      <c r="S3235" t="s">
        <v>7324</v>
      </c>
      <c r="T3235" t="s">
        <v>7336</v>
      </c>
      <c r="U3235" t="s">
        <v>442</v>
      </c>
      <c r="V3235">
        <v>1000</v>
      </c>
      <c r="W3235" t="s">
        <v>7362</v>
      </c>
      <c r="X3235" t="s">
        <v>7368</v>
      </c>
      <c r="Z3235" t="s">
        <v>9769</v>
      </c>
      <c r="AA3235" t="s">
        <v>6110</v>
      </c>
      <c r="AC3235">
        <v>6</v>
      </c>
      <c r="AD3235" t="s">
        <v>12422</v>
      </c>
      <c r="AE3235" t="s">
        <v>6110</v>
      </c>
      <c r="AF3235">
        <v>3</v>
      </c>
      <c r="AG3235">
        <v>1</v>
      </c>
      <c r="AH3235">
        <v>0</v>
      </c>
      <c r="AI3235">
        <v>494.23</v>
      </c>
      <c r="AL3235" t="s">
        <v>12460</v>
      </c>
      <c r="AM3235">
        <v>60000</v>
      </c>
      <c r="AS3235">
        <v>0</v>
      </c>
      <c r="AU3235" t="s">
        <v>218</v>
      </c>
    </row>
    <row r="3236" spans="1:47">
      <c r="A3236" s="1">
        <f>HYPERLINK("https://cms.ls-nyc.org/matter/dynamic-profile/view/1879674","18-1879674")</f>
        <v>0</v>
      </c>
      <c r="B3236" t="s">
        <v>144</v>
      </c>
      <c r="C3236" t="s">
        <v>483</v>
      </c>
      <c r="E3236" t="s">
        <v>1010</v>
      </c>
      <c r="F3236" t="s">
        <v>3591</v>
      </c>
      <c r="G3236" t="s">
        <v>4085</v>
      </c>
      <c r="H3236" t="s">
        <v>5376</v>
      </c>
      <c r="I3236" t="s">
        <v>6043</v>
      </c>
      <c r="J3236">
        <v>11207</v>
      </c>
      <c r="K3236" t="s">
        <v>6076</v>
      </c>
      <c r="L3236" t="s">
        <v>6076</v>
      </c>
      <c r="M3236" t="s">
        <v>6104</v>
      </c>
      <c r="N3236" t="s">
        <v>7282</v>
      </c>
      <c r="O3236" t="s">
        <v>7308</v>
      </c>
      <c r="Q3236" t="s">
        <v>7322</v>
      </c>
      <c r="R3236" t="s">
        <v>6074</v>
      </c>
      <c r="S3236" t="s">
        <v>7324</v>
      </c>
      <c r="T3236" t="s">
        <v>7336</v>
      </c>
      <c r="U3236" t="s">
        <v>307</v>
      </c>
      <c r="V3236">
        <v>1000</v>
      </c>
      <c r="W3236" t="s">
        <v>7362</v>
      </c>
      <c r="X3236" t="s">
        <v>7368</v>
      </c>
      <c r="Z3236" t="s">
        <v>9769</v>
      </c>
      <c r="AA3236" t="s">
        <v>6110</v>
      </c>
      <c r="AC3236">
        <v>6</v>
      </c>
      <c r="AD3236" t="s">
        <v>12422</v>
      </c>
      <c r="AE3236" t="s">
        <v>6110</v>
      </c>
      <c r="AF3236">
        <v>3</v>
      </c>
      <c r="AG3236">
        <v>1</v>
      </c>
      <c r="AH3236">
        <v>0</v>
      </c>
      <c r="AI3236">
        <v>494.23</v>
      </c>
      <c r="AL3236" t="s">
        <v>12460</v>
      </c>
      <c r="AM3236">
        <v>60000</v>
      </c>
      <c r="AS3236">
        <v>0</v>
      </c>
      <c r="AU3236" t="s">
        <v>218</v>
      </c>
    </row>
    <row r="3237" spans="1:47">
      <c r="A3237" s="1">
        <f>HYPERLINK("https://cms.ls-nyc.org/matter/dynamic-profile/view/1879665","18-1879665")</f>
        <v>0</v>
      </c>
      <c r="B3237" t="s">
        <v>89</v>
      </c>
      <c r="C3237" t="s">
        <v>483</v>
      </c>
      <c r="E3237" t="s">
        <v>1010</v>
      </c>
      <c r="F3237" t="s">
        <v>3591</v>
      </c>
      <c r="G3237" t="s">
        <v>4085</v>
      </c>
      <c r="H3237" t="s">
        <v>5376</v>
      </c>
      <c r="I3237" t="s">
        <v>6043</v>
      </c>
      <c r="J3237">
        <v>11207</v>
      </c>
      <c r="K3237" t="s">
        <v>6076</v>
      </c>
      <c r="L3237" t="s">
        <v>6076</v>
      </c>
      <c r="N3237" t="s">
        <v>7279</v>
      </c>
      <c r="O3237" t="s">
        <v>7311</v>
      </c>
      <c r="Q3237" t="s">
        <v>7322</v>
      </c>
      <c r="R3237" t="s">
        <v>6074</v>
      </c>
      <c r="S3237" t="s">
        <v>7324</v>
      </c>
      <c r="T3237" t="s">
        <v>7336</v>
      </c>
      <c r="U3237" t="s">
        <v>7344</v>
      </c>
      <c r="V3237">
        <v>1000</v>
      </c>
      <c r="W3237" t="s">
        <v>7362</v>
      </c>
      <c r="X3237" t="s">
        <v>7368</v>
      </c>
      <c r="Y3237" t="s">
        <v>7387</v>
      </c>
      <c r="Z3237" t="s">
        <v>9769</v>
      </c>
      <c r="AA3237" t="s">
        <v>6110</v>
      </c>
      <c r="AC3237">
        <v>6</v>
      </c>
      <c r="AD3237" t="s">
        <v>12422</v>
      </c>
      <c r="AE3237" t="s">
        <v>6110</v>
      </c>
      <c r="AF3237">
        <v>3</v>
      </c>
      <c r="AG3237">
        <v>1</v>
      </c>
      <c r="AH3237">
        <v>0</v>
      </c>
      <c r="AI3237">
        <v>494.23</v>
      </c>
      <c r="AL3237" t="s">
        <v>12460</v>
      </c>
      <c r="AM3237">
        <v>60000</v>
      </c>
      <c r="AS3237">
        <v>0.5</v>
      </c>
      <c r="AT3237" t="s">
        <v>462</v>
      </c>
      <c r="AU3237" t="s">
        <v>218</v>
      </c>
    </row>
    <row r="3238" spans="1:47">
      <c r="A3238" s="1">
        <f>HYPERLINK("https://cms.ls-nyc.org/matter/dynamic-profile/view/1879667","18-1879667")</f>
        <v>0</v>
      </c>
      <c r="B3238" t="s">
        <v>144</v>
      </c>
      <c r="C3238" t="s">
        <v>483</v>
      </c>
      <c r="E3238" t="s">
        <v>1010</v>
      </c>
      <c r="F3238" t="s">
        <v>3591</v>
      </c>
      <c r="G3238" t="s">
        <v>4085</v>
      </c>
      <c r="H3238" t="s">
        <v>5376</v>
      </c>
      <c r="I3238" t="s">
        <v>6043</v>
      </c>
      <c r="J3238">
        <v>11207</v>
      </c>
      <c r="K3238" t="s">
        <v>6076</v>
      </c>
      <c r="L3238" t="s">
        <v>6076</v>
      </c>
      <c r="N3238" t="s">
        <v>7279</v>
      </c>
      <c r="O3238" t="s">
        <v>7311</v>
      </c>
      <c r="Q3238" t="s">
        <v>7322</v>
      </c>
      <c r="R3238" t="s">
        <v>6074</v>
      </c>
      <c r="S3238" t="s">
        <v>7324</v>
      </c>
      <c r="T3238" t="s">
        <v>7336</v>
      </c>
      <c r="U3238" t="s">
        <v>442</v>
      </c>
      <c r="V3238">
        <v>1000</v>
      </c>
      <c r="W3238" t="s">
        <v>7362</v>
      </c>
      <c r="X3238" t="s">
        <v>7368</v>
      </c>
      <c r="Z3238" t="s">
        <v>9769</v>
      </c>
      <c r="AA3238" t="s">
        <v>6110</v>
      </c>
      <c r="AC3238">
        <v>6</v>
      </c>
      <c r="AD3238" t="s">
        <v>12422</v>
      </c>
      <c r="AE3238" t="s">
        <v>6110</v>
      </c>
      <c r="AF3238">
        <v>3</v>
      </c>
      <c r="AG3238">
        <v>1</v>
      </c>
      <c r="AH3238">
        <v>0</v>
      </c>
      <c r="AI3238">
        <v>494.23</v>
      </c>
      <c r="AL3238" t="s">
        <v>12460</v>
      </c>
      <c r="AM3238">
        <v>60000</v>
      </c>
      <c r="AS3238">
        <v>0</v>
      </c>
      <c r="AU3238" t="s">
        <v>218</v>
      </c>
    </row>
    <row r="3239" spans="1:47">
      <c r="A3239" s="1">
        <f>HYPERLINK("https://cms.ls-nyc.org/matter/dynamic-profile/view/1879657","18-1879657")</f>
        <v>0</v>
      </c>
      <c r="B3239" t="s">
        <v>144</v>
      </c>
      <c r="C3239" t="s">
        <v>483</v>
      </c>
      <c r="E3239" t="s">
        <v>1010</v>
      </c>
      <c r="F3239" t="s">
        <v>3591</v>
      </c>
      <c r="G3239" t="s">
        <v>4085</v>
      </c>
      <c r="H3239" t="s">
        <v>5376</v>
      </c>
      <c r="I3239" t="s">
        <v>6043</v>
      </c>
      <c r="J3239">
        <v>11207</v>
      </c>
      <c r="K3239" t="s">
        <v>6076</v>
      </c>
      <c r="L3239" t="s">
        <v>6076</v>
      </c>
      <c r="N3239" t="s">
        <v>6104</v>
      </c>
      <c r="O3239" t="s">
        <v>7307</v>
      </c>
      <c r="Q3239" t="s">
        <v>7322</v>
      </c>
      <c r="R3239" t="s">
        <v>6074</v>
      </c>
      <c r="S3239" t="s">
        <v>7324</v>
      </c>
      <c r="T3239" t="s">
        <v>7336</v>
      </c>
      <c r="U3239" t="s">
        <v>442</v>
      </c>
      <c r="V3239">
        <v>1000</v>
      </c>
      <c r="W3239" t="s">
        <v>7362</v>
      </c>
      <c r="X3239" t="s">
        <v>7368</v>
      </c>
      <c r="Z3239" t="s">
        <v>9769</v>
      </c>
      <c r="AC3239">
        <v>6</v>
      </c>
      <c r="AD3239" t="s">
        <v>12422</v>
      </c>
      <c r="AE3239" t="s">
        <v>6110</v>
      </c>
      <c r="AF3239">
        <v>3</v>
      </c>
      <c r="AG3239">
        <v>1</v>
      </c>
      <c r="AH3239">
        <v>0</v>
      </c>
      <c r="AI3239">
        <v>494.23</v>
      </c>
      <c r="AL3239" t="s">
        <v>12460</v>
      </c>
      <c r="AM3239">
        <v>60000</v>
      </c>
      <c r="AS3239">
        <v>0</v>
      </c>
      <c r="AU3239" t="s">
        <v>218</v>
      </c>
    </row>
    <row r="3240" spans="1:47">
      <c r="A3240" s="1">
        <f>HYPERLINK("https://cms.ls-nyc.org/matter/dynamic-profile/view/1879662","18-1879662")</f>
        <v>0</v>
      </c>
      <c r="B3240" t="s">
        <v>144</v>
      </c>
      <c r="C3240" t="s">
        <v>483</v>
      </c>
      <c r="E3240" t="s">
        <v>1010</v>
      </c>
      <c r="F3240" t="s">
        <v>3591</v>
      </c>
      <c r="G3240" t="s">
        <v>4085</v>
      </c>
      <c r="H3240" t="s">
        <v>5376</v>
      </c>
      <c r="I3240" t="s">
        <v>6043</v>
      </c>
      <c r="J3240">
        <v>11207</v>
      </c>
      <c r="K3240" t="s">
        <v>6076</v>
      </c>
      <c r="L3240" t="s">
        <v>6076</v>
      </c>
      <c r="N3240" t="s">
        <v>6104</v>
      </c>
      <c r="O3240" t="s">
        <v>7309</v>
      </c>
      <c r="Q3240" t="s">
        <v>7322</v>
      </c>
      <c r="R3240" t="s">
        <v>6074</v>
      </c>
      <c r="S3240" t="s">
        <v>7324</v>
      </c>
      <c r="T3240" t="s">
        <v>7336</v>
      </c>
      <c r="U3240" t="s">
        <v>7344</v>
      </c>
      <c r="V3240">
        <v>1000</v>
      </c>
      <c r="W3240" t="s">
        <v>7362</v>
      </c>
      <c r="X3240" t="s">
        <v>7368</v>
      </c>
      <c r="Z3240" t="s">
        <v>9769</v>
      </c>
      <c r="AC3240">
        <v>6</v>
      </c>
      <c r="AD3240" t="s">
        <v>12422</v>
      </c>
      <c r="AE3240" t="s">
        <v>6110</v>
      </c>
      <c r="AF3240">
        <v>3</v>
      </c>
      <c r="AG3240">
        <v>1</v>
      </c>
      <c r="AH3240">
        <v>0</v>
      </c>
      <c r="AI3240">
        <v>494.23</v>
      </c>
      <c r="AL3240" t="s">
        <v>12460</v>
      </c>
      <c r="AM3240">
        <v>60000</v>
      </c>
      <c r="AS3240">
        <v>0</v>
      </c>
      <c r="AU3240" t="s">
        <v>218</v>
      </c>
    </row>
    <row r="3241" spans="1:47">
      <c r="A3241" s="1">
        <f>HYPERLINK("https://cms.ls-nyc.org/matter/dynamic-profile/view/1877076","18-1877076")</f>
        <v>0</v>
      </c>
      <c r="B3241" t="s">
        <v>52</v>
      </c>
      <c r="C3241" t="s">
        <v>404</v>
      </c>
      <c r="D3241" t="s">
        <v>291</v>
      </c>
      <c r="E3241" t="s">
        <v>2011</v>
      </c>
      <c r="F3241" t="s">
        <v>3592</v>
      </c>
      <c r="G3241" t="s">
        <v>5325</v>
      </c>
      <c r="H3241" t="s">
        <v>5578</v>
      </c>
      <c r="I3241" t="s">
        <v>6040</v>
      </c>
      <c r="J3241">
        <v>11354</v>
      </c>
      <c r="K3241" t="s">
        <v>6074</v>
      </c>
      <c r="L3241" t="s">
        <v>6074</v>
      </c>
      <c r="M3241" t="s">
        <v>6110</v>
      </c>
      <c r="N3241" t="s">
        <v>6104</v>
      </c>
      <c r="O3241" t="s">
        <v>7306</v>
      </c>
      <c r="P3241" t="s">
        <v>7314</v>
      </c>
      <c r="Q3241" t="s">
        <v>7322</v>
      </c>
      <c r="R3241" t="s">
        <v>6076</v>
      </c>
      <c r="S3241" t="s">
        <v>7324</v>
      </c>
      <c r="T3241" t="s">
        <v>7336</v>
      </c>
      <c r="U3241" t="s">
        <v>404</v>
      </c>
      <c r="V3241">
        <v>2100</v>
      </c>
      <c r="W3241" t="s">
        <v>7361</v>
      </c>
      <c r="X3241" t="s">
        <v>7371</v>
      </c>
      <c r="Y3241" t="s">
        <v>7386</v>
      </c>
      <c r="Z3241" t="s">
        <v>9770</v>
      </c>
      <c r="AA3241" t="s">
        <v>6110</v>
      </c>
      <c r="AB3241" t="s">
        <v>12358</v>
      </c>
      <c r="AC3241">
        <v>120</v>
      </c>
      <c r="AD3241" t="s">
        <v>12419</v>
      </c>
      <c r="AE3241" t="s">
        <v>6110</v>
      </c>
      <c r="AF3241">
        <v>1</v>
      </c>
      <c r="AG3241">
        <v>2</v>
      </c>
      <c r="AH3241">
        <v>0</v>
      </c>
      <c r="AI3241">
        <v>501.22</v>
      </c>
      <c r="AL3241" t="s">
        <v>12463</v>
      </c>
      <c r="AM3241">
        <v>82500</v>
      </c>
      <c r="AS3241">
        <v>1.4</v>
      </c>
      <c r="AT3241" t="s">
        <v>291</v>
      </c>
      <c r="AU3241" t="s">
        <v>52</v>
      </c>
    </row>
    <row r="3242" spans="1:47">
      <c r="A3242" s="1">
        <f>HYPERLINK("https://cms.ls-nyc.org/matter/dynamic-profile/view/1898394","19-1898394")</f>
        <v>0</v>
      </c>
      <c r="B3242" t="s">
        <v>72</v>
      </c>
      <c r="C3242" t="s">
        <v>257</v>
      </c>
      <c r="E3242" t="s">
        <v>2012</v>
      </c>
      <c r="F3242" t="s">
        <v>2943</v>
      </c>
      <c r="G3242" t="s">
        <v>3700</v>
      </c>
      <c r="H3242" t="s">
        <v>6011</v>
      </c>
      <c r="I3242" t="s">
        <v>6043</v>
      </c>
      <c r="J3242">
        <v>11233</v>
      </c>
      <c r="K3242" t="s">
        <v>6074</v>
      </c>
      <c r="L3242" t="s">
        <v>6076</v>
      </c>
      <c r="N3242" t="s">
        <v>7279</v>
      </c>
      <c r="O3242" t="s">
        <v>7311</v>
      </c>
      <c r="Q3242" t="s">
        <v>7322</v>
      </c>
      <c r="R3242" t="s">
        <v>6074</v>
      </c>
      <c r="S3242" t="s">
        <v>7324</v>
      </c>
      <c r="T3242" t="s">
        <v>7336</v>
      </c>
      <c r="U3242" t="s">
        <v>330</v>
      </c>
      <c r="V3242">
        <v>1170.14</v>
      </c>
      <c r="W3242" t="s">
        <v>7362</v>
      </c>
      <c r="X3242" t="s">
        <v>7305</v>
      </c>
      <c r="Z3242" t="s">
        <v>9771</v>
      </c>
      <c r="AC3242">
        <v>359</v>
      </c>
      <c r="AD3242" t="s">
        <v>12422</v>
      </c>
      <c r="AF3242">
        <v>19</v>
      </c>
      <c r="AG3242">
        <v>2</v>
      </c>
      <c r="AH3242">
        <v>0</v>
      </c>
      <c r="AI3242">
        <v>502.66</v>
      </c>
      <c r="AL3242" t="s">
        <v>12460</v>
      </c>
      <c r="AM3242">
        <v>85000</v>
      </c>
      <c r="AN3242" t="s">
        <v>12488</v>
      </c>
      <c r="AS3242">
        <v>0</v>
      </c>
      <c r="AU3242" t="s">
        <v>180</v>
      </c>
    </row>
    <row r="3243" spans="1:47">
      <c r="A3243" s="1">
        <f>HYPERLINK("https://cms.ls-nyc.org/matter/dynamic-profile/view/1898399","19-1898399")</f>
        <v>0</v>
      </c>
      <c r="B3243" t="s">
        <v>72</v>
      </c>
      <c r="C3243" t="s">
        <v>257</v>
      </c>
      <c r="E3243" t="s">
        <v>2012</v>
      </c>
      <c r="F3243" t="s">
        <v>2943</v>
      </c>
      <c r="G3243" t="s">
        <v>3700</v>
      </c>
      <c r="H3243" t="s">
        <v>6011</v>
      </c>
      <c r="I3243" t="s">
        <v>6043</v>
      </c>
      <c r="J3243">
        <v>11233</v>
      </c>
      <c r="K3243" t="s">
        <v>6074</v>
      </c>
      <c r="L3243" t="s">
        <v>6076</v>
      </c>
      <c r="N3243" t="s">
        <v>7275</v>
      </c>
      <c r="O3243" t="s">
        <v>7307</v>
      </c>
      <c r="Q3243" t="s">
        <v>7322</v>
      </c>
      <c r="R3243" t="s">
        <v>6074</v>
      </c>
      <c r="S3243" t="s">
        <v>7324</v>
      </c>
      <c r="T3243" t="s">
        <v>7336</v>
      </c>
      <c r="U3243" t="s">
        <v>287</v>
      </c>
      <c r="V3243">
        <v>1170.14</v>
      </c>
      <c r="W3243" t="s">
        <v>7362</v>
      </c>
      <c r="X3243" t="s">
        <v>7305</v>
      </c>
      <c r="Z3243" t="s">
        <v>9771</v>
      </c>
      <c r="AC3243">
        <v>359</v>
      </c>
      <c r="AD3243" t="s">
        <v>12422</v>
      </c>
      <c r="AF3243">
        <v>19</v>
      </c>
      <c r="AG3243">
        <v>2</v>
      </c>
      <c r="AH3243">
        <v>0</v>
      </c>
      <c r="AI3243">
        <v>502.66</v>
      </c>
      <c r="AL3243" t="s">
        <v>12460</v>
      </c>
      <c r="AM3243">
        <v>85000</v>
      </c>
      <c r="AN3243" t="s">
        <v>12824</v>
      </c>
      <c r="AS3243">
        <v>0</v>
      </c>
      <c r="AU3243" t="s">
        <v>180</v>
      </c>
    </row>
    <row r="3244" spans="1:47">
      <c r="A3244" s="1">
        <f>HYPERLINK("https://cms.ls-nyc.org/matter/dynamic-profile/view/1874809","18-1874809")</f>
        <v>0</v>
      </c>
      <c r="B3244" t="s">
        <v>139</v>
      </c>
      <c r="C3244" t="s">
        <v>550</v>
      </c>
      <c r="D3244" t="s">
        <v>274</v>
      </c>
      <c r="E3244" t="s">
        <v>598</v>
      </c>
      <c r="F3244" t="s">
        <v>1977</v>
      </c>
      <c r="G3244" t="s">
        <v>5298</v>
      </c>
      <c r="H3244" t="s">
        <v>5390</v>
      </c>
      <c r="I3244" t="s">
        <v>6049</v>
      </c>
      <c r="J3244">
        <v>10032</v>
      </c>
      <c r="K3244" t="s">
        <v>6074</v>
      </c>
      <c r="L3244" t="s">
        <v>6075</v>
      </c>
      <c r="N3244" t="s">
        <v>6104</v>
      </c>
      <c r="O3244" t="s">
        <v>7306</v>
      </c>
      <c r="P3244" t="s">
        <v>7314</v>
      </c>
      <c r="Q3244" t="s">
        <v>7322</v>
      </c>
      <c r="R3244" t="s">
        <v>6076</v>
      </c>
      <c r="S3244" t="s">
        <v>7324</v>
      </c>
      <c r="T3244" t="s">
        <v>7336</v>
      </c>
      <c r="U3244" t="s">
        <v>550</v>
      </c>
      <c r="V3244">
        <v>1136.19</v>
      </c>
      <c r="W3244" t="s">
        <v>7365</v>
      </c>
      <c r="X3244" t="s">
        <v>7367</v>
      </c>
      <c r="Y3244" t="s">
        <v>7386</v>
      </c>
      <c r="Z3244" t="s">
        <v>9772</v>
      </c>
      <c r="AB3244" t="s">
        <v>12359</v>
      </c>
      <c r="AC3244">
        <v>53</v>
      </c>
      <c r="AD3244" t="s">
        <v>12422</v>
      </c>
      <c r="AE3244" t="s">
        <v>6110</v>
      </c>
      <c r="AF3244">
        <v>40</v>
      </c>
      <c r="AG3244">
        <v>3</v>
      </c>
      <c r="AH3244">
        <v>0</v>
      </c>
      <c r="AI3244">
        <v>503.37</v>
      </c>
      <c r="AL3244" t="s">
        <v>12460</v>
      </c>
      <c r="AM3244">
        <v>104600</v>
      </c>
      <c r="AS3244">
        <v>1</v>
      </c>
      <c r="AT3244" t="s">
        <v>550</v>
      </c>
      <c r="AU3244" t="s">
        <v>13106</v>
      </c>
    </row>
    <row r="3245" spans="1:47">
      <c r="A3245" s="1">
        <f>HYPERLINK("https://cms.ls-nyc.org/matter/dynamic-profile/view/1890552","19-1890552")</f>
        <v>0</v>
      </c>
      <c r="B3245" t="s">
        <v>72</v>
      </c>
      <c r="C3245" t="s">
        <v>448</v>
      </c>
      <c r="E3245" t="s">
        <v>877</v>
      </c>
      <c r="F3245" t="s">
        <v>3593</v>
      </c>
      <c r="G3245" t="s">
        <v>3700</v>
      </c>
      <c r="H3245" t="s">
        <v>6012</v>
      </c>
      <c r="I3245" t="s">
        <v>6043</v>
      </c>
      <c r="J3245">
        <v>11233</v>
      </c>
      <c r="K3245" t="s">
        <v>6074</v>
      </c>
      <c r="L3245" t="s">
        <v>6076</v>
      </c>
      <c r="N3245" t="s">
        <v>7279</v>
      </c>
      <c r="O3245" t="s">
        <v>7311</v>
      </c>
      <c r="Q3245" t="s">
        <v>7322</v>
      </c>
      <c r="R3245" t="s">
        <v>6074</v>
      </c>
      <c r="S3245" t="s">
        <v>7324</v>
      </c>
      <c r="T3245" t="s">
        <v>7336</v>
      </c>
      <c r="U3245" t="s">
        <v>330</v>
      </c>
      <c r="V3245">
        <v>680</v>
      </c>
      <c r="W3245" t="s">
        <v>7362</v>
      </c>
      <c r="X3245" t="s">
        <v>7305</v>
      </c>
      <c r="Z3245" t="s">
        <v>9773</v>
      </c>
      <c r="AC3245">
        <v>359</v>
      </c>
      <c r="AD3245" t="s">
        <v>12422</v>
      </c>
      <c r="AE3245" t="s">
        <v>6110</v>
      </c>
      <c r="AF3245">
        <v>3</v>
      </c>
      <c r="AG3245">
        <v>1</v>
      </c>
      <c r="AH3245">
        <v>0</v>
      </c>
      <c r="AI3245">
        <v>504.4</v>
      </c>
      <c r="AL3245" t="s">
        <v>12460</v>
      </c>
      <c r="AM3245">
        <v>63000</v>
      </c>
      <c r="AN3245" t="s">
        <v>12825</v>
      </c>
      <c r="AS3245">
        <v>0</v>
      </c>
      <c r="AU3245" t="s">
        <v>180</v>
      </c>
    </row>
    <row r="3246" spans="1:47">
      <c r="A3246" s="1">
        <f>HYPERLINK("https://cms.ls-nyc.org/matter/dynamic-profile/view/1891861","19-1891861")</f>
        <v>0</v>
      </c>
      <c r="B3246" t="s">
        <v>72</v>
      </c>
      <c r="C3246" t="s">
        <v>318</v>
      </c>
      <c r="E3246" t="s">
        <v>877</v>
      </c>
      <c r="F3246" t="s">
        <v>3593</v>
      </c>
      <c r="G3246" t="s">
        <v>3700</v>
      </c>
      <c r="H3246" t="s">
        <v>6012</v>
      </c>
      <c r="I3246" t="s">
        <v>6043</v>
      </c>
      <c r="J3246">
        <v>11233</v>
      </c>
      <c r="K3246" t="s">
        <v>6074</v>
      </c>
      <c r="L3246" t="s">
        <v>6076</v>
      </c>
      <c r="M3246" t="s">
        <v>6110</v>
      </c>
      <c r="N3246" t="s">
        <v>7275</v>
      </c>
      <c r="O3246" t="s">
        <v>7307</v>
      </c>
      <c r="Q3246" t="s">
        <v>7322</v>
      </c>
      <c r="R3246" t="s">
        <v>6074</v>
      </c>
      <c r="S3246" t="s">
        <v>7324</v>
      </c>
      <c r="T3246" t="s">
        <v>7336</v>
      </c>
      <c r="U3246" t="s">
        <v>287</v>
      </c>
      <c r="V3246">
        <v>680</v>
      </c>
      <c r="W3246" t="s">
        <v>7362</v>
      </c>
      <c r="Z3246" t="s">
        <v>9773</v>
      </c>
      <c r="AC3246">
        <v>359</v>
      </c>
      <c r="AD3246" t="s">
        <v>12422</v>
      </c>
      <c r="AE3246" t="s">
        <v>6110</v>
      </c>
      <c r="AF3246">
        <v>3</v>
      </c>
      <c r="AG3246">
        <v>1</v>
      </c>
      <c r="AH3246">
        <v>0</v>
      </c>
      <c r="AI3246">
        <v>504.4</v>
      </c>
      <c r="AL3246" t="s">
        <v>12460</v>
      </c>
      <c r="AM3246">
        <v>63000</v>
      </c>
      <c r="AN3246" t="s">
        <v>12826</v>
      </c>
      <c r="AS3246">
        <v>0</v>
      </c>
      <c r="AU3246" t="s">
        <v>218</v>
      </c>
    </row>
    <row r="3247" spans="1:47">
      <c r="A3247" s="1">
        <f>HYPERLINK("https://cms.ls-nyc.org/matter/dynamic-profile/view/1894051","19-1894051")</f>
        <v>0</v>
      </c>
      <c r="B3247" t="s">
        <v>112</v>
      </c>
      <c r="C3247" t="s">
        <v>462</v>
      </c>
      <c r="E3247" t="s">
        <v>1071</v>
      </c>
      <c r="F3247" t="s">
        <v>3594</v>
      </c>
      <c r="G3247" t="s">
        <v>3793</v>
      </c>
      <c r="H3247" t="s">
        <v>5424</v>
      </c>
      <c r="I3247" t="s">
        <v>6047</v>
      </c>
      <c r="J3247">
        <v>10453</v>
      </c>
      <c r="K3247" t="s">
        <v>6074</v>
      </c>
      <c r="L3247" t="s">
        <v>6074</v>
      </c>
      <c r="N3247" t="s">
        <v>7279</v>
      </c>
      <c r="O3247" t="s">
        <v>7311</v>
      </c>
      <c r="Q3247" t="s">
        <v>7322</v>
      </c>
      <c r="R3247" t="s">
        <v>6074</v>
      </c>
      <c r="S3247" t="s">
        <v>7324</v>
      </c>
      <c r="U3247" t="s">
        <v>457</v>
      </c>
      <c r="V3247">
        <v>1102.63</v>
      </c>
      <c r="W3247" t="s">
        <v>7363</v>
      </c>
      <c r="X3247" t="s">
        <v>7376</v>
      </c>
      <c r="Z3247" t="s">
        <v>9774</v>
      </c>
      <c r="AB3247" t="s">
        <v>12360</v>
      </c>
      <c r="AC3247">
        <v>0</v>
      </c>
      <c r="AD3247" t="s">
        <v>12422</v>
      </c>
      <c r="AE3247" t="s">
        <v>6110</v>
      </c>
      <c r="AF3247">
        <v>28</v>
      </c>
      <c r="AG3247">
        <v>1</v>
      </c>
      <c r="AH3247">
        <v>0</v>
      </c>
      <c r="AI3247">
        <v>510.77</v>
      </c>
      <c r="AL3247" t="s">
        <v>12461</v>
      </c>
      <c r="AM3247">
        <v>62007.92</v>
      </c>
      <c r="AS3247">
        <v>0</v>
      </c>
      <c r="AU3247" t="s">
        <v>13095</v>
      </c>
    </row>
    <row r="3248" spans="1:47">
      <c r="A3248" s="1">
        <f>HYPERLINK("https://cms.ls-nyc.org/matter/dynamic-profile/view/1894050","19-1894050")</f>
        <v>0</v>
      </c>
      <c r="B3248" t="s">
        <v>112</v>
      </c>
      <c r="C3248" t="s">
        <v>462</v>
      </c>
      <c r="E3248" t="s">
        <v>1071</v>
      </c>
      <c r="F3248" t="s">
        <v>3594</v>
      </c>
      <c r="G3248" t="s">
        <v>3793</v>
      </c>
      <c r="H3248" t="s">
        <v>5424</v>
      </c>
      <c r="I3248" t="s">
        <v>6047</v>
      </c>
      <c r="J3248">
        <v>10453</v>
      </c>
      <c r="K3248" t="s">
        <v>6074</v>
      </c>
      <c r="L3248" t="s">
        <v>6074</v>
      </c>
      <c r="M3248" t="s">
        <v>6194</v>
      </c>
      <c r="N3248" t="s">
        <v>7273</v>
      </c>
      <c r="O3248" t="s">
        <v>7308</v>
      </c>
      <c r="Q3248" t="s">
        <v>7322</v>
      </c>
      <c r="R3248" t="s">
        <v>6074</v>
      </c>
      <c r="S3248" t="s">
        <v>7324</v>
      </c>
      <c r="U3248" t="s">
        <v>457</v>
      </c>
      <c r="V3248">
        <v>1102.63</v>
      </c>
      <c r="W3248" t="s">
        <v>7363</v>
      </c>
      <c r="X3248" t="s">
        <v>7376</v>
      </c>
      <c r="Z3248" t="s">
        <v>9774</v>
      </c>
      <c r="AB3248" t="s">
        <v>12360</v>
      </c>
      <c r="AC3248">
        <v>44</v>
      </c>
      <c r="AD3248" t="s">
        <v>12422</v>
      </c>
      <c r="AE3248" t="s">
        <v>6110</v>
      </c>
      <c r="AF3248">
        <v>28</v>
      </c>
      <c r="AG3248">
        <v>1</v>
      </c>
      <c r="AH3248">
        <v>0</v>
      </c>
      <c r="AI3248">
        <v>510.77</v>
      </c>
      <c r="AL3248" t="s">
        <v>12461</v>
      </c>
      <c r="AM3248">
        <v>62007.92</v>
      </c>
      <c r="AS3248">
        <v>0</v>
      </c>
      <c r="AU3248" t="s">
        <v>13095</v>
      </c>
    </row>
    <row r="3249" spans="1:48">
      <c r="A3249" s="1">
        <f>HYPERLINK("https://cms.ls-nyc.org/matter/dynamic-profile/view/1885657","18-1885657")</f>
        <v>0</v>
      </c>
      <c r="B3249" t="s">
        <v>54</v>
      </c>
      <c r="C3249" t="s">
        <v>266</v>
      </c>
      <c r="E3249" t="s">
        <v>864</v>
      </c>
      <c r="F3249" t="s">
        <v>2488</v>
      </c>
      <c r="G3249" t="s">
        <v>5326</v>
      </c>
      <c r="H3249" t="s">
        <v>5439</v>
      </c>
      <c r="I3249" t="s">
        <v>6070</v>
      </c>
      <c r="J3249">
        <v>11104</v>
      </c>
      <c r="K3249" t="s">
        <v>6074</v>
      </c>
      <c r="L3249" t="s">
        <v>6074</v>
      </c>
      <c r="M3249" t="s">
        <v>7266</v>
      </c>
      <c r="N3249" t="s">
        <v>7276</v>
      </c>
      <c r="O3249" t="s">
        <v>7308</v>
      </c>
      <c r="Q3249" t="s">
        <v>7322</v>
      </c>
      <c r="R3249" t="s">
        <v>6076</v>
      </c>
      <c r="S3249" t="s">
        <v>7324</v>
      </c>
      <c r="T3249" t="s">
        <v>7336</v>
      </c>
      <c r="U3249" t="s">
        <v>266</v>
      </c>
      <c r="V3249">
        <v>1308.56</v>
      </c>
      <c r="W3249" t="s">
        <v>7361</v>
      </c>
      <c r="X3249" t="s">
        <v>7366</v>
      </c>
      <c r="Z3249" t="s">
        <v>9775</v>
      </c>
      <c r="AA3249" t="s">
        <v>10294</v>
      </c>
      <c r="AB3249" t="s">
        <v>12361</v>
      </c>
      <c r="AC3249">
        <v>8</v>
      </c>
      <c r="AD3249" t="s">
        <v>12422</v>
      </c>
      <c r="AE3249" t="s">
        <v>6110</v>
      </c>
      <c r="AF3249">
        <v>35</v>
      </c>
      <c r="AG3249">
        <v>2</v>
      </c>
      <c r="AH3249">
        <v>0</v>
      </c>
      <c r="AI3249">
        <v>510.91</v>
      </c>
      <c r="AL3249" t="s">
        <v>12460</v>
      </c>
      <c r="AM3249">
        <v>84096</v>
      </c>
      <c r="AO3249" t="s">
        <v>12846</v>
      </c>
      <c r="AP3249" t="s">
        <v>7305</v>
      </c>
      <c r="AQ3249" t="s">
        <v>12912</v>
      </c>
      <c r="AR3249" t="s">
        <v>13040</v>
      </c>
      <c r="AS3249">
        <v>9.1</v>
      </c>
      <c r="AT3249" t="s">
        <v>367</v>
      </c>
      <c r="AU3249" t="s">
        <v>52</v>
      </c>
    </row>
    <row r="3250" spans="1:48">
      <c r="A3250" s="1">
        <f>HYPERLINK("https://cms.ls-nyc.org/matter/dynamic-profile/view/1898826","19-1898826")</f>
        <v>0</v>
      </c>
      <c r="B3250" t="s">
        <v>72</v>
      </c>
      <c r="C3250" t="s">
        <v>294</v>
      </c>
      <c r="E3250" t="s">
        <v>586</v>
      </c>
      <c r="F3250" t="s">
        <v>3595</v>
      </c>
      <c r="G3250" t="s">
        <v>4324</v>
      </c>
      <c r="H3250" t="s">
        <v>5845</v>
      </c>
      <c r="I3250" t="s">
        <v>6043</v>
      </c>
      <c r="J3250">
        <v>11233</v>
      </c>
      <c r="K3250" t="s">
        <v>6074</v>
      </c>
      <c r="L3250" t="s">
        <v>6076</v>
      </c>
      <c r="N3250" t="s">
        <v>7279</v>
      </c>
      <c r="O3250" t="s">
        <v>7311</v>
      </c>
      <c r="Q3250" t="s">
        <v>7322</v>
      </c>
      <c r="R3250" t="s">
        <v>6074</v>
      </c>
      <c r="S3250" t="s">
        <v>7324</v>
      </c>
      <c r="T3250" t="s">
        <v>7336</v>
      </c>
      <c r="U3250" t="s">
        <v>330</v>
      </c>
      <c r="V3250">
        <v>950</v>
      </c>
      <c r="W3250" t="s">
        <v>7362</v>
      </c>
      <c r="X3250" t="s">
        <v>7305</v>
      </c>
      <c r="Z3250" t="s">
        <v>9776</v>
      </c>
      <c r="AC3250">
        <v>359</v>
      </c>
      <c r="AD3250" t="s">
        <v>12422</v>
      </c>
      <c r="AF3250">
        <v>9</v>
      </c>
      <c r="AG3250">
        <v>1</v>
      </c>
      <c r="AH3250">
        <v>0</v>
      </c>
      <c r="AI3250">
        <v>511.84</v>
      </c>
      <c r="AL3250" t="s">
        <v>12460</v>
      </c>
      <c r="AM3250">
        <v>63929</v>
      </c>
      <c r="AN3250" t="s">
        <v>12488</v>
      </c>
      <c r="AS3250">
        <v>0</v>
      </c>
      <c r="AU3250" t="s">
        <v>180</v>
      </c>
    </row>
    <row r="3251" spans="1:48">
      <c r="A3251" s="1">
        <f>HYPERLINK("https://cms.ls-nyc.org/matter/dynamic-profile/view/1898836","19-1898836")</f>
        <v>0</v>
      </c>
      <c r="B3251" t="s">
        <v>72</v>
      </c>
      <c r="C3251" t="s">
        <v>294</v>
      </c>
      <c r="E3251" t="s">
        <v>586</v>
      </c>
      <c r="F3251" t="s">
        <v>3595</v>
      </c>
      <c r="G3251" t="s">
        <v>4324</v>
      </c>
      <c r="H3251" t="s">
        <v>5845</v>
      </c>
      <c r="I3251" t="s">
        <v>6043</v>
      </c>
      <c r="J3251">
        <v>11233</v>
      </c>
      <c r="K3251" t="s">
        <v>6074</v>
      </c>
      <c r="L3251" t="s">
        <v>6076</v>
      </c>
      <c r="N3251" t="s">
        <v>7275</v>
      </c>
      <c r="O3251" t="s">
        <v>7307</v>
      </c>
      <c r="Q3251" t="s">
        <v>7322</v>
      </c>
      <c r="R3251" t="s">
        <v>6074</v>
      </c>
      <c r="S3251" t="s">
        <v>7324</v>
      </c>
      <c r="T3251" t="s">
        <v>7336</v>
      </c>
      <c r="U3251" t="s">
        <v>287</v>
      </c>
      <c r="V3251">
        <v>950</v>
      </c>
      <c r="W3251" t="s">
        <v>7362</v>
      </c>
      <c r="X3251" t="s">
        <v>7305</v>
      </c>
      <c r="Z3251" t="s">
        <v>9776</v>
      </c>
      <c r="AC3251">
        <v>359</v>
      </c>
      <c r="AD3251" t="s">
        <v>12422</v>
      </c>
      <c r="AF3251">
        <v>9</v>
      </c>
      <c r="AG3251">
        <v>1</v>
      </c>
      <c r="AH3251">
        <v>0</v>
      </c>
      <c r="AI3251">
        <v>511.84</v>
      </c>
      <c r="AL3251" t="s">
        <v>12460</v>
      </c>
      <c r="AM3251">
        <v>63929</v>
      </c>
      <c r="AN3251" t="s">
        <v>12827</v>
      </c>
      <c r="AS3251">
        <v>0</v>
      </c>
      <c r="AU3251" t="s">
        <v>180</v>
      </c>
    </row>
    <row r="3252" spans="1:48">
      <c r="A3252" s="1">
        <f>HYPERLINK("https://cms.ls-nyc.org/matter/dynamic-profile/view/1896653","19-1896653")</f>
        <v>0</v>
      </c>
      <c r="B3252" t="s">
        <v>80</v>
      </c>
      <c r="C3252" t="s">
        <v>387</v>
      </c>
      <c r="E3252" t="s">
        <v>2013</v>
      </c>
      <c r="F3252" t="s">
        <v>3596</v>
      </c>
      <c r="G3252" t="s">
        <v>4147</v>
      </c>
      <c r="H3252" t="s">
        <v>6013</v>
      </c>
      <c r="I3252" t="s">
        <v>6043</v>
      </c>
      <c r="J3252">
        <v>11213</v>
      </c>
      <c r="K3252" t="s">
        <v>6074</v>
      </c>
      <c r="L3252" t="s">
        <v>6074</v>
      </c>
      <c r="M3252" t="s">
        <v>6439</v>
      </c>
      <c r="N3252" t="s">
        <v>7279</v>
      </c>
      <c r="O3252" t="s">
        <v>7311</v>
      </c>
      <c r="Q3252" t="s">
        <v>7322</v>
      </c>
      <c r="R3252" t="s">
        <v>6074</v>
      </c>
      <c r="S3252" t="s">
        <v>7324</v>
      </c>
      <c r="U3252" t="s">
        <v>337</v>
      </c>
      <c r="V3252">
        <v>540</v>
      </c>
      <c r="W3252" t="s">
        <v>7362</v>
      </c>
      <c r="X3252" t="s">
        <v>7376</v>
      </c>
      <c r="Z3252" t="s">
        <v>9777</v>
      </c>
      <c r="AB3252" t="s">
        <v>12362</v>
      </c>
      <c r="AC3252">
        <v>6</v>
      </c>
      <c r="AD3252" t="s">
        <v>12422</v>
      </c>
      <c r="AE3252" t="s">
        <v>6110</v>
      </c>
      <c r="AF3252">
        <v>18</v>
      </c>
      <c r="AG3252">
        <v>1</v>
      </c>
      <c r="AH3252">
        <v>0</v>
      </c>
      <c r="AI3252">
        <v>512.41</v>
      </c>
      <c r="AL3252" t="s">
        <v>12460</v>
      </c>
      <c r="AM3252">
        <v>64000</v>
      </c>
      <c r="AN3252" t="s">
        <v>12828</v>
      </c>
      <c r="AS3252">
        <v>0</v>
      </c>
      <c r="AU3252" t="s">
        <v>180</v>
      </c>
    </row>
    <row r="3253" spans="1:48">
      <c r="A3253" s="1">
        <f>HYPERLINK("https://cms.ls-nyc.org/matter/dynamic-profile/view/1896656","19-1896656")</f>
        <v>0</v>
      </c>
      <c r="B3253" t="s">
        <v>80</v>
      </c>
      <c r="C3253" t="s">
        <v>387</v>
      </c>
      <c r="E3253" t="s">
        <v>2013</v>
      </c>
      <c r="F3253" t="s">
        <v>3596</v>
      </c>
      <c r="G3253" t="s">
        <v>4147</v>
      </c>
      <c r="H3253" t="s">
        <v>6013</v>
      </c>
      <c r="I3253" t="s">
        <v>6043</v>
      </c>
      <c r="J3253">
        <v>11213</v>
      </c>
      <c r="K3253" t="s">
        <v>6074</v>
      </c>
      <c r="L3253" t="s">
        <v>6074</v>
      </c>
      <c r="M3253" t="s">
        <v>6440</v>
      </c>
      <c r="N3253" t="s">
        <v>7273</v>
      </c>
      <c r="O3253" t="s">
        <v>7308</v>
      </c>
      <c r="Q3253" t="s">
        <v>7322</v>
      </c>
      <c r="R3253" t="s">
        <v>6074</v>
      </c>
      <c r="S3253" t="s">
        <v>7324</v>
      </c>
      <c r="U3253" t="s">
        <v>337</v>
      </c>
      <c r="V3253">
        <v>540</v>
      </c>
      <c r="W3253" t="s">
        <v>7362</v>
      </c>
      <c r="X3253" t="s">
        <v>7376</v>
      </c>
      <c r="Z3253" t="s">
        <v>9777</v>
      </c>
      <c r="AB3253" t="s">
        <v>12362</v>
      </c>
      <c r="AC3253">
        <v>6</v>
      </c>
      <c r="AD3253" t="s">
        <v>12422</v>
      </c>
      <c r="AE3253" t="s">
        <v>6110</v>
      </c>
      <c r="AF3253">
        <v>18</v>
      </c>
      <c r="AG3253">
        <v>1</v>
      </c>
      <c r="AH3253">
        <v>0</v>
      </c>
      <c r="AI3253">
        <v>512.41</v>
      </c>
      <c r="AL3253" t="s">
        <v>12460</v>
      </c>
      <c r="AM3253">
        <v>64000</v>
      </c>
      <c r="AN3253" t="s">
        <v>12829</v>
      </c>
      <c r="AS3253">
        <v>0</v>
      </c>
      <c r="AU3253" t="s">
        <v>180</v>
      </c>
    </row>
    <row r="3254" spans="1:48">
      <c r="A3254" s="1">
        <f>HYPERLINK("https://cms.ls-nyc.org/matter/dynamic-profile/view/1896646","19-1896646")</f>
        <v>0</v>
      </c>
      <c r="B3254" t="s">
        <v>80</v>
      </c>
      <c r="C3254" t="s">
        <v>387</v>
      </c>
      <c r="E3254" t="s">
        <v>2013</v>
      </c>
      <c r="F3254" t="s">
        <v>3596</v>
      </c>
      <c r="G3254" t="s">
        <v>4147</v>
      </c>
      <c r="H3254" t="s">
        <v>6013</v>
      </c>
      <c r="I3254" t="s">
        <v>6043</v>
      </c>
      <c r="J3254">
        <v>11213</v>
      </c>
      <c r="K3254" t="s">
        <v>6074</v>
      </c>
      <c r="L3254" t="s">
        <v>6074</v>
      </c>
      <c r="M3254" t="s">
        <v>6104</v>
      </c>
      <c r="N3254" t="s">
        <v>7275</v>
      </c>
      <c r="O3254" t="s">
        <v>7307</v>
      </c>
      <c r="Q3254" t="s">
        <v>7322</v>
      </c>
      <c r="R3254" t="s">
        <v>6074</v>
      </c>
      <c r="S3254" t="s">
        <v>7324</v>
      </c>
      <c r="U3254" t="s">
        <v>305</v>
      </c>
      <c r="V3254">
        <v>540</v>
      </c>
      <c r="W3254" t="s">
        <v>7362</v>
      </c>
      <c r="X3254" t="s">
        <v>7376</v>
      </c>
      <c r="Z3254" t="s">
        <v>9777</v>
      </c>
      <c r="AB3254" t="s">
        <v>12362</v>
      </c>
      <c r="AC3254">
        <v>6</v>
      </c>
      <c r="AD3254" t="s">
        <v>12422</v>
      </c>
      <c r="AE3254" t="s">
        <v>6110</v>
      </c>
      <c r="AF3254">
        <v>18</v>
      </c>
      <c r="AG3254">
        <v>1</v>
      </c>
      <c r="AH3254">
        <v>0</v>
      </c>
      <c r="AI3254">
        <v>512.41</v>
      </c>
      <c r="AL3254" t="s">
        <v>12460</v>
      </c>
      <c r="AM3254">
        <v>64000</v>
      </c>
      <c r="AS3254">
        <v>0</v>
      </c>
      <c r="AU3254" t="s">
        <v>180</v>
      </c>
    </row>
    <row r="3255" spans="1:48">
      <c r="A3255" s="1">
        <f>HYPERLINK("https://cms.ls-nyc.org/matter/dynamic-profile/view/1896648","19-1896648")</f>
        <v>0</v>
      </c>
      <c r="B3255" t="s">
        <v>80</v>
      </c>
      <c r="C3255" t="s">
        <v>387</v>
      </c>
      <c r="E3255" t="s">
        <v>2013</v>
      </c>
      <c r="F3255" t="s">
        <v>3596</v>
      </c>
      <c r="G3255" t="s">
        <v>4147</v>
      </c>
      <c r="H3255" t="s">
        <v>6013</v>
      </c>
      <c r="I3255" t="s">
        <v>6043</v>
      </c>
      <c r="J3255">
        <v>11213</v>
      </c>
      <c r="K3255" t="s">
        <v>6074</v>
      </c>
      <c r="L3255" t="s">
        <v>6074</v>
      </c>
      <c r="M3255" t="s">
        <v>6104</v>
      </c>
      <c r="N3255" t="s">
        <v>7275</v>
      </c>
      <c r="O3255" t="s">
        <v>7307</v>
      </c>
      <c r="Q3255" t="s">
        <v>7322</v>
      </c>
      <c r="R3255" t="s">
        <v>6074</v>
      </c>
      <c r="S3255" t="s">
        <v>7324</v>
      </c>
      <c r="U3255" t="s">
        <v>322</v>
      </c>
      <c r="V3255">
        <v>540</v>
      </c>
      <c r="W3255" t="s">
        <v>7362</v>
      </c>
      <c r="X3255" t="s">
        <v>7376</v>
      </c>
      <c r="Z3255" t="s">
        <v>9777</v>
      </c>
      <c r="AB3255" t="s">
        <v>12362</v>
      </c>
      <c r="AC3255">
        <v>6</v>
      </c>
      <c r="AD3255" t="s">
        <v>12422</v>
      </c>
      <c r="AE3255" t="s">
        <v>6110</v>
      </c>
      <c r="AF3255">
        <v>18</v>
      </c>
      <c r="AG3255">
        <v>1</v>
      </c>
      <c r="AH3255">
        <v>0</v>
      </c>
      <c r="AI3255">
        <v>512.41</v>
      </c>
      <c r="AL3255" t="s">
        <v>12460</v>
      </c>
      <c r="AM3255">
        <v>64000</v>
      </c>
      <c r="AN3255" t="s">
        <v>12830</v>
      </c>
      <c r="AS3255">
        <v>0</v>
      </c>
      <c r="AU3255" t="s">
        <v>180</v>
      </c>
    </row>
    <row r="3256" spans="1:48">
      <c r="A3256" s="1">
        <f>HYPERLINK("https://cms.ls-nyc.org/matter/dynamic-profile/view/1900482","19-1900482")</f>
        <v>0</v>
      </c>
      <c r="B3256" t="s">
        <v>74</v>
      </c>
      <c r="C3256" t="s">
        <v>241</v>
      </c>
      <c r="E3256" t="s">
        <v>2013</v>
      </c>
      <c r="F3256" t="s">
        <v>3596</v>
      </c>
      <c r="G3256" t="s">
        <v>4147</v>
      </c>
      <c r="H3256" t="s">
        <v>6013</v>
      </c>
      <c r="I3256" t="s">
        <v>6043</v>
      </c>
      <c r="J3256">
        <v>11213</v>
      </c>
      <c r="K3256" t="s">
        <v>6076</v>
      </c>
      <c r="L3256" t="s">
        <v>6075</v>
      </c>
      <c r="M3256" t="s">
        <v>7267</v>
      </c>
      <c r="N3256" t="s">
        <v>7276</v>
      </c>
      <c r="O3256" t="s">
        <v>7308</v>
      </c>
      <c r="Q3256" t="s">
        <v>7322</v>
      </c>
      <c r="R3256" t="s">
        <v>6076</v>
      </c>
      <c r="S3256" t="s">
        <v>7324</v>
      </c>
      <c r="T3256" t="s">
        <v>7336</v>
      </c>
      <c r="U3256" t="s">
        <v>397</v>
      </c>
      <c r="V3256">
        <v>540</v>
      </c>
      <c r="W3256" t="s">
        <v>7362</v>
      </c>
      <c r="X3256" t="s">
        <v>7368</v>
      </c>
      <c r="Z3256" t="s">
        <v>9777</v>
      </c>
      <c r="AA3256" t="s">
        <v>6110</v>
      </c>
      <c r="AB3256" t="s">
        <v>12362</v>
      </c>
      <c r="AC3256">
        <v>6</v>
      </c>
      <c r="AD3256" t="s">
        <v>12422</v>
      </c>
      <c r="AE3256" t="s">
        <v>6110</v>
      </c>
      <c r="AF3256">
        <v>18</v>
      </c>
      <c r="AG3256">
        <v>1</v>
      </c>
      <c r="AH3256">
        <v>0</v>
      </c>
      <c r="AI3256">
        <v>512.41</v>
      </c>
      <c r="AL3256" t="s">
        <v>12460</v>
      </c>
      <c r="AM3256">
        <v>64000</v>
      </c>
      <c r="AS3256">
        <v>0.1</v>
      </c>
      <c r="AT3256" t="s">
        <v>260</v>
      </c>
      <c r="AU3256" t="s">
        <v>218</v>
      </c>
      <c r="AV3256" t="s">
        <v>6110</v>
      </c>
    </row>
    <row r="3257" spans="1:48">
      <c r="A3257" s="1">
        <f>HYPERLINK("https://cms.ls-nyc.org/matter/dynamic-profile/view/1878068","18-1878068")</f>
        <v>0</v>
      </c>
      <c r="B3257" t="s">
        <v>90</v>
      </c>
      <c r="C3257" t="s">
        <v>255</v>
      </c>
      <c r="E3257" t="s">
        <v>2014</v>
      </c>
      <c r="F3257" t="s">
        <v>3597</v>
      </c>
      <c r="G3257" t="s">
        <v>4507</v>
      </c>
      <c r="H3257" t="s">
        <v>5444</v>
      </c>
      <c r="I3257" t="s">
        <v>6043</v>
      </c>
      <c r="J3257">
        <v>11216</v>
      </c>
      <c r="K3257" t="s">
        <v>6074</v>
      </c>
      <c r="L3257" t="s">
        <v>6074</v>
      </c>
      <c r="N3257" t="s">
        <v>7282</v>
      </c>
      <c r="O3257" t="s">
        <v>7308</v>
      </c>
      <c r="Q3257" t="s">
        <v>7322</v>
      </c>
      <c r="S3257" t="s">
        <v>7324</v>
      </c>
      <c r="U3257" t="s">
        <v>238</v>
      </c>
      <c r="V3257">
        <v>1390.98</v>
      </c>
      <c r="W3257" t="s">
        <v>7362</v>
      </c>
      <c r="X3257" t="s">
        <v>7375</v>
      </c>
      <c r="Z3257" t="s">
        <v>9778</v>
      </c>
      <c r="AB3257" t="s">
        <v>12363</v>
      </c>
      <c r="AC3257">
        <v>82</v>
      </c>
      <c r="AD3257" t="s">
        <v>12422</v>
      </c>
      <c r="AE3257" t="s">
        <v>6110</v>
      </c>
      <c r="AF3257">
        <v>7</v>
      </c>
      <c r="AG3257">
        <v>2</v>
      </c>
      <c r="AH3257">
        <v>0</v>
      </c>
      <c r="AI3257">
        <v>516.4</v>
      </c>
      <c r="AJ3257" t="s">
        <v>350</v>
      </c>
      <c r="AK3257" t="s">
        <v>12456</v>
      </c>
      <c r="AL3257" t="s">
        <v>12460</v>
      </c>
      <c r="AM3257">
        <v>85000</v>
      </c>
      <c r="AN3257" t="s">
        <v>12532</v>
      </c>
      <c r="AS3257">
        <v>0</v>
      </c>
      <c r="AU3257" t="s">
        <v>218</v>
      </c>
    </row>
    <row r="3258" spans="1:48">
      <c r="A3258" s="1">
        <f>HYPERLINK("https://cms.ls-nyc.org/matter/dynamic-profile/view/1878063","18-1878063")</f>
        <v>0</v>
      </c>
      <c r="B3258" t="s">
        <v>90</v>
      </c>
      <c r="C3258" t="s">
        <v>255</v>
      </c>
      <c r="E3258" t="s">
        <v>2014</v>
      </c>
      <c r="F3258" t="s">
        <v>3597</v>
      </c>
      <c r="G3258" t="s">
        <v>4507</v>
      </c>
      <c r="H3258" t="s">
        <v>5444</v>
      </c>
      <c r="I3258" t="s">
        <v>6043</v>
      </c>
      <c r="J3258">
        <v>11216</v>
      </c>
      <c r="K3258" t="s">
        <v>6074</v>
      </c>
      <c r="L3258" t="s">
        <v>6074</v>
      </c>
      <c r="N3258" t="s">
        <v>6104</v>
      </c>
      <c r="O3258" t="s">
        <v>7307</v>
      </c>
      <c r="Q3258" t="s">
        <v>7322</v>
      </c>
      <c r="S3258" t="s">
        <v>7324</v>
      </c>
      <c r="U3258" t="s">
        <v>238</v>
      </c>
      <c r="V3258">
        <v>1390</v>
      </c>
      <c r="W3258" t="s">
        <v>7362</v>
      </c>
      <c r="X3258" t="s">
        <v>7375</v>
      </c>
      <c r="Z3258" t="s">
        <v>9778</v>
      </c>
      <c r="AB3258" t="s">
        <v>12363</v>
      </c>
      <c r="AC3258">
        <v>82</v>
      </c>
      <c r="AD3258" t="s">
        <v>12422</v>
      </c>
      <c r="AE3258" t="s">
        <v>6110</v>
      </c>
      <c r="AF3258">
        <v>7</v>
      </c>
      <c r="AG3258">
        <v>2</v>
      </c>
      <c r="AH3258">
        <v>0</v>
      </c>
      <c r="AI3258">
        <v>516.4</v>
      </c>
      <c r="AJ3258" t="s">
        <v>350</v>
      </c>
      <c r="AK3258" t="s">
        <v>12456</v>
      </c>
      <c r="AL3258" t="s">
        <v>12460</v>
      </c>
      <c r="AM3258">
        <v>85000</v>
      </c>
      <c r="AN3258" t="s">
        <v>12532</v>
      </c>
      <c r="AS3258">
        <v>0</v>
      </c>
      <c r="AU3258" t="s">
        <v>218</v>
      </c>
    </row>
    <row r="3259" spans="1:48">
      <c r="A3259" s="1">
        <f>HYPERLINK("https://cms.ls-nyc.org/matter/dynamic-profile/view/1880520","18-1880520")</f>
        <v>0</v>
      </c>
      <c r="B3259" t="s">
        <v>125</v>
      </c>
      <c r="C3259" t="s">
        <v>307</v>
      </c>
      <c r="D3259" t="s">
        <v>337</v>
      </c>
      <c r="E3259" t="s">
        <v>2015</v>
      </c>
      <c r="F3259" t="s">
        <v>3598</v>
      </c>
      <c r="G3259" t="s">
        <v>4385</v>
      </c>
      <c r="H3259" t="s">
        <v>6014</v>
      </c>
      <c r="I3259" t="s">
        <v>6049</v>
      </c>
      <c r="J3259">
        <v>10040</v>
      </c>
      <c r="K3259" t="s">
        <v>6076</v>
      </c>
      <c r="L3259" t="s">
        <v>6074</v>
      </c>
      <c r="O3259" t="s">
        <v>7306</v>
      </c>
      <c r="P3259" t="s">
        <v>7314</v>
      </c>
      <c r="Q3259" t="s">
        <v>7322</v>
      </c>
      <c r="R3259" t="s">
        <v>6076</v>
      </c>
      <c r="S3259" t="s">
        <v>7324</v>
      </c>
      <c r="U3259" t="s">
        <v>307</v>
      </c>
      <c r="V3259">
        <v>1625</v>
      </c>
      <c r="W3259" t="s">
        <v>7365</v>
      </c>
      <c r="X3259" t="s">
        <v>7367</v>
      </c>
      <c r="Y3259" t="s">
        <v>7386</v>
      </c>
      <c r="Z3259" t="s">
        <v>9094</v>
      </c>
      <c r="AB3259" t="s">
        <v>12364</v>
      </c>
      <c r="AC3259">
        <v>47</v>
      </c>
      <c r="AD3259" t="s">
        <v>6322</v>
      </c>
      <c r="AE3259" t="s">
        <v>6110</v>
      </c>
      <c r="AF3259">
        <v>0</v>
      </c>
      <c r="AG3259">
        <v>2</v>
      </c>
      <c r="AH3259">
        <v>0</v>
      </c>
      <c r="AI3259">
        <v>516.4</v>
      </c>
      <c r="AL3259" t="s">
        <v>12460</v>
      </c>
      <c r="AM3259">
        <v>85000</v>
      </c>
      <c r="AS3259">
        <v>0.8</v>
      </c>
      <c r="AT3259" t="s">
        <v>359</v>
      </c>
      <c r="AU3259" t="s">
        <v>13106</v>
      </c>
    </row>
    <row r="3260" spans="1:48">
      <c r="A3260" s="1">
        <f>HYPERLINK("https://cms.ls-nyc.org/matter/dynamic-profile/view/1886079","18-1886079")</f>
        <v>0</v>
      </c>
      <c r="B3260" t="s">
        <v>126</v>
      </c>
      <c r="C3260" t="s">
        <v>326</v>
      </c>
      <c r="E3260" t="s">
        <v>987</v>
      </c>
      <c r="F3260" t="s">
        <v>2471</v>
      </c>
      <c r="G3260" t="s">
        <v>4870</v>
      </c>
      <c r="H3260">
        <v>8</v>
      </c>
      <c r="I3260" t="s">
        <v>6049</v>
      </c>
      <c r="J3260">
        <v>10029</v>
      </c>
      <c r="K3260" t="s">
        <v>6074</v>
      </c>
      <c r="L3260" t="s">
        <v>6074</v>
      </c>
      <c r="M3260" t="s">
        <v>7007</v>
      </c>
      <c r="N3260" t="s">
        <v>7273</v>
      </c>
      <c r="O3260" t="s">
        <v>7308</v>
      </c>
      <c r="Q3260" t="s">
        <v>7322</v>
      </c>
      <c r="R3260" t="s">
        <v>6074</v>
      </c>
      <c r="S3260" t="s">
        <v>7324</v>
      </c>
      <c r="T3260" t="s">
        <v>7336</v>
      </c>
      <c r="U3260" t="s">
        <v>326</v>
      </c>
      <c r="V3260">
        <v>932.17</v>
      </c>
      <c r="W3260" t="s">
        <v>7365</v>
      </c>
      <c r="X3260" t="s">
        <v>7375</v>
      </c>
      <c r="Z3260" t="s">
        <v>9779</v>
      </c>
      <c r="AB3260" t="s">
        <v>12365</v>
      </c>
      <c r="AC3260">
        <v>6</v>
      </c>
      <c r="AE3260" t="s">
        <v>6110</v>
      </c>
      <c r="AF3260">
        <v>23</v>
      </c>
      <c r="AG3260">
        <v>4</v>
      </c>
      <c r="AH3260">
        <v>1</v>
      </c>
      <c r="AI3260">
        <v>516.66</v>
      </c>
      <c r="AL3260" t="s">
        <v>12461</v>
      </c>
      <c r="AM3260">
        <v>152000</v>
      </c>
      <c r="AS3260">
        <v>0.5</v>
      </c>
      <c r="AT3260" t="s">
        <v>314</v>
      </c>
      <c r="AU3260" t="s">
        <v>13107</v>
      </c>
    </row>
    <row r="3261" spans="1:48">
      <c r="A3261" s="1">
        <f>HYPERLINK("https://cms.ls-nyc.org/matter/dynamic-profile/view/1895704","19-1895704")</f>
        <v>0</v>
      </c>
      <c r="B3261" t="s">
        <v>75</v>
      </c>
      <c r="C3261" t="s">
        <v>264</v>
      </c>
      <c r="E3261" t="s">
        <v>2016</v>
      </c>
      <c r="F3261" t="s">
        <v>3599</v>
      </c>
      <c r="G3261" t="s">
        <v>5327</v>
      </c>
      <c r="H3261" t="s">
        <v>6015</v>
      </c>
      <c r="I3261" t="s">
        <v>6043</v>
      </c>
      <c r="J3261">
        <v>11230</v>
      </c>
      <c r="K3261" t="s">
        <v>6074</v>
      </c>
      <c r="L3261" t="s">
        <v>6074</v>
      </c>
      <c r="M3261" t="s">
        <v>7268</v>
      </c>
      <c r="N3261" t="s">
        <v>7276</v>
      </c>
      <c r="O3261" t="s">
        <v>7308</v>
      </c>
      <c r="Q3261" t="s">
        <v>7322</v>
      </c>
      <c r="R3261" t="s">
        <v>6076</v>
      </c>
      <c r="S3261" t="s">
        <v>7324</v>
      </c>
      <c r="U3261" t="s">
        <v>322</v>
      </c>
      <c r="V3261">
        <v>558.89</v>
      </c>
      <c r="W3261" t="s">
        <v>7362</v>
      </c>
      <c r="X3261" t="s">
        <v>7366</v>
      </c>
      <c r="Z3261" t="s">
        <v>9780</v>
      </c>
      <c r="AB3261" t="s">
        <v>12366</v>
      </c>
      <c r="AC3261">
        <v>0</v>
      </c>
      <c r="AD3261" t="s">
        <v>12422</v>
      </c>
      <c r="AF3261">
        <v>39</v>
      </c>
      <c r="AG3261">
        <v>1</v>
      </c>
      <c r="AH3261">
        <v>0</v>
      </c>
      <c r="AI3261">
        <v>520.42</v>
      </c>
      <c r="AJ3261" t="s">
        <v>322</v>
      </c>
      <c r="AK3261" t="s">
        <v>12456</v>
      </c>
      <c r="AL3261" t="s">
        <v>12461</v>
      </c>
      <c r="AM3261">
        <v>65000</v>
      </c>
      <c r="AP3261" t="s">
        <v>12863</v>
      </c>
      <c r="AQ3261" t="s">
        <v>12909</v>
      </c>
      <c r="AR3261" t="s">
        <v>13063</v>
      </c>
      <c r="AS3261">
        <v>0.5</v>
      </c>
      <c r="AT3261" t="s">
        <v>375</v>
      </c>
      <c r="AU3261" t="s">
        <v>88</v>
      </c>
    </row>
    <row r="3262" spans="1:48">
      <c r="A3262" s="1">
        <f>HYPERLINK("https://cms.ls-nyc.org/matter/dynamic-profile/view/1892920","19-1892920")</f>
        <v>0</v>
      </c>
      <c r="B3262" t="s">
        <v>83</v>
      </c>
      <c r="C3262" t="s">
        <v>356</v>
      </c>
      <c r="E3262" t="s">
        <v>2017</v>
      </c>
      <c r="F3262" t="s">
        <v>3600</v>
      </c>
      <c r="G3262" t="s">
        <v>3730</v>
      </c>
      <c r="H3262" t="s">
        <v>6016</v>
      </c>
      <c r="I3262" t="s">
        <v>6043</v>
      </c>
      <c r="J3262">
        <v>11225</v>
      </c>
      <c r="K3262" t="s">
        <v>6074</v>
      </c>
      <c r="L3262" t="s">
        <v>6074</v>
      </c>
      <c r="M3262" t="s">
        <v>7234</v>
      </c>
      <c r="N3262" t="s">
        <v>7279</v>
      </c>
      <c r="O3262" t="s">
        <v>7308</v>
      </c>
      <c r="Q3262" t="s">
        <v>7322</v>
      </c>
      <c r="R3262" t="s">
        <v>6074</v>
      </c>
      <c r="S3262" t="s">
        <v>7324</v>
      </c>
      <c r="U3262" t="s">
        <v>420</v>
      </c>
      <c r="V3262">
        <v>1740.79</v>
      </c>
      <c r="W3262" t="s">
        <v>7362</v>
      </c>
      <c r="X3262" t="s">
        <v>7376</v>
      </c>
      <c r="Z3262" t="s">
        <v>9781</v>
      </c>
      <c r="AB3262" t="s">
        <v>12367</v>
      </c>
      <c r="AC3262">
        <v>89</v>
      </c>
      <c r="AD3262" t="s">
        <v>12422</v>
      </c>
      <c r="AF3262">
        <v>7</v>
      </c>
      <c r="AG3262">
        <v>1</v>
      </c>
      <c r="AH3262">
        <v>0</v>
      </c>
      <c r="AI3262">
        <v>520.42</v>
      </c>
      <c r="AL3262" t="s">
        <v>12460</v>
      </c>
      <c r="AM3262">
        <v>65000</v>
      </c>
      <c r="AS3262">
        <v>0</v>
      </c>
      <c r="AU3262" t="s">
        <v>88</v>
      </c>
    </row>
    <row r="3263" spans="1:48">
      <c r="A3263" s="1">
        <f>HYPERLINK("https://cms.ls-nyc.org/matter/dynamic-profile/view/1900143","19-1900143")</f>
        <v>0</v>
      </c>
      <c r="B3263" t="s">
        <v>98</v>
      </c>
      <c r="C3263" t="s">
        <v>347</v>
      </c>
      <c r="D3263" t="s">
        <v>526</v>
      </c>
      <c r="E3263" t="s">
        <v>2018</v>
      </c>
      <c r="F3263" t="s">
        <v>3601</v>
      </c>
      <c r="G3263" t="s">
        <v>5328</v>
      </c>
      <c r="H3263" t="s">
        <v>5373</v>
      </c>
      <c r="I3263" t="s">
        <v>6047</v>
      </c>
      <c r="J3263">
        <v>10468</v>
      </c>
      <c r="K3263" t="s">
        <v>6074</v>
      </c>
      <c r="L3263" t="s">
        <v>6075</v>
      </c>
      <c r="M3263" t="s">
        <v>7269</v>
      </c>
      <c r="N3263" t="s">
        <v>7279</v>
      </c>
      <c r="O3263" t="s">
        <v>7306</v>
      </c>
      <c r="P3263" t="s">
        <v>7314</v>
      </c>
      <c r="Q3263" t="s">
        <v>7322</v>
      </c>
      <c r="R3263" t="s">
        <v>6076</v>
      </c>
      <c r="S3263" t="s">
        <v>7324</v>
      </c>
      <c r="U3263" t="s">
        <v>526</v>
      </c>
      <c r="V3263">
        <v>834.53</v>
      </c>
      <c r="W3263" t="s">
        <v>7363</v>
      </c>
      <c r="X3263" t="s">
        <v>7373</v>
      </c>
      <c r="Y3263" t="s">
        <v>7386</v>
      </c>
      <c r="Z3263" t="s">
        <v>8421</v>
      </c>
      <c r="AC3263">
        <v>0</v>
      </c>
      <c r="AD3263" t="s">
        <v>6322</v>
      </c>
      <c r="AF3263">
        <v>43</v>
      </c>
      <c r="AG3263">
        <v>1</v>
      </c>
      <c r="AH3263">
        <v>0</v>
      </c>
      <c r="AI3263">
        <v>520.42</v>
      </c>
      <c r="AL3263" t="s">
        <v>12460</v>
      </c>
      <c r="AM3263">
        <v>65000</v>
      </c>
      <c r="AS3263">
        <v>0.5</v>
      </c>
      <c r="AT3263" t="s">
        <v>526</v>
      </c>
      <c r="AU3263" t="s">
        <v>98</v>
      </c>
      <c r="AV3263" t="s">
        <v>13145</v>
      </c>
    </row>
    <row r="3264" spans="1:48">
      <c r="A3264" s="1">
        <f>HYPERLINK("https://cms.ls-nyc.org/matter/dynamic-profile/view/1896237","19-1896237")</f>
        <v>0</v>
      </c>
      <c r="B3264" t="s">
        <v>96</v>
      </c>
      <c r="C3264" t="s">
        <v>314</v>
      </c>
      <c r="E3264" t="s">
        <v>888</v>
      </c>
      <c r="F3264" t="s">
        <v>3602</v>
      </c>
      <c r="G3264" t="s">
        <v>3792</v>
      </c>
      <c r="H3264" t="s">
        <v>5639</v>
      </c>
      <c r="I3264" t="s">
        <v>6047</v>
      </c>
      <c r="J3264">
        <v>10453</v>
      </c>
      <c r="K3264" t="s">
        <v>6074</v>
      </c>
      <c r="L3264" t="s">
        <v>6074</v>
      </c>
      <c r="M3264" t="s">
        <v>6259</v>
      </c>
      <c r="N3264" t="s">
        <v>7273</v>
      </c>
      <c r="O3264" t="s">
        <v>7308</v>
      </c>
      <c r="Q3264" t="s">
        <v>7322</v>
      </c>
      <c r="R3264" t="s">
        <v>6074</v>
      </c>
      <c r="S3264" t="s">
        <v>7324</v>
      </c>
      <c r="U3264" t="s">
        <v>457</v>
      </c>
      <c r="V3264">
        <v>450</v>
      </c>
      <c r="W3264" t="s">
        <v>7363</v>
      </c>
      <c r="X3264" t="s">
        <v>7375</v>
      </c>
      <c r="Z3264" t="s">
        <v>9782</v>
      </c>
      <c r="AB3264" t="s">
        <v>12368</v>
      </c>
      <c r="AC3264">
        <v>170</v>
      </c>
      <c r="AD3264" t="s">
        <v>12422</v>
      </c>
      <c r="AE3264" t="s">
        <v>6110</v>
      </c>
      <c r="AF3264">
        <v>1</v>
      </c>
      <c r="AG3264">
        <v>1</v>
      </c>
      <c r="AH3264">
        <v>0</v>
      </c>
      <c r="AI3264">
        <v>520.42</v>
      </c>
      <c r="AL3264" t="s">
        <v>12460</v>
      </c>
      <c r="AM3264">
        <v>65000</v>
      </c>
      <c r="AS3264">
        <v>0</v>
      </c>
      <c r="AU3264" t="s">
        <v>13093</v>
      </c>
    </row>
    <row r="3265" spans="1:48">
      <c r="A3265" s="1">
        <f>HYPERLINK("https://cms.ls-nyc.org/matter/dynamic-profile/view/1890836","19-1890836")</f>
        <v>0</v>
      </c>
      <c r="B3265" t="s">
        <v>133</v>
      </c>
      <c r="C3265" t="s">
        <v>251</v>
      </c>
      <c r="E3265" t="s">
        <v>1191</v>
      </c>
      <c r="F3265" t="s">
        <v>2575</v>
      </c>
      <c r="G3265" t="s">
        <v>4839</v>
      </c>
      <c r="H3265" t="s">
        <v>5378</v>
      </c>
      <c r="I3265" t="s">
        <v>6049</v>
      </c>
      <c r="J3265">
        <v>10033</v>
      </c>
      <c r="K3265" t="s">
        <v>6074</v>
      </c>
      <c r="L3265" t="s">
        <v>6074</v>
      </c>
      <c r="O3265" t="s">
        <v>7306</v>
      </c>
      <c r="Q3265" t="s">
        <v>7322</v>
      </c>
      <c r="R3265" t="s">
        <v>6074</v>
      </c>
      <c r="S3265" t="s">
        <v>7324</v>
      </c>
      <c r="U3265" t="s">
        <v>251</v>
      </c>
      <c r="V3265">
        <v>1200</v>
      </c>
      <c r="W3265" t="s">
        <v>7365</v>
      </c>
      <c r="X3265" t="s">
        <v>7371</v>
      </c>
      <c r="Z3265" t="s">
        <v>9783</v>
      </c>
      <c r="AB3265" t="s">
        <v>12369</v>
      </c>
      <c r="AC3265">
        <v>60</v>
      </c>
      <c r="AD3265" t="s">
        <v>12422</v>
      </c>
      <c r="AE3265" t="s">
        <v>6110</v>
      </c>
      <c r="AF3265">
        <v>22</v>
      </c>
      <c r="AG3265">
        <v>1</v>
      </c>
      <c r="AH3265">
        <v>0</v>
      </c>
      <c r="AI3265">
        <v>520.42</v>
      </c>
      <c r="AL3265" t="s">
        <v>12460</v>
      </c>
      <c r="AM3265">
        <v>65000</v>
      </c>
      <c r="AS3265">
        <v>0</v>
      </c>
      <c r="AU3265" t="s">
        <v>13106</v>
      </c>
    </row>
    <row r="3266" spans="1:48">
      <c r="A3266" s="1">
        <f>HYPERLINK("https://cms.ls-nyc.org/matter/dynamic-profile/view/1882728","18-1882728")</f>
        <v>0</v>
      </c>
      <c r="B3266" t="s">
        <v>98</v>
      </c>
      <c r="C3266" t="s">
        <v>296</v>
      </c>
      <c r="E3266" t="s">
        <v>2019</v>
      </c>
      <c r="F3266" t="s">
        <v>3603</v>
      </c>
      <c r="G3266" t="s">
        <v>3786</v>
      </c>
      <c r="H3266" t="s">
        <v>5357</v>
      </c>
      <c r="I3266" t="s">
        <v>6047</v>
      </c>
      <c r="J3266">
        <v>10457</v>
      </c>
      <c r="K3266" t="s">
        <v>6074</v>
      </c>
      <c r="L3266" t="s">
        <v>6074</v>
      </c>
      <c r="M3266" t="s">
        <v>6187</v>
      </c>
      <c r="N3266" t="s">
        <v>7279</v>
      </c>
      <c r="O3266" t="s">
        <v>7311</v>
      </c>
      <c r="Q3266" t="s">
        <v>7322</v>
      </c>
      <c r="R3266" t="s">
        <v>6074</v>
      </c>
      <c r="S3266" t="s">
        <v>7324</v>
      </c>
      <c r="U3266" t="s">
        <v>472</v>
      </c>
      <c r="V3266">
        <v>1284.72</v>
      </c>
      <c r="W3266" t="s">
        <v>7363</v>
      </c>
      <c r="X3266" t="s">
        <v>7376</v>
      </c>
      <c r="Z3266" t="s">
        <v>9784</v>
      </c>
      <c r="AB3266" t="s">
        <v>12370</v>
      </c>
      <c r="AC3266">
        <v>47</v>
      </c>
      <c r="AD3266" t="s">
        <v>12422</v>
      </c>
      <c r="AE3266" t="s">
        <v>6110</v>
      </c>
      <c r="AF3266">
        <v>7</v>
      </c>
      <c r="AG3266">
        <v>2</v>
      </c>
      <c r="AH3266">
        <v>2</v>
      </c>
      <c r="AI3266">
        <v>525.9</v>
      </c>
      <c r="AL3266" t="s">
        <v>12460</v>
      </c>
      <c r="AM3266">
        <v>132000</v>
      </c>
      <c r="AS3266">
        <v>0.7</v>
      </c>
      <c r="AT3266" t="s">
        <v>361</v>
      </c>
      <c r="AU3266" t="s">
        <v>13092</v>
      </c>
    </row>
    <row r="3267" spans="1:48">
      <c r="A3267" s="1">
        <f>HYPERLINK("https://cms.ls-nyc.org/matter/dynamic-profile/view/1882725","18-1882725")</f>
        <v>0</v>
      </c>
      <c r="B3267" t="s">
        <v>98</v>
      </c>
      <c r="C3267" t="s">
        <v>296</v>
      </c>
      <c r="D3267" t="s">
        <v>393</v>
      </c>
      <c r="E3267" t="s">
        <v>2019</v>
      </c>
      <c r="F3267" t="s">
        <v>3603</v>
      </c>
      <c r="G3267" t="s">
        <v>3786</v>
      </c>
      <c r="H3267" t="s">
        <v>5357</v>
      </c>
      <c r="I3267" t="s">
        <v>6047</v>
      </c>
      <c r="J3267">
        <v>10457</v>
      </c>
      <c r="K3267" t="s">
        <v>6074</v>
      </c>
      <c r="L3267" t="s">
        <v>6074</v>
      </c>
      <c r="N3267" t="s">
        <v>7273</v>
      </c>
      <c r="O3267" t="s">
        <v>7306</v>
      </c>
      <c r="P3267" t="s">
        <v>7314</v>
      </c>
      <c r="Q3267" t="s">
        <v>7322</v>
      </c>
      <c r="R3267" t="s">
        <v>6074</v>
      </c>
      <c r="S3267" t="s">
        <v>7324</v>
      </c>
      <c r="U3267" t="s">
        <v>472</v>
      </c>
      <c r="V3267">
        <v>1284.72</v>
      </c>
      <c r="W3267" t="s">
        <v>7363</v>
      </c>
      <c r="X3267" t="s">
        <v>7376</v>
      </c>
      <c r="Y3267" t="s">
        <v>7386</v>
      </c>
      <c r="Z3267" t="s">
        <v>9784</v>
      </c>
      <c r="AB3267" t="s">
        <v>12370</v>
      </c>
      <c r="AC3267">
        <v>47</v>
      </c>
      <c r="AD3267" t="s">
        <v>12422</v>
      </c>
      <c r="AE3267" t="s">
        <v>6110</v>
      </c>
      <c r="AF3267">
        <v>7</v>
      </c>
      <c r="AG3267">
        <v>2</v>
      </c>
      <c r="AH3267">
        <v>2</v>
      </c>
      <c r="AI3267">
        <v>525.9</v>
      </c>
      <c r="AL3267" t="s">
        <v>12460</v>
      </c>
      <c r="AM3267">
        <v>132000</v>
      </c>
      <c r="AS3267">
        <v>0.5</v>
      </c>
      <c r="AT3267" t="s">
        <v>393</v>
      </c>
      <c r="AU3267" t="s">
        <v>13092</v>
      </c>
    </row>
    <row r="3268" spans="1:48">
      <c r="A3268" s="1">
        <f>HYPERLINK("https://cms.ls-nyc.org/matter/dynamic-profile/view/1891795","19-1891795")</f>
        <v>0</v>
      </c>
      <c r="B3268" t="s">
        <v>83</v>
      </c>
      <c r="C3268" t="s">
        <v>318</v>
      </c>
      <c r="E3268" t="s">
        <v>966</v>
      </c>
      <c r="F3268" t="s">
        <v>2107</v>
      </c>
      <c r="G3268" t="s">
        <v>3730</v>
      </c>
      <c r="I3268" t="s">
        <v>6043</v>
      </c>
      <c r="J3268">
        <v>11225</v>
      </c>
      <c r="K3268" t="s">
        <v>6074</v>
      </c>
      <c r="L3268" t="s">
        <v>6074</v>
      </c>
      <c r="M3268" t="s">
        <v>7235</v>
      </c>
      <c r="N3268" t="s">
        <v>7279</v>
      </c>
      <c r="O3268" t="s">
        <v>7311</v>
      </c>
      <c r="Q3268" t="s">
        <v>7322</v>
      </c>
      <c r="R3268" t="s">
        <v>6074</v>
      </c>
      <c r="S3268" t="s">
        <v>7324</v>
      </c>
      <c r="U3268" t="s">
        <v>420</v>
      </c>
      <c r="V3268">
        <v>1552.37</v>
      </c>
      <c r="W3268" t="s">
        <v>7362</v>
      </c>
      <c r="X3268" t="s">
        <v>7376</v>
      </c>
      <c r="Z3268" t="s">
        <v>9785</v>
      </c>
      <c r="AB3268" t="s">
        <v>12371</v>
      </c>
      <c r="AC3268">
        <v>89</v>
      </c>
      <c r="AD3268" t="s">
        <v>12422</v>
      </c>
      <c r="AF3268">
        <v>3</v>
      </c>
      <c r="AG3268">
        <v>1</v>
      </c>
      <c r="AH3268">
        <v>0</v>
      </c>
      <c r="AI3268">
        <v>528.42</v>
      </c>
      <c r="AL3268" t="s">
        <v>12460</v>
      </c>
      <c r="AM3268">
        <v>66000</v>
      </c>
      <c r="AS3268">
        <v>0.2</v>
      </c>
      <c r="AT3268" t="s">
        <v>356</v>
      </c>
      <c r="AU3268" t="s">
        <v>88</v>
      </c>
    </row>
    <row r="3269" spans="1:48">
      <c r="A3269" s="1">
        <f>HYPERLINK("https://cms.ls-nyc.org/matter/dynamic-profile/view/1892956","19-1892956")</f>
        <v>0</v>
      </c>
      <c r="B3269" t="s">
        <v>83</v>
      </c>
      <c r="C3269" t="s">
        <v>356</v>
      </c>
      <c r="E3269" t="s">
        <v>966</v>
      </c>
      <c r="F3269" t="s">
        <v>2107</v>
      </c>
      <c r="G3269" t="s">
        <v>3730</v>
      </c>
      <c r="I3269" t="s">
        <v>6043</v>
      </c>
      <c r="J3269">
        <v>11225</v>
      </c>
      <c r="K3269" t="s">
        <v>6074</v>
      </c>
      <c r="L3269" t="s">
        <v>6074</v>
      </c>
      <c r="M3269" t="s">
        <v>7234</v>
      </c>
      <c r="N3269" t="s">
        <v>7279</v>
      </c>
      <c r="O3269" t="s">
        <v>7308</v>
      </c>
      <c r="Q3269" t="s">
        <v>7322</v>
      </c>
      <c r="R3269" t="s">
        <v>6074</v>
      </c>
      <c r="S3269" t="s">
        <v>7324</v>
      </c>
      <c r="U3269" t="s">
        <v>420</v>
      </c>
      <c r="V3269">
        <v>1552.37</v>
      </c>
      <c r="W3269" t="s">
        <v>7362</v>
      </c>
      <c r="X3269" t="s">
        <v>7376</v>
      </c>
      <c r="Z3269" t="s">
        <v>9785</v>
      </c>
      <c r="AB3269" t="s">
        <v>12371</v>
      </c>
      <c r="AC3269">
        <v>89</v>
      </c>
      <c r="AD3269" t="s">
        <v>12422</v>
      </c>
      <c r="AF3269">
        <v>3</v>
      </c>
      <c r="AG3269">
        <v>1</v>
      </c>
      <c r="AH3269">
        <v>0</v>
      </c>
      <c r="AI3269">
        <v>528.42</v>
      </c>
      <c r="AL3269" t="s">
        <v>12460</v>
      </c>
      <c r="AM3269">
        <v>66000</v>
      </c>
      <c r="AS3269">
        <v>0</v>
      </c>
      <c r="AU3269" t="s">
        <v>88</v>
      </c>
    </row>
    <row r="3270" spans="1:48">
      <c r="A3270" s="1">
        <f>HYPERLINK("https://cms.ls-nyc.org/matter/dynamic-profile/view/1876766","18-1876766")</f>
        <v>0</v>
      </c>
      <c r="B3270" t="s">
        <v>90</v>
      </c>
      <c r="C3270" t="s">
        <v>238</v>
      </c>
      <c r="E3270" t="s">
        <v>944</v>
      </c>
      <c r="F3270" t="s">
        <v>3604</v>
      </c>
      <c r="G3270" t="s">
        <v>4507</v>
      </c>
      <c r="H3270" t="s">
        <v>5371</v>
      </c>
      <c r="I3270" t="s">
        <v>6043</v>
      </c>
      <c r="J3270">
        <v>11216</v>
      </c>
      <c r="K3270" t="s">
        <v>6074</v>
      </c>
      <c r="L3270" t="s">
        <v>6074</v>
      </c>
      <c r="N3270" t="s">
        <v>7282</v>
      </c>
      <c r="O3270" t="s">
        <v>7308</v>
      </c>
      <c r="Q3270" t="s">
        <v>7322</v>
      </c>
      <c r="R3270" t="s">
        <v>6074</v>
      </c>
      <c r="S3270" t="s">
        <v>7324</v>
      </c>
      <c r="U3270" t="s">
        <v>233</v>
      </c>
      <c r="V3270">
        <v>2450</v>
      </c>
      <c r="W3270" t="s">
        <v>7362</v>
      </c>
      <c r="X3270" t="s">
        <v>7375</v>
      </c>
      <c r="Z3270" t="s">
        <v>9786</v>
      </c>
      <c r="AC3270">
        <v>82</v>
      </c>
      <c r="AD3270" t="s">
        <v>12422</v>
      </c>
      <c r="AE3270" t="s">
        <v>6110</v>
      </c>
      <c r="AF3270">
        <v>1</v>
      </c>
      <c r="AG3270">
        <v>1</v>
      </c>
      <c r="AH3270">
        <v>0</v>
      </c>
      <c r="AI3270">
        <v>535.42</v>
      </c>
      <c r="AJ3270" t="s">
        <v>350</v>
      </c>
      <c r="AK3270" t="s">
        <v>12456</v>
      </c>
      <c r="AL3270" t="s">
        <v>12460</v>
      </c>
      <c r="AM3270">
        <v>65000</v>
      </c>
      <c r="AN3270" t="s">
        <v>12532</v>
      </c>
      <c r="AS3270">
        <v>0</v>
      </c>
      <c r="AU3270" t="s">
        <v>218</v>
      </c>
    </row>
    <row r="3271" spans="1:48">
      <c r="A3271" s="1">
        <f>HYPERLINK("https://cms.ls-nyc.org/matter/dynamic-profile/view/1876577","18-1876577")</f>
        <v>0</v>
      </c>
      <c r="B3271" t="s">
        <v>90</v>
      </c>
      <c r="C3271" t="s">
        <v>243</v>
      </c>
      <c r="D3271" t="s">
        <v>365</v>
      </c>
      <c r="E3271" t="s">
        <v>2020</v>
      </c>
      <c r="F3271" t="s">
        <v>3605</v>
      </c>
      <c r="G3271" t="s">
        <v>4507</v>
      </c>
      <c r="H3271" t="s">
        <v>5564</v>
      </c>
      <c r="I3271" t="s">
        <v>6043</v>
      </c>
      <c r="J3271">
        <v>11216</v>
      </c>
      <c r="K3271" t="s">
        <v>6074</v>
      </c>
      <c r="L3271" t="s">
        <v>6074</v>
      </c>
      <c r="N3271" t="s">
        <v>6104</v>
      </c>
      <c r="O3271" t="s">
        <v>7307</v>
      </c>
      <c r="P3271" t="s">
        <v>7315</v>
      </c>
      <c r="Q3271" t="s">
        <v>7322</v>
      </c>
      <c r="S3271" t="s">
        <v>7324</v>
      </c>
      <c r="U3271" t="s">
        <v>312</v>
      </c>
      <c r="V3271">
        <v>1630</v>
      </c>
      <c r="W3271" t="s">
        <v>7362</v>
      </c>
      <c r="X3271" t="s">
        <v>7375</v>
      </c>
      <c r="Y3271" t="s">
        <v>7386</v>
      </c>
      <c r="Z3271" t="s">
        <v>9787</v>
      </c>
      <c r="AB3271" t="s">
        <v>12372</v>
      </c>
      <c r="AC3271">
        <v>8</v>
      </c>
      <c r="AD3271" t="s">
        <v>12422</v>
      </c>
      <c r="AE3271" t="s">
        <v>6110</v>
      </c>
      <c r="AF3271">
        <v>2</v>
      </c>
      <c r="AG3271">
        <v>1</v>
      </c>
      <c r="AH3271">
        <v>0</v>
      </c>
      <c r="AI3271">
        <v>535.42</v>
      </c>
      <c r="AJ3271" t="s">
        <v>350</v>
      </c>
      <c r="AK3271" t="s">
        <v>12456</v>
      </c>
      <c r="AL3271" t="s">
        <v>12460</v>
      </c>
      <c r="AM3271">
        <v>65000</v>
      </c>
      <c r="AN3271" t="s">
        <v>12532</v>
      </c>
      <c r="AS3271">
        <v>0.2</v>
      </c>
      <c r="AT3271" t="s">
        <v>285</v>
      </c>
      <c r="AU3271" t="s">
        <v>218</v>
      </c>
    </row>
    <row r="3272" spans="1:48">
      <c r="A3272" s="1">
        <f>HYPERLINK("https://cms.ls-nyc.org/matter/dynamic-profile/view/1876749","18-1876749")</f>
        <v>0</v>
      </c>
      <c r="B3272" t="s">
        <v>90</v>
      </c>
      <c r="C3272" t="s">
        <v>238</v>
      </c>
      <c r="E3272" t="s">
        <v>944</v>
      </c>
      <c r="F3272" t="s">
        <v>3604</v>
      </c>
      <c r="G3272" t="s">
        <v>4507</v>
      </c>
      <c r="H3272" t="s">
        <v>5371</v>
      </c>
      <c r="I3272" t="s">
        <v>6043</v>
      </c>
      <c r="J3272">
        <v>11216</v>
      </c>
      <c r="K3272" t="s">
        <v>6074</v>
      </c>
      <c r="L3272" t="s">
        <v>6074</v>
      </c>
      <c r="N3272" t="s">
        <v>6104</v>
      </c>
      <c r="O3272" t="s">
        <v>7307</v>
      </c>
      <c r="Q3272" t="s">
        <v>7322</v>
      </c>
      <c r="S3272" t="s">
        <v>7324</v>
      </c>
      <c r="U3272" t="s">
        <v>233</v>
      </c>
      <c r="V3272">
        <v>2450</v>
      </c>
      <c r="W3272" t="s">
        <v>7362</v>
      </c>
      <c r="X3272" t="s">
        <v>7375</v>
      </c>
      <c r="Z3272" t="s">
        <v>9786</v>
      </c>
      <c r="AC3272">
        <v>82</v>
      </c>
      <c r="AD3272" t="s">
        <v>12422</v>
      </c>
      <c r="AE3272" t="s">
        <v>6110</v>
      </c>
      <c r="AF3272">
        <v>1</v>
      </c>
      <c r="AG3272">
        <v>1</v>
      </c>
      <c r="AH3272">
        <v>0</v>
      </c>
      <c r="AI3272">
        <v>535.42</v>
      </c>
      <c r="AJ3272" t="s">
        <v>350</v>
      </c>
      <c r="AK3272" t="s">
        <v>12456</v>
      </c>
      <c r="AL3272" t="s">
        <v>12460</v>
      </c>
      <c r="AM3272">
        <v>65000</v>
      </c>
      <c r="AN3272" t="s">
        <v>12532</v>
      </c>
      <c r="AS3272">
        <v>0</v>
      </c>
      <c r="AU3272" t="s">
        <v>218</v>
      </c>
    </row>
    <row r="3273" spans="1:48">
      <c r="A3273" s="1">
        <f>HYPERLINK("https://cms.ls-nyc.org/matter/dynamic-profile/view/1871396","18-1871396")</f>
        <v>0</v>
      </c>
      <c r="B3273" t="s">
        <v>96</v>
      </c>
      <c r="C3273" t="s">
        <v>342</v>
      </c>
      <c r="E3273" t="s">
        <v>978</v>
      </c>
      <c r="F3273" t="s">
        <v>3606</v>
      </c>
      <c r="G3273" t="s">
        <v>3772</v>
      </c>
      <c r="H3273" t="s">
        <v>5483</v>
      </c>
      <c r="I3273" t="s">
        <v>6047</v>
      </c>
      <c r="J3273">
        <v>10468</v>
      </c>
      <c r="K3273" t="s">
        <v>6074</v>
      </c>
      <c r="L3273" t="s">
        <v>6074</v>
      </c>
      <c r="N3273" t="s">
        <v>7285</v>
      </c>
      <c r="O3273" t="s">
        <v>7311</v>
      </c>
      <c r="Q3273" t="s">
        <v>7322</v>
      </c>
      <c r="R3273" t="s">
        <v>6074</v>
      </c>
      <c r="S3273" t="s">
        <v>7324</v>
      </c>
      <c r="U3273" t="s">
        <v>467</v>
      </c>
      <c r="V3273">
        <v>1613.2</v>
      </c>
      <c r="W3273" t="s">
        <v>7363</v>
      </c>
      <c r="X3273" t="s">
        <v>7376</v>
      </c>
      <c r="Z3273" t="s">
        <v>9788</v>
      </c>
      <c r="AB3273" t="s">
        <v>12373</v>
      </c>
      <c r="AC3273">
        <v>58</v>
      </c>
      <c r="AD3273" t="s">
        <v>12422</v>
      </c>
      <c r="AE3273" t="s">
        <v>6110</v>
      </c>
      <c r="AF3273">
        <v>20</v>
      </c>
      <c r="AG3273">
        <v>1</v>
      </c>
      <c r="AH3273">
        <v>0</v>
      </c>
      <c r="AI3273">
        <v>535.42</v>
      </c>
      <c r="AL3273" t="s">
        <v>12461</v>
      </c>
      <c r="AM3273">
        <v>65000</v>
      </c>
      <c r="AS3273">
        <v>0.5</v>
      </c>
      <c r="AT3273" t="s">
        <v>342</v>
      </c>
      <c r="AU3273" t="s">
        <v>13092</v>
      </c>
    </row>
    <row r="3274" spans="1:48">
      <c r="A3274" s="1">
        <f>HYPERLINK("https://cms.ls-nyc.org/matter/dynamic-profile/view/1871390","18-1871390")</f>
        <v>0</v>
      </c>
      <c r="B3274" t="s">
        <v>96</v>
      </c>
      <c r="C3274" t="s">
        <v>342</v>
      </c>
      <c r="E3274" t="s">
        <v>978</v>
      </c>
      <c r="F3274" t="s">
        <v>3606</v>
      </c>
      <c r="G3274" t="s">
        <v>3772</v>
      </c>
      <c r="H3274" t="s">
        <v>5483</v>
      </c>
      <c r="I3274" t="s">
        <v>6047</v>
      </c>
      <c r="J3274">
        <v>10468</v>
      </c>
      <c r="K3274" t="s">
        <v>6074</v>
      </c>
      <c r="L3274" t="s">
        <v>6074</v>
      </c>
      <c r="M3274" t="s">
        <v>6178</v>
      </c>
      <c r="N3274" t="s">
        <v>7273</v>
      </c>
      <c r="O3274" t="s">
        <v>7308</v>
      </c>
      <c r="Q3274" t="s">
        <v>7322</v>
      </c>
      <c r="R3274" t="s">
        <v>6074</v>
      </c>
      <c r="S3274" t="s">
        <v>7324</v>
      </c>
      <c r="T3274" t="s">
        <v>7336</v>
      </c>
      <c r="U3274" t="s">
        <v>342</v>
      </c>
      <c r="V3274">
        <v>1613.2</v>
      </c>
      <c r="W3274" t="s">
        <v>7363</v>
      </c>
      <c r="X3274" t="s">
        <v>7376</v>
      </c>
      <c r="Z3274" t="s">
        <v>9788</v>
      </c>
      <c r="AB3274" t="s">
        <v>12373</v>
      </c>
      <c r="AC3274">
        <v>58</v>
      </c>
      <c r="AD3274" t="s">
        <v>12422</v>
      </c>
      <c r="AE3274" t="s">
        <v>6110</v>
      </c>
      <c r="AF3274">
        <v>20</v>
      </c>
      <c r="AG3274">
        <v>1</v>
      </c>
      <c r="AH3274">
        <v>0</v>
      </c>
      <c r="AI3274">
        <v>535.42</v>
      </c>
      <c r="AL3274" t="s">
        <v>12461</v>
      </c>
      <c r="AM3274">
        <v>65000</v>
      </c>
      <c r="AS3274">
        <v>0.5</v>
      </c>
      <c r="AT3274" t="s">
        <v>342</v>
      </c>
      <c r="AU3274" t="s">
        <v>13092</v>
      </c>
    </row>
    <row r="3275" spans="1:48">
      <c r="A3275" s="1">
        <f>HYPERLINK("https://cms.ls-nyc.org/matter/dynamic-profile/view/1874199","18-1874199")</f>
        <v>0</v>
      </c>
      <c r="B3275" t="s">
        <v>130</v>
      </c>
      <c r="C3275" t="s">
        <v>384</v>
      </c>
      <c r="E3275" t="s">
        <v>1352</v>
      </c>
      <c r="F3275" t="s">
        <v>570</v>
      </c>
      <c r="G3275" t="s">
        <v>3842</v>
      </c>
      <c r="H3275" t="s">
        <v>6017</v>
      </c>
      <c r="I3275" t="s">
        <v>6049</v>
      </c>
      <c r="J3275">
        <v>10033</v>
      </c>
      <c r="K3275" t="s">
        <v>6074</v>
      </c>
      <c r="L3275" t="s">
        <v>6074</v>
      </c>
      <c r="N3275" t="s">
        <v>7273</v>
      </c>
      <c r="O3275" t="s">
        <v>7308</v>
      </c>
      <c r="Q3275" t="s">
        <v>7322</v>
      </c>
      <c r="R3275" t="s">
        <v>6074</v>
      </c>
      <c r="S3275" t="s">
        <v>7324</v>
      </c>
      <c r="U3275" t="s">
        <v>384</v>
      </c>
      <c r="V3275">
        <v>2595</v>
      </c>
      <c r="W3275" t="s">
        <v>7365</v>
      </c>
      <c r="X3275" t="s">
        <v>7375</v>
      </c>
      <c r="Z3275" t="s">
        <v>9789</v>
      </c>
      <c r="AB3275" t="s">
        <v>12374</v>
      </c>
      <c r="AC3275">
        <v>232</v>
      </c>
      <c r="AD3275" t="s">
        <v>12422</v>
      </c>
      <c r="AE3275" t="s">
        <v>6110</v>
      </c>
      <c r="AF3275">
        <v>1</v>
      </c>
      <c r="AG3275">
        <v>1</v>
      </c>
      <c r="AH3275">
        <v>0</v>
      </c>
      <c r="AI3275">
        <v>535.42</v>
      </c>
      <c r="AL3275" t="s">
        <v>12460</v>
      </c>
      <c r="AM3275">
        <v>65000</v>
      </c>
      <c r="AS3275">
        <v>0.1</v>
      </c>
      <c r="AT3275" t="s">
        <v>276</v>
      </c>
      <c r="AU3275" t="s">
        <v>13106</v>
      </c>
    </row>
    <row r="3276" spans="1:48">
      <c r="A3276" s="1">
        <f>HYPERLINK("https://cms.ls-nyc.org/matter/dynamic-profile/view/1899152","19-1899152")</f>
        <v>0</v>
      </c>
      <c r="B3276" t="s">
        <v>109</v>
      </c>
      <c r="C3276" t="s">
        <v>254</v>
      </c>
      <c r="E3276" t="s">
        <v>2021</v>
      </c>
      <c r="F3276" t="s">
        <v>663</v>
      </c>
      <c r="G3276" t="s">
        <v>3927</v>
      </c>
      <c r="H3276" t="s">
        <v>5387</v>
      </c>
      <c r="I3276" t="s">
        <v>6047</v>
      </c>
      <c r="J3276">
        <v>10452</v>
      </c>
      <c r="K3276" t="s">
        <v>6074</v>
      </c>
      <c r="L3276" t="s">
        <v>6075</v>
      </c>
      <c r="N3276" t="s">
        <v>7279</v>
      </c>
      <c r="O3276" t="s">
        <v>7307</v>
      </c>
      <c r="Q3276" t="s">
        <v>7322</v>
      </c>
      <c r="R3276" t="s">
        <v>6074</v>
      </c>
      <c r="S3276" t="s">
        <v>7324</v>
      </c>
      <c r="U3276" t="s">
        <v>257</v>
      </c>
      <c r="V3276">
        <v>1477.27</v>
      </c>
      <c r="W3276" t="s">
        <v>7363</v>
      </c>
      <c r="X3276" t="s">
        <v>7376</v>
      </c>
      <c r="Z3276" t="s">
        <v>9790</v>
      </c>
      <c r="AB3276" t="s">
        <v>12375</v>
      </c>
      <c r="AC3276">
        <v>41</v>
      </c>
      <c r="AD3276" t="s">
        <v>12422</v>
      </c>
      <c r="AE3276" t="s">
        <v>6110</v>
      </c>
      <c r="AF3276">
        <v>12</v>
      </c>
      <c r="AG3276">
        <v>1</v>
      </c>
      <c r="AH3276">
        <v>0</v>
      </c>
      <c r="AI3276">
        <v>536.4299999999999</v>
      </c>
      <c r="AL3276" t="s">
        <v>12460</v>
      </c>
      <c r="AM3276">
        <v>67000</v>
      </c>
      <c r="AS3276">
        <v>0</v>
      </c>
      <c r="AU3276" t="s">
        <v>13092</v>
      </c>
      <c r="AV3276" t="s">
        <v>13145</v>
      </c>
    </row>
    <row r="3277" spans="1:48">
      <c r="A3277" s="1">
        <f>HYPERLINK("https://cms.ls-nyc.org/matter/dynamic-profile/view/1876539","18-1876539")</f>
        <v>0</v>
      </c>
      <c r="B3277" t="s">
        <v>90</v>
      </c>
      <c r="C3277" t="s">
        <v>401</v>
      </c>
      <c r="E3277" t="s">
        <v>2022</v>
      </c>
      <c r="F3277" t="s">
        <v>3607</v>
      </c>
      <c r="G3277" t="s">
        <v>4507</v>
      </c>
      <c r="H3277" t="s">
        <v>5529</v>
      </c>
      <c r="I3277" t="s">
        <v>6043</v>
      </c>
      <c r="J3277">
        <v>11216</v>
      </c>
      <c r="K3277" t="s">
        <v>6074</v>
      </c>
      <c r="L3277" t="s">
        <v>6074</v>
      </c>
      <c r="M3277" t="s">
        <v>6104</v>
      </c>
      <c r="O3277" t="s">
        <v>7307</v>
      </c>
      <c r="Q3277" t="s">
        <v>7322</v>
      </c>
      <c r="R3277" t="s">
        <v>6074</v>
      </c>
      <c r="S3277" t="s">
        <v>7324</v>
      </c>
      <c r="U3277" t="s">
        <v>521</v>
      </c>
      <c r="V3277">
        <v>2300</v>
      </c>
      <c r="W3277" t="s">
        <v>7362</v>
      </c>
      <c r="X3277" t="s">
        <v>7375</v>
      </c>
      <c r="Z3277" t="s">
        <v>9791</v>
      </c>
      <c r="AB3277" t="s">
        <v>12376</v>
      </c>
      <c r="AC3277">
        <v>8</v>
      </c>
      <c r="AD3277" t="s">
        <v>12422</v>
      </c>
      <c r="AE3277" t="s">
        <v>6110</v>
      </c>
      <c r="AF3277">
        <v>2</v>
      </c>
      <c r="AG3277">
        <v>2</v>
      </c>
      <c r="AH3277">
        <v>2</v>
      </c>
      <c r="AI3277">
        <v>537.85</v>
      </c>
      <c r="AJ3277" t="s">
        <v>350</v>
      </c>
      <c r="AK3277" t="s">
        <v>12456</v>
      </c>
      <c r="AL3277" t="s">
        <v>12460</v>
      </c>
      <c r="AM3277">
        <v>135000</v>
      </c>
      <c r="AN3277" t="s">
        <v>12532</v>
      </c>
      <c r="AS3277">
        <v>0</v>
      </c>
      <c r="AU3277" t="s">
        <v>218</v>
      </c>
    </row>
    <row r="3278" spans="1:48">
      <c r="A3278" s="1">
        <f>HYPERLINK("https://cms.ls-nyc.org/matter/dynamic-profile/view/1890634","19-1890634")</f>
        <v>0</v>
      </c>
      <c r="B3278" t="s">
        <v>72</v>
      </c>
      <c r="C3278" t="s">
        <v>448</v>
      </c>
      <c r="E3278" t="s">
        <v>628</v>
      </c>
      <c r="F3278" t="s">
        <v>3359</v>
      </c>
      <c r="G3278" t="s">
        <v>3701</v>
      </c>
      <c r="H3278" t="s">
        <v>5513</v>
      </c>
      <c r="I3278" t="s">
        <v>6043</v>
      </c>
      <c r="J3278">
        <v>11233</v>
      </c>
      <c r="K3278" t="s">
        <v>6074</v>
      </c>
      <c r="L3278" t="s">
        <v>6076</v>
      </c>
      <c r="N3278" t="s">
        <v>7279</v>
      </c>
      <c r="O3278" t="s">
        <v>7311</v>
      </c>
      <c r="Q3278" t="s">
        <v>7322</v>
      </c>
      <c r="R3278" t="s">
        <v>6074</v>
      </c>
      <c r="S3278" t="s">
        <v>7324</v>
      </c>
      <c r="T3278" t="s">
        <v>7336</v>
      </c>
      <c r="U3278" t="s">
        <v>330</v>
      </c>
      <c r="V3278">
        <v>776.46</v>
      </c>
      <c r="W3278" t="s">
        <v>7362</v>
      </c>
      <c r="X3278" t="s">
        <v>7305</v>
      </c>
      <c r="Z3278" t="s">
        <v>9792</v>
      </c>
      <c r="AC3278">
        <v>359</v>
      </c>
      <c r="AD3278" t="s">
        <v>12422</v>
      </c>
      <c r="AE3278" t="s">
        <v>6110</v>
      </c>
      <c r="AF3278">
        <v>2</v>
      </c>
      <c r="AG3278">
        <v>2</v>
      </c>
      <c r="AH3278">
        <v>0</v>
      </c>
      <c r="AI3278">
        <v>543.35</v>
      </c>
      <c r="AL3278" t="s">
        <v>12460</v>
      </c>
      <c r="AM3278">
        <v>91879.89999999999</v>
      </c>
      <c r="AN3278" t="s">
        <v>12488</v>
      </c>
      <c r="AS3278">
        <v>0</v>
      </c>
      <c r="AU3278" t="s">
        <v>180</v>
      </c>
    </row>
    <row r="3279" spans="1:48">
      <c r="A3279" s="1">
        <f>HYPERLINK("https://cms.ls-nyc.org/matter/dynamic-profile/view/1891621","19-1891621")</f>
        <v>0</v>
      </c>
      <c r="B3279" t="s">
        <v>72</v>
      </c>
      <c r="C3279" t="s">
        <v>364</v>
      </c>
      <c r="E3279" t="s">
        <v>628</v>
      </c>
      <c r="F3279" t="s">
        <v>3359</v>
      </c>
      <c r="G3279" t="s">
        <v>3701</v>
      </c>
      <c r="H3279" t="s">
        <v>5513</v>
      </c>
      <c r="I3279" t="s">
        <v>6043</v>
      </c>
      <c r="J3279">
        <v>11233</v>
      </c>
      <c r="K3279" t="s">
        <v>6074</v>
      </c>
      <c r="L3279" t="s">
        <v>6076</v>
      </c>
      <c r="N3279" t="s">
        <v>7275</v>
      </c>
      <c r="O3279" t="s">
        <v>7307</v>
      </c>
      <c r="Q3279" t="s">
        <v>7322</v>
      </c>
      <c r="R3279" t="s">
        <v>6074</v>
      </c>
      <c r="S3279" t="s">
        <v>7324</v>
      </c>
      <c r="T3279" t="s">
        <v>7336</v>
      </c>
      <c r="U3279" t="s">
        <v>287</v>
      </c>
      <c r="V3279">
        <v>776.46</v>
      </c>
      <c r="W3279" t="s">
        <v>7362</v>
      </c>
      <c r="X3279" t="s">
        <v>7305</v>
      </c>
      <c r="Z3279" t="s">
        <v>9792</v>
      </c>
      <c r="AC3279">
        <v>359</v>
      </c>
      <c r="AD3279" t="s">
        <v>12422</v>
      </c>
      <c r="AE3279" t="s">
        <v>6110</v>
      </c>
      <c r="AF3279">
        <v>2</v>
      </c>
      <c r="AG3279">
        <v>2</v>
      </c>
      <c r="AH3279">
        <v>0</v>
      </c>
      <c r="AI3279">
        <v>543.35</v>
      </c>
      <c r="AL3279" t="s">
        <v>12460</v>
      </c>
      <c r="AM3279">
        <v>91879.89999999999</v>
      </c>
      <c r="AN3279" t="s">
        <v>12831</v>
      </c>
      <c r="AS3279">
        <v>0</v>
      </c>
      <c r="AU3279" t="s">
        <v>180</v>
      </c>
    </row>
    <row r="3280" spans="1:48">
      <c r="A3280" s="1">
        <f>HYPERLINK("https://cms.ls-nyc.org/matter/dynamic-profile/view/1876746","18-1876746")</f>
        <v>0</v>
      </c>
      <c r="B3280" t="s">
        <v>90</v>
      </c>
      <c r="C3280" t="s">
        <v>238</v>
      </c>
      <c r="E3280" t="s">
        <v>2023</v>
      </c>
      <c r="F3280" t="s">
        <v>3608</v>
      </c>
      <c r="G3280" t="s">
        <v>4507</v>
      </c>
      <c r="H3280" t="s">
        <v>6018</v>
      </c>
      <c r="I3280" t="s">
        <v>6043</v>
      </c>
      <c r="J3280">
        <v>11216</v>
      </c>
      <c r="K3280" t="s">
        <v>6074</v>
      </c>
      <c r="L3280" t="s">
        <v>6074</v>
      </c>
      <c r="N3280" t="s">
        <v>7282</v>
      </c>
      <c r="O3280" t="s">
        <v>7308</v>
      </c>
      <c r="Q3280" t="s">
        <v>7322</v>
      </c>
      <c r="R3280" t="s">
        <v>6074</v>
      </c>
      <c r="S3280" t="s">
        <v>7324</v>
      </c>
      <c r="U3280" t="s">
        <v>233</v>
      </c>
      <c r="V3280">
        <v>1575</v>
      </c>
      <c r="W3280" t="s">
        <v>7362</v>
      </c>
      <c r="X3280" t="s">
        <v>7375</v>
      </c>
      <c r="Z3280" t="s">
        <v>9793</v>
      </c>
      <c r="AB3280" t="s">
        <v>12377</v>
      </c>
      <c r="AC3280">
        <v>82</v>
      </c>
      <c r="AD3280" t="s">
        <v>12422</v>
      </c>
      <c r="AE3280" t="s">
        <v>6110</v>
      </c>
      <c r="AF3280">
        <v>2</v>
      </c>
      <c r="AG3280">
        <v>1</v>
      </c>
      <c r="AH3280">
        <v>0</v>
      </c>
      <c r="AI3280">
        <v>543.66</v>
      </c>
      <c r="AJ3280" t="s">
        <v>350</v>
      </c>
      <c r="AK3280" t="s">
        <v>12456</v>
      </c>
      <c r="AL3280" t="s">
        <v>12460</v>
      </c>
      <c r="AM3280">
        <v>66000</v>
      </c>
      <c r="AN3280" t="s">
        <v>12532</v>
      </c>
      <c r="AS3280">
        <v>0</v>
      </c>
      <c r="AU3280" t="s">
        <v>218</v>
      </c>
    </row>
    <row r="3281" spans="1:47">
      <c r="A3281" s="1">
        <f>HYPERLINK("https://cms.ls-nyc.org/matter/dynamic-profile/view/1876744","18-1876744")</f>
        <v>0</v>
      </c>
      <c r="B3281" t="s">
        <v>90</v>
      </c>
      <c r="C3281" t="s">
        <v>238</v>
      </c>
      <c r="E3281" t="s">
        <v>2023</v>
      </c>
      <c r="F3281" t="s">
        <v>3608</v>
      </c>
      <c r="G3281" t="s">
        <v>4507</v>
      </c>
      <c r="H3281" t="s">
        <v>6018</v>
      </c>
      <c r="I3281" t="s">
        <v>6043</v>
      </c>
      <c r="J3281">
        <v>11216</v>
      </c>
      <c r="K3281" t="s">
        <v>6074</v>
      </c>
      <c r="L3281" t="s">
        <v>6074</v>
      </c>
      <c r="N3281" t="s">
        <v>6104</v>
      </c>
      <c r="O3281" t="s">
        <v>7307</v>
      </c>
      <c r="Q3281" t="s">
        <v>7322</v>
      </c>
      <c r="S3281" t="s">
        <v>7324</v>
      </c>
      <c r="U3281" t="s">
        <v>233</v>
      </c>
      <c r="V3281">
        <v>1575</v>
      </c>
      <c r="W3281" t="s">
        <v>7362</v>
      </c>
      <c r="X3281" t="s">
        <v>7375</v>
      </c>
      <c r="Z3281" t="s">
        <v>9793</v>
      </c>
      <c r="AB3281" t="s">
        <v>12377</v>
      </c>
      <c r="AC3281">
        <v>82</v>
      </c>
      <c r="AD3281" t="s">
        <v>12422</v>
      </c>
      <c r="AE3281" t="s">
        <v>6110</v>
      </c>
      <c r="AF3281">
        <v>2</v>
      </c>
      <c r="AG3281">
        <v>1</v>
      </c>
      <c r="AH3281">
        <v>0</v>
      </c>
      <c r="AI3281">
        <v>543.66</v>
      </c>
      <c r="AJ3281" t="s">
        <v>350</v>
      </c>
      <c r="AK3281" t="s">
        <v>12456</v>
      </c>
      <c r="AL3281" t="s">
        <v>12460</v>
      </c>
      <c r="AM3281">
        <v>66000</v>
      </c>
      <c r="AN3281" t="s">
        <v>12532</v>
      </c>
      <c r="AS3281">
        <v>0</v>
      </c>
      <c r="AU3281" t="s">
        <v>218</v>
      </c>
    </row>
    <row r="3282" spans="1:47">
      <c r="A3282" s="1">
        <f>HYPERLINK("https://cms.ls-nyc.org/matter/dynamic-profile/view/1876618","18-1876618")</f>
        <v>0</v>
      </c>
      <c r="B3282" t="s">
        <v>90</v>
      </c>
      <c r="C3282" t="s">
        <v>243</v>
      </c>
      <c r="E3282" t="s">
        <v>581</v>
      </c>
      <c r="F3282" t="s">
        <v>2099</v>
      </c>
      <c r="G3282" t="s">
        <v>4507</v>
      </c>
      <c r="H3282" t="s">
        <v>5538</v>
      </c>
      <c r="I3282" t="s">
        <v>6043</v>
      </c>
      <c r="J3282">
        <v>11216</v>
      </c>
      <c r="K3282" t="s">
        <v>6074</v>
      </c>
      <c r="L3282" t="s">
        <v>6074</v>
      </c>
      <c r="N3282" t="s">
        <v>7282</v>
      </c>
      <c r="O3282" t="s">
        <v>7308</v>
      </c>
      <c r="Q3282" t="s">
        <v>7322</v>
      </c>
      <c r="R3282" t="s">
        <v>6074</v>
      </c>
      <c r="S3282" t="s">
        <v>7324</v>
      </c>
      <c r="U3282" t="s">
        <v>233</v>
      </c>
      <c r="V3282">
        <v>2100</v>
      </c>
      <c r="W3282" t="s">
        <v>7362</v>
      </c>
      <c r="X3282" t="s">
        <v>7375</v>
      </c>
      <c r="Z3282" t="s">
        <v>9794</v>
      </c>
      <c r="AB3282" t="s">
        <v>12378</v>
      </c>
      <c r="AC3282">
        <v>82</v>
      </c>
      <c r="AD3282" t="s">
        <v>12422</v>
      </c>
      <c r="AE3282" t="s">
        <v>6110</v>
      </c>
      <c r="AF3282">
        <v>4</v>
      </c>
      <c r="AG3282">
        <v>2</v>
      </c>
      <c r="AH3282">
        <v>0</v>
      </c>
      <c r="AI3282">
        <v>543.74</v>
      </c>
      <c r="AL3282" t="s">
        <v>12460</v>
      </c>
      <c r="AM3282">
        <v>89500</v>
      </c>
      <c r="AN3282" t="s">
        <v>12532</v>
      </c>
      <c r="AS3282">
        <v>0</v>
      </c>
      <c r="AU3282" t="s">
        <v>218</v>
      </c>
    </row>
    <row r="3283" spans="1:47">
      <c r="A3283" s="1">
        <f>HYPERLINK("https://cms.ls-nyc.org/matter/dynamic-profile/view/1876613","18-1876613")</f>
        <v>0</v>
      </c>
      <c r="B3283" t="s">
        <v>90</v>
      </c>
      <c r="C3283" t="s">
        <v>243</v>
      </c>
      <c r="E3283" t="s">
        <v>581</v>
      </c>
      <c r="F3283" t="s">
        <v>2099</v>
      </c>
      <c r="G3283" t="s">
        <v>4507</v>
      </c>
      <c r="H3283" t="s">
        <v>5538</v>
      </c>
      <c r="I3283" t="s">
        <v>6043</v>
      </c>
      <c r="J3283">
        <v>11216</v>
      </c>
      <c r="K3283" t="s">
        <v>6074</v>
      </c>
      <c r="L3283" t="s">
        <v>6074</v>
      </c>
      <c r="N3283" t="s">
        <v>6104</v>
      </c>
      <c r="O3283" t="s">
        <v>7307</v>
      </c>
      <c r="Q3283" t="s">
        <v>7322</v>
      </c>
      <c r="S3283" t="s">
        <v>7324</v>
      </c>
      <c r="U3283" t="s">
        <v>233</v>
      </c>
      <c r="V3283">
        <v>2100</v>
      </c>
      <c r="W3283" t="s">
        <v>7362</v>
      </c>
      <c r="X3283" t="s">
        <v>7375</v>
      </c>
      <c r="Z3283" t="s">
        <v>9794</v>
      </c>
      <c r="AB3283" t="s">
        <v>12378</v>
      </c>
      <c r="AC3283">
        <v>82</v>
      </c>
      <c r="AD3283" t="s">
        <v>12422</v>
      </c>
      <c r="AE3283" t="s">
        <v>6110</v>
      </c>
      <c r="AF3283">
        <v>4</v>
      </c>
      <c r="AG3283">
        <v>2</v>
      </c>
      <c r="AH3283">
        <v>0</v>
      </c>
      <c r="AI3283">
        <v>543.74</v>
      </c>
      <c r="AL3283" t="s">
        <v>12460</v>
      </c>
      <c r="AM3283">
        <v>89500</v>
      </c>
      <c r="AN3283" t="s">
        <v>12532</v>
      </c>
      <c r="AS3283">
        <v>0</v>
      </c>
      <c r="AU3283" t="s">
        <v>218</v>
      </c>
    </row>
    <row r="3284" spans="1:47">
      <c r="A3284" s="1">
        <f>HYPERLINK("https://cms.ls-nyc.org/matter/dynamic-profile/view/1889908","19-1889908")</f>
        <v>0</v>
      </c>
      <c r="B3284" t="s">
        <v>96</v>
      </c>
      <c r="C3284" t="s">
        <v>351</v>
      </c>
      <c r="E3284" t="s">
        <v>1155</v>
      </c>
      <c r="F3284" t="s">
        <v>3609</v>
      </c>
      <c r="G3284" t="s">
        <v>3792</v>
      </c>
      <c r="H3284" t="s">
        <v>5372</v>
      </c>
      <c r="I3284" t="s">
        <v>6047</v>
      </c>
      <c r="J3284">
        <v>10453</v>
      </c>
      <c r="K3284" t="s">
        <v>6074</v>
      </c>
      <c r="L3284" t="s">
        <v>6074</v>
      </c>
      <c r="N3284" t="s">
        <v>7279</v>
      </c>
      <c r="O3284" t="s">
        <v>7311</v>
      </c>
      <c r="Q3284" t="s">
        <v>7322</v>
      </c>
      <c r="R3284" t="s">
        <v>6074</v>
      </c>
      <c r="S3284" t="s">
        <v>7324</v>
      </c>
      <c r="U3284" t="s">
        <v>457</v>
      </c>
      <c r="V3284">
        <v>1120.87</v>
      </c>
      <c r="W3284" t="s">
        <v>7363</v>
      </c>
      <c r="X3284" t="s">
        <v>7376</v>
      </c>
      <c r="Z3284" t="s">
        <v>9795</v>
      </c>
      <c r="AB3284" t="s">
        <v>12379</v>
      </c>
      <c r="AC3284">
        <v>167</v>
      </c>
      <c r="AD3284" t="s">
        <v>12422</v>
      </c>
      <c r="AE3284" t="s">
        <v>6110</v>
      </c>
      <c r="AF3284">
        <v>18</v>
      </c>
      <c r="AG3284">
        <v>1</v>
      </c>
      <c r="AH3284">
        <v>0</v>
      </c>
      <c r="AI3284">
        <v>544.4400000000001</v>
      </c>
      <c r="AL3284" t="s">
        <v>12460</v>
      </c>
      <c r="AM3284">
        <v>68000</v>
      </c>
      <c r="AS3284">
        <v>0</v>
      </c>
      <c r="AU3284" t="s">
        <v>13092</v>
      </c>
    </row>
    <row r="3285" spans="1:47">
      <c r="A3285" s="1">
        <f>HYPERLINK("https://cms.ls-nyc.org/matter/dynamic-profile/view/1889905","19-1889905")</f>
        <v>0</v>
      </c>
      <c r="B3285" t="s">
        <v>96</v>
      </c>
      <c r="C3285" t="s">
        <v>351</v>
      </c>
      <c r="E3285" t="s">
        <v>1155</v>
      </c>
      <c r="F3285" t="s">
        <v>3609</v>
      </c>
      <c r="G3285" t="s">
        <v>3792</v>
      </c>
      <c r="H3285" t="s">
        <v>5372</v>
      </c>
      <c r="I3285" t="s">
        <v>6047</v>
      </c>
      <c r="J3285">
        <v>10453</v>
      </c>
      <c r="K3285" t="s">
        <v>6074</v>
      </c>
      <c r="L3285" t="s">
        <v>6074</v>
      </c>
      <c r="M3285" t="s">
        <v>6259</v>
      </c>
      <c r="N3285" t="s">
        <v>7273</v>
      </c>
      <c r="O3285" t="s">
        <v>7308</v>
      </c>
      <c r="Q3285" t="s">
        <v>7322</v>
      </c>
      <c r="R3285" t="s">
        <v>6074</v>
      </c>
      <c r="S3285" t="s">
        <v>7324</v>
      </c>
      <c r="U3285" t="s">
        <v>457</v>
      </c>
      <c r="V3285">
        <v>1120.87</v>
      </c>
      <c r="W3285" t="s">
        <v>7363</v>
      </c>
      <c r="X3285" t="s">
        <v>7376</v>
      </c>
      <c r="Z3285" t="s">
        <v>9795</v>
      </c>
      <c r="AB3285" t="s">
        <v>12379</v>
      </c>
      <c r="AC3285">
        <v>167</v>
      </c>
      <c r="AD3285" t="s">
        <v>12422</v>
      </c>
      <c r="AE3285" t="s">
        <v>6110</v>
      </c>
      <c r="AF3285">
        <v>18</v>
      </c>
      <c r="AG3285">
        <v>1</v>
      </c>
      <c r="AH3285">
        <v>0</v>
      </c>
      <c r="AI3285">
        <v>544.4400000000001</v>
      </c>
      <c r="AL3285" t="s">
        <v>12460</v>
      </c>
      <c r="AM3285">
        <v>68000</v>
      </c>
      <c r="AS3285">
        <v>0</v>
      </c>
      <c r="AU3285" t="s">
        <v>13092</v>
      </c>
    </row>
    <row r="3286" spans="1:47">
      <c r="A3286" s="1">
        <f>HYPERLINK("https://cms.ls-nyc.org/matter/dynamic-profile/view/1876606","18-1876606")</f>
        <v>0</v>
      </c>
      <c r="B3286" t="s">
        <v>90</v>
      </c>
      <c r="C3286" t="s">
        <v>243</v>
      </c>
      <c r="E3286" t="s">
        <v>1290</v>
      </c>
      <c r="F3286" t="s">
        <v>3610</v>
      </c>
      <c r="G3286" t="s">
        <v>4507</v>
      </c>
      <c r="H3286" t="s">
        <v>5538</v>
      </c>
      <c r="I3286" t="s">
        <v>6043</v>
      </c>
      <c r="J3286">
        <v>11216</v>
      </c>
      <c r="K3286" t="s">
        <v>6074</v>
      </c>
      <c r="L3286" t="s">
        <v>6074</v>
      </c>
      <c r="N3286" t="s">
        <v>7282</v>
      </c>
      <c r="O3286" t="s">
        <v>7308</v>
      </c>
      <c r="Q3286" t="s">
        <v>7322</v>
      </c>
      <c r="R3286" t="s">
        <v>6074</v>
      </c>
      <c r="S3286" t="s">
        <v>7324</v>
      </c>
      <c r="U3286" t="s">
        <v>233</v>
      </c>
      <c r="V3286">
        <v>2100</v>
      </c>
      <c r="W3286" t="s">
        <v>7362</v>
      </c>
      <c r="X3286" t="s">
        <v>7375</v>
      </c>
      <c r="Z3286" t="s">
        <v>9653</v>
      </c>
      <c r="AB3286" t="s">
        <v>12380</v>
      </c>
      <c r="AC3286">
        <v>82</v>
      </c>
      <c r="AD3286" t="s">
        <v>12422</v>
      </c>
      <c r="AE3286" t="s">
        <v>6110</v>
      </c>
      <c r="AF3286">
        <v>4</v>
      </c>
      <c r="AG3286">
        <v>2</v>
      </c>
      <c r="AH3286">
        <v>0</v>
      </c>
      <c r="AI3286">
        <v>546.78</v>
      </c>
      <c r="AL3286" t="s">
        <v>12460</v>
      </c>
      <c r="AM3286">
        <v>90000</v>
      </c>
      <c r="AN3286" t="s">
        <v>12532</v>
      </c>
      <c r="AS3286">
        <v>0</v>
      </c>
      <c r="AU3286" t="s">
        <v>218</v>
      </c>
    </row>
    <row r="3287" spans="1:47">
      <c r="A3287" s="1">
        <f>HYPERLINK("https://cms.ls-nyc.org/matter/dynamic-profile/view/1876602","18-1876602")</f>
        <v>0</v>
      </c>
      <c r="B3287" t="s">
        <v>90</v>
      </c>
      <c r="C3287" t="s">
        <v>243</v>
      </c>
      <c r="E3287" t="s">
        <v>1290</v>
      </c>
      <c r="F3287" t="s">
        <v>3610</v>
      </c>
      <c r="G3287" t="s">
        <v>4507</v>
      </c>
      <c r="H3287" t="s">
        <v>5538</v>
      </c>
      <c r="I3287" t="s">
        <v>6043</v>
      </c>
      <c r="J3287">
        <v>11216</v>
      </c>
      <c r="K3287" t="s">
        <v>6074</v>
      </c>
      <c r="L3287" t="s">
        <v>6074</v>
      </c>
      <c r="N3287" t="s">
        <v>6104</v>
      </c>
      <c r="O3287" t="s">
        <v>7307</v>
      </c>
      <c r="Q3287" t="s">
        <v>7322</v>
      </c>
      <c r="R3287" t="s">
        <v>6074</v>
      </c>
      <c r="S3287" t="s">
        <v>7324</v>
      </c>
      <c r="U3287" t="s">
        <v>233</v>
      </c>
      <c r="V3287">
        <v>2100</v>
      </c>
      <c r="W3287" t="s">
        <v>7362</v>
      </c>
      <c r="X3287" t="s">
        <v>7375</v>
      </c>
      <c r="Z3287" t="s">
        <v>9653</v>
      </c>
      <c r="AB3287" t="s">
        <v>12380</v>
      </c>
      <c r="AC3287">
        <v>82</v>
      </c>
      <c r="AD3287" t="s">
        <v>12422</v>
      </c>
      <c r="AE3287" t="s">
        <v>6110</v>
      </c>
      <c r="AF3287">
        <v>4</v>
      </c>
      <c r="AG3287">
        <v>2</v>
      </c>
      <c r="AH3287">
        <v>0</v>
      </c>
      <c r="AI3287">
        <v>546.78</v>
      </c>
      <c r="AL3287" t="s">
        <v>12460</v>
      </c>
      <c r="AM3287">
        <v>90000</v>
      </c>
      <c r="AN3287" t="s">
        <v>12532</v>
      </c>
      <c r="AS3287">
        <v>0</v>
      </c>
      <c r="AU3287" t="s">
        <v>218</v>
      </c>
    </row>
    <row r="3288" spans="1:47">
      <c r="A3288" s="1">
        <f>HYPERLINK("https://cms.ls-nyc.org/matter/dynamic-profile/view/1884053","18-1884053")</f>
        <v>0</v>
      </c>
      <c r="B3288" t="s">
        <v>109</v>
      </c>
      <c r="C3288" t="s">
        <v>412</v>
      </c>
      <c r="E3288" t="s">
        <v>2021</v>
      </c>
      <c r="F3288" t="s">
        <v>663</v>
      </c>
      <c r="G3288" t="s">
        <v>3927</v>
      </c>
      <c r="H3288" t="s">
        <v>5387</v>
      </c>
      <c r="I3288" t="s">
        <v>6047</v>
      </c>
      <c r="J3288">
        <v>10452</v>
      </c>
      <c r="K3288" t="s">
        <v>6074</v>
      </c>
      <c r="L3288" t="s">
        <v>6074</v>
      </c>
      <c r="M3288" t="s">
        <v>7270</v>
      </c>
      <c r="N3288" t="s">
        <v>7274</v>
      </c>
      <c r="O3288" t="s">
        <v>7308</v>
      </c>
      <c r="Q3288" t="s">
        <v>7322</v>
      </c>
      <c r="R3288" t="s">
        <v>6076</v>
      </c>
      <c r="S3288" t="s">
        <v>7324</v>
      </c>
      <c r="T3288" t="s">
        <v>7336</v>
      </c>
      <c r="U3288" t="s">
        <v>472</v>
      </c>
      <c r="V3288">
        <v>1477.27</v>
      </c>
      <c r="W3288" t="s">
        <v>7363</v>
      </c>
      <c r="X3288" t="s">
        <v>7368</v>
      </c>
      <c r="Z3288" t="s">
        <v>9790</v>
      </c>
      <c r="AB3288" t="s">
        <v>12375</v>
      </c>
      <c r="AC3288">
        <v>41</v>
      </c>
      <c r="AD3288" t="s">
        <v>12422</v>
      </c>
      <c r="AE3288" t="s">
        <v>6110</v>
      </c>
      <c r="AF3288">
        <v>12</v>
      </c>
      <c r="AG3288">
        <v>1</v>
      </c>
      <c r="AH3288">
        <v>0</v>
      </c>
      <c r="AI3288">
        <v>551.89</v>
      </c>
      <c r="AL3288" t="s">
        <v>12460</v>
      </c>
      <c r="AM3288">
        <v>67000</v>
      </c>
      <c r="AS3288">
        <v>28.35</v>
      </c>
      <c r="AT3288" t="s">
        <v>446</v>
      </c>
      <c r="AU3288" t="s">
        <v>13092</v>
      </c>
    </row>
    <row r="3289" spans="1:47">
      <c r="A3289" s="1">
        <f>HYPERLINK("https://cms.ls-nyc.org/matter/dynamic-profile/view/1883436","18-1883436")</f>
        <v>0</v>
      </c>
      <c r="B3289" t="s">
        <v>109</v>
      </c>
      <c r="C3289" t="s">
        <v>411</v>
      </c>
      <c r="E3289" t="s">
        <v>2021</v>
      </c>
      <c r="F3289" t="s">
        <v>663</v>
      </c>
      <c r="G3289" t="s">
        <v>3927</v>
      </c>
      <c r="H3289" t="s">
        <v>5387</v>
      </c>
      <c r="I3289" t="s">
        <v>6047</v>
      </c>
      <c r="J3289">
        <v>10452</v>
      </c>
      <c r="K3289" t="s">
        <v>6074</v>
      </c>
      <c r="L3289" t="s">
        <v>6074</v>
      </c>
      <c r="M3289" t="s">
        <v>6658</v>
      </c>
      <c r="N3289" t="s">
        <v>7273</v>
      </c>
      <c r="O3289" t="s">
        <v>7308</v>
      </c>
      <c r="Q3289" t="s">
        <v>7322</v>
      </c>
      <c r="R3289" t="s">
        <v>6074</v>
      </c>
      <c r="S3289" t="s">
        <v>7324</v>
      </c>
      <c r="U3289" t="s">
        <v>472</v>
      </c>
      <c r="V3289">
        <v>1477.27</v>
      </c>
      <c r="W3289" t="s">
        <v>7363</v>
      </c>
      <c r="X3289" t="s">
        <v>7375</v>
      </c>
      <c r="Z3289" t="s">
        <v>9790</v>
      </c>
      <c r="AB3289" t="s">
        <v>12375</v>
      </c>
      <c r="AC3289">
        <v>41</v>
      </c>
      <c r="AD3289" t="s">
        <v>12422</v>
      </c>
      <c r="AE3289" t="s">
        <v>6110</v>
      </c>
      <c r="AF3289">
        <v>12</v>
      </c>
      <c r="AG3289">
        <v>1</v>
      </c>
      <c r="AH3289">
        <v>0</v>
      </c>
      <c r="AI3289">
        <v>551.89</v>
      </c>
      <c r="AL3289" t="s">
        <v>12460</v>
      </c>
      <c r="AM3289">
        <v>67000</v>
      </c>
      <c r="AS3289">
        <v>0</v>
      </c>
      <c r="AU3289" t="s">
        <v>13092</v>
      </c>
    </row>
    <row r="3290" spans="1:47">
      <c r="A3290" s="1">
        <f>HYPERLINK("https://cms.ls-nyc.org/matter/dynamic-profile/view/1878115","18-1878115")</f>
        <v>0</v>
      </c>
      <c r="B3290" t="s">
        <v>90</v>
      </c>
      <c r="C3290" t="s">
        <v>255</v>
      </c>
      <c r="E3290" t="s">
        <v>913</v>
      </c>
      <c r="F3290" t="s">
        <v>2221</v>
      </c>
      <c r="G3290" t="s">
        <v>4507</v>
      </c>
      <c r="H3290" t="s">
        <v>5411</v>
      </c>
      <c r="I3290" t="s">
        <v>6043</v>
      </c>
      <c r="J3290">
        <v>11216</v>
      </c>
      <c r="K3290" t="s">
        <v>6074</v>
      </c>
      <c r="L3290" t="s">
        <v>6075</v>
      </c>
      <c r="N3290" t="s">
        <v>7282</v>
      </c>
      <c r="O3290" t="s">
        <v>7308</v>
      </c>
      <c r="Q3290" t="s">
        <v>7322</v>
      </c>
      <c r="R3290" t="s">
        <v>6074</v>
      </c>
      <c r="S3290" t="s">
        <v>7324</v>
      </c>
      <c r="U3290" t="s">
        <v>372</v>
      </c>
      <c r="V3290">
        <v>1400</v>
      </c>
      <c r="W3290" t="s">
        <v>7362</v>
      </c>
      <c r="X3290" t="s">
        <v>7375</v>
      </c>
      <c r="Z3290" t="s">
        <v>9796</v>
      </c>
      <c r="AC3290">
        <v>82</v>
      </c>
      <c r="AD3290" t="s">
        <v>12425</v>
      </c>
      <c r="AE3290" t="s">
        <v>6110</v>
      </c>
      <c r="AF3290">
        <v>3</v>
      </c>
      <c r="AG3290">
        <v>1</v>
      </c>
      <c r="AH3290">
        <v>0</v>
      </c>
      <c r="AI3290">
        <v>556.01</v>
      </c>
      <c r="AL3290" t="s">
        <v>12460</v>
      </c>
      <c r="AM3290">
        <v>67500</v>
      </c>
      <c r="AS3290">
        <v>0</v>
      </c>
      <c r="AU3290" t="s">
        <v>218</v>
      </c>
    </row>
    <row r="3291" spans="1:47">
      <c r="A3291" s="1">
        <f>HYPERLINK("https://cms.ls-nyc.org/matter/dynamic-profile/view/1878112","18-1878112")</f>
        <v>0</v>
      </c>
      <c r="B3291" t="s">
        <v>90</v>
      </c>
      <c r="C3291" t="s">
        <v>255</v>
      </c>
      <c r="E3291" t="s">
        <v>913</v>
      </c>
      <c r="F3291" t="s">
        <v>2221</v>
      </c>
      <c r="G3291" t="s">
        <v>4507</v>
      </c>
      <c r="H3291" t="s">
        <v>5411</v>
      </c>
      <c r="I3291" t="s">
        <v>6043</v>
      </c>
      <c r="J3291">
        <v>11216</v>
      </c>
      <c r="K3291" t="s">
        <v>6074</v>
      </c>
      <c r="L3291" t="s">
        <v>6075</v>
      </c>
      <c r="O3291" t="s">
        <v>7307</v>
      </c>
      <c r="Q3291" t="s">
        <v>7322</v>
      </c>
      <c r="R3291" t="s">
        <v>6074</v>
      </c>
      <c r="S3291" t="s">
        <v>7324</v>
      </c>
      <c r="U3291" t="s">
        <v>372</v>
      </c>
      <c r="V3291">
        <v>1400</v>
      </c>
      <c r="W3291" t="s">
        <v>7362</v>
      </c>
      <c r="X3291" t="s">
        <v>7375</v>
      </c>
      <c r="Z3291" t="s">
        <v>9796</v>
      </c>
      <c r="AC3291">
        <v>82</v>
      </c>
      <c r="AD3291" t="s">
        <v>12422</v>
      </c>
      <c r="AE3291" t="s">
        <v>6110</v>
      </c>
      <c r="AF3291">
        <v>3</v>
      </c>
      <c r="AG3291">
        <v>1</v>
      </c>
      <c r="AH3291">
        <v>0</v>
      </c>
      <c r="AI3291">
        <v>556.01</v>
      </c>
      <c r="AL3291" t="s">
        <v>12460</v>
      </c>
      <c r="AM3291">
        <v>67500</v>
      </c>
      <c r="AN3291" t="s">
        <v>7307</v>
      </c>
      <c r="AS3291">
        <v>1.2</v>
      </c>
      <c r="AT3291" t="s">
        <v>423</v>
      </c>
      <c r="AU3291" t="s">
        <v>218</v>
      </c>
    </row>
    <row r="3292" spans="1:47">
      <c r="A3292" s="1">
        <f>HYPERLINK("https://cms.ls-nyc.org/matter/dynamic-profile/view/1876215","18-1876215")</f>
        <v>0</v>
      </c>
      <c r="B3292" t="s">
        <v>128</v>
      </c>
      <c r="C3292" t="s">
        <v>377</v>
      </c>
      <c r="D3292" t="s">
        <v>377</v>
      </c>
      <c r="E3292" t="s">
        <v>1271</v>
      </c>
      <c r="F3292" t="s">
        <v>1521</v>
      </c>
      <c r="G3292" t="s">
        <v>5329</v>
      </c>
      <c r="H3292" t="s">
        <v>5453</v>
      </c>
      <c r="I3292" t="s">
        <v>6049</v>
      </c>
      <c r="J3292">
        <v>10040</v>
      </c>
      <c r="K3292" t="s">
        <v>6074</v>
      </c>
      <c r="L3292" t="s">
        <v>6074</v>
      </c>
      <c r="O3292" t="s">
        <v>7306</v>
      </c>
      <c r="P3292" t="s">
        <v>7314</v>
      </c>
      <c r="Q3292" t="s">
        <v>7322</v>
      </c>
      <c r="R3292" t="s">
        <v>6076</v>
      </c>
      <c r="S3292" t="s">
        <v>7324</v>
      </c>
      <c r="U3292" t="s">
        <v>377</v>
      </c>
      <c r="V3292">
        <v>1550</v>
      </c>
      <c r="W3292" t="s">
        <v>7365</v>
      </c>
      <c r="X3292" t="s">
        <v>7367</v>
      </c>
      <c r="Y3292" t="s">
        <v>7386</v>
      </c>
      <c r="Z3292" t="s">
        <v>9797</v>
      </c>
      <c r="AB3292" t="s">
        <v>12381</v>
      </c>
      <c r="AC3292">
        <v>39</v>
      </c>
      <c r="AD3292" t="s">
        <v>12422</v>
      </c>
      <c r="AE3292" t="s">
        <v>6110</v>
      </c>
      <c r="AF3292">
        <v>7</v>
      </c>
      <c r="AG3292">
        <v>1</v>
      </c>
      <c r="AH3292">
        <v>0</v>
      </c>
      <c r="AI3292">
        <v>556.84</v>
      </c>
      <c r="AL3292" t="s">
        <v>12460</v>
      </c>
      <c r="AM3292">
        <v>67600</v>
      </c>
      <c r="AS3292">
        <v>2.1</v>
      </c>
      <c r="AT3292" t="s">
        <v>377</v>
      </c>
      <c r="AU3292" t="s">
        <v>13106</v>
      </c>
    </row>
    <row r="3293" spans="1:47">
      <c r="A3293" s="1">
        <f>HYPERLINK("https://cms.ls-nyc.org/matter/dynamic-profile/view/1898855","19-1898855")</f>
        <v>0</v>
      </c>
      <c r="B3293" t="s">
        <v>128</v>
      </c>
      <c r="C3293" t="s">
        <v>294</v>
      </c>
      <c r="E3293" t="s">
        <v>598</v>
      </c>
      <c r="F3293" t="s">
        <v>3611</v>
      </c>
      <c r="G3293" t="s">
        <v>5330</v>
      </c>
      <c r="H3293" t="s">
        <v>5424</v>
      </c>
      <c r="I3293" t="s">
        <v>6049</v>
      </c>
      <c r="J3293">
        <v>10040</v>
      </c>
      <c r="K3293" t="s">
        <v>6074</v>
      </c>
      <c r="L3293" t="s">
        <v>6074</v>
      </c>
      <c r="O3293" t="s">
        <v>7306</v>
      </c>
      <c r="Q3293" t="s">
        <v>7322</v>
      </c>
      <c r="R3293" t="s">
        <v>6076</v>
      </c>
      <c r="S3293" t="s">
        <v>7324</v>
      </c>
      <c r="U3293" t="s">
        <v>294</v>
      </c>
      <c r="V3293">
        <v>1065</v>
      </c>
      <c r="W3293" t="s">
        <v>7365</v>
      </c>
      <c r="X3293" t="s">
        <v>7367</v>
      </c>
      <c r="Z3293" t="s">
        <v>9798</v>
      </c>
      <c r="AB3293" t="s">
        <v>12382</v>
      </c>
      <c r="AC3293">
        <v>30</v>
      </c>
      <c r="AD3293" t="s">
        <v>12422</v>
      </c>
      <c r="AE3293" t="s">
        <v>6110</v>
      </c>
      <c r="AF3293">
        <v>21</v>
      </c>
      <c r="AG3293">
        <v>3</v>
      </c>
      <c r="AH3293">
        <v>0</v>
      </c>
      <c r="AI3293">
        <v>557.9</v>
      </c>
      <c r="AL3293" t="s">
        <v>12460</v>
      </c>
      <c r="AM3293">
        <v>119000</v>
      </c>
      <c r="AS3293">
        <v>1.5</v>
      </c>
      <c r="AT3293" t="s">
        <v>309</v>
      </c>
      <c r="AU3293" t="s">
        <v>13106</v>
      </c>
    </row>
    <row r="3294" spans="1:47">
      <c r="A3294" s="1">
        <f>HYPERLINK("https://cms.ls-nyc.org/matter/dynamic-profile/view/1894881","19-1894881")</f>
        <v>0</v>
      </c>
      <c r="B3294" t="s">
        <v>133</v>
      </c>
      <c r="C3294" t="s">
        <v>247</v>
      </c>
      <c r="E3294" t="s">
        <v>694</v>
      </c>
      <c r="F3294" t="s">
        <v>3612</v>
      </c>
      <c r="G3294" t="s">
        <v>4207</v>
      </c>
      <c r="H3294">
        <v>53</v>
      </c>
      <c r="I3294" t="s">
        <v>6049</v>
      </c>
      <c r="J3294">
        <v>10034</v>
      </c>
      <c r="K3294" t="s">
        <v>6074</v>
      </c>
      <c r="L3294" t="s">
        <v>6074</v>
      </c>
      <c r="N3294" t="s">
        <v>7273</v>
      </c>
      <c r="O3294" t="s">
        <v>7306</v>
      </c>
      <c r="Q3294" t="s">
        <v>7322</v>
      </c>
      <c r="R3294" t="s">
        <v>6074</v>
      </c>
      <c r="S3294" t="s">
        <v>7324</v>
      </c>
      <c r="U3294" t="s">
        <v>279</v>
      </c>
      <c r="V3294">
        <v>2012.58</v>
      </c>
      <c r="W3294" t="s">
        <v>7365</v>
      </c>
      <c r="X3294" t="s">
        <v>7367</v>
      </c>
      <c r="Z3294" t="s">
        <v>9799</v>
      </c>
      <c r="AB3294" t="s">
        <v>12383</v>
      </c>
      <c r="AC3294">
        <v>20</v>
      </c>
      <c r="AD3294" t="s">
        <v>12422</v>
      </c>
      <c r="AE3294" t="s">
        <v>6110</v>
      </c>
      <c r="AF3294">
        <v>9</v>
      </c>
      <c r="AG3294">
        <v>3</v>
      </c>
      <c r="AH3294">
        <v>0</v>
      </c>
      <c r="AI3294">
        <v>565.4</v>
      </c>
      <c r="AK3294" t="s">
        <v>12456</v>
      </c>
      <c r="AM3294">
        <v>120600</v>
      </c>
      <c r="AS3294">
        <v>0</v>
      </c>
      <c r="AU3294" t="s">
        <v>13119</v>
      </c>
    </row>
    <row r="3295" spans="1:47">
      <c r="A3295" s="1">
        <f>HYPERLINK("https://cms.ls-nyc.org/matter/dynamic-profile/view/1891983","19-1891983")</f>
        <v>0</v>
      </c>
      <c r="B3295" t="s">
        <v>72</v>
      </c>
      <c r="C3295" t="s">
        <v>329</v>
      </c>
      <c r="E3295" t="s">
        <v>1372</v>
      </c>
      <c r="F3295" t="s">
        <v>3613</v>
      </c>
      <c r="G3295" t="s">
        <v>3701</v>
      </c>
      <c r="H3295" t="s">
        <v>6019</v>
      </c>
      <c r="I3295" t="s">
        <v>6043</v>
      </c>
      <c r="J3295">
        <v>11233</v>
      </c>
      <c r="K3295" t="s">
        <v>6074</v>
      </c>
      <c r="L3295" t="s">
        <v>6076</v>
      </c>
      <c r="N3295" t="s">
        <v>7279</v>
      </c>
      <c r="O3295" t="s">
        <v>7311</v>
      </c>
      <c r="Q3295" t="s">
        <v>7322</v>
      </c>
      <c r="R3295" t="s">
        <v>6074</v>
      </c>
      <c r="S3295" t="s">
        <v>7324</v>
      </c>
      <c r="T3295" t="s">
        <v>7336</v>
      </c>
      <c r="U3295" t="s">
        <v>330</v>
      </c>
      <c r="V3295">
        <v>989.35</v>
      </c>
      <c r="W3295" t="s">
        <v>7362</v>
      </c>
      <c r="X3295" t="s">
        <v>7305</v>
      </c>
      <c r="Z3295" t="s">
        <v>9800</v>
      </c>
      <c r="AC3295">
        <v>359</v>
      </c>
      <c r="AD3295" t="s">
        <v>12422</v>
      </c>
      <c r="AE3295" t="s">
        <v>6110</v>
      </c>
      <c r="AF3295">
        <v>16</v>
      </c>
      <c r="AG3295">
        <v>2</v>
      </c>
      <c r="AH3295">
        <v>0</v>
      </c>
      <c r="AI3295">
        <v>567.71</v>
      </c>
      <c r="AL3295" t="s">
        <v>12460</v>
      </c>
      <c r="AM3295">
        <v>96000</v>
      </c>
      <c r="AN3295" t="s">
        <v>12832</v>
      </c>
      <c r="AS3295">
        <v>0</v>
      </c>
      <c r="AU3295" t="s">
        <v>180</v>
      </c>
    </row>
    <row r="3296" spans="1:47">
      <c r="A3296" s="1">
        <f>HYPERLINK("https://cms.ls-nyc.org/matter/dynamic-profile/view/1891988","19-1891988")</f>
        <v>0</v>
      </c>
      <c r="B3296" t="s">
        <v>72</v>
      </c>
      <c r="C3296" t="s">
        <v>329</v>
      </c>
      <c r="E3296" t="s">
        <v>1372</v>
      </c>
      <c r="F3296" t="s">
        <v>3613</v>
      </c>
      <c r="G3296" t="s">
        <v>3701</v>
      </c>
      <c r="H3296" t="s">
        <v>6019</v>
      </c>
      <c r="I3296" t="s">
        <v>6043</v>
      </c>
      <c r="J3296">
        <v>11233</v>
      </c>
      <c r="K3296" t="s">
        <v>6074</v>
      </c>
      <c r="L3296" t="s">
        <v>6076</v>
      </c>
      <c r="N3296" t="s">
        <v>7275</v>
      </c>
      <c r="O3296" t="s">
        <v>7307</v>
      </c>
      <c r="Q3296" t="s">
        <v>7322</v>
      </c>
      <c r="R3296" t="s">
        <v>6074</v>
      </c>
      <c r="S3296" t="s">
        <v>7324</v>
      </c>
      <c r="T3296" t="s">
        <v>7336</v>
      </c>
      <c r="U3296" t="s">
        <v>287</v>
      </c>
      <c r="V3296">
        <v>989.35</v>
      </c>
      <c r="W3296" t="s">
        <v>7362</v>
      </c>
      <c r="X3296" t="s">
        <v>7305</v>
      </c>
      <c r="Z3296" t="s">
        <v>9800</v>
      </c>
      <c r="AC3296">
        <v>359</v>
      </c>
      <c r="AD3296" t="s">
        <v>12422</v>
      </c>
      <c r="AE3296" t="s">
        <v>6110</v>
      </c>
      <c r="AF3296">
        <v>16</v>
      </c>
      <c r="AG3296">
        <v>2</v>
      </c>
      <c r="AH3296">
        <v>0</v>
      </c>
      <c r="AI3296">
        <v>567.71</v>
      </c>
      <c r="AL3296" t="s">
        <v>12460</v>
      </c>
      <c r="AM3296">
        <v>96000</v>
      </c>
      <c r="AN3296" t="s">
        <v>12833</v>
      </c>
      <c r="AS3296">
        <v>0</v>
      </c>
      <c r="AU3296" t="s">
        <v>180</v>
      </c>
    </row>
    <row r="3297" spans="1:48">
      <c r="A3297" s="1">
        <f>HYPERLINK("https://cms.ls-nyc.org/matter/dynamic-profile/view/1876838","18-1876838")</f>
        <v>0</v>
      </c>
      <c r="B3297" t="s">
        <v>90</v>
      </c>
      <c r="C3297" t="s">
        <v>238</v>
      </c>
      <c r="E3297" t="s">
        <v>2024</v>
      </c>
      <c r="F3297" t="s">
        <v>2154</v>
      </c>
      <c r="G3297" t="s">
        <v>4507</v>
      </c>
      <c r="H3297" t="s">
        <v>5742</v>
      </c>
      <c r="I3297" t="s">
        <v>6043</v>
      </c>
      <c r="J3297">
        <v>11216</v>
      </c>
      <c r="K3297" t="s">
        <v>6074</v>
      </c>
      <c r="L3297" t="s">
        <v>6074</v>
      </c>
      <c r="N3297" t="s">
        <v>7282</v>
      </c>
      <c r="O3297" t="s">
        <v>7308</v>
      </c>
      <c r="Q3297" t="s">
        <v>7322</v>
      </c>
      <c r="R3297" t="s">
        <v>6074</v>
      </c>
      <c r="S3297" t="s">
        <v>7324</v>
      </c>
      <c r="U3297" t="s">
        <v>233</v>
      </c>
      <c r="V3297">
        <v>2200</v>
      </c>
      <c r="W3297" t="s">
        <v>7362</v>
      </c>
      <c r="X3297" t="s">
        <v>7375</v>
      </c>
      <c r="Z3297" t="s">
        <v>9801</v>
      </c>
      <c r="AB3297" t="s">
        <v>12384</v>
      </c>
      <c r="AC3297">
        <v>82</v>
      </c>
      <c r="AD3297" t="s">
        <v>12422</v>
      </c>
      <c r="AE3297" t="s">
        <v>6110</v>
      </c>
      <c r="AF3297">
        <v>1</v>
      </c>
      <c r="AG3297">
        <v>1</v>
      </c>
      <c r="AH3297">
        <v>0</v>
      </c>
      <c r="AI3297">
        <v>568.37</v>
      </c>
      <c r="AL3297" t="s">
        <v>12460</v>
      </c>
      <c r="AM3297">
        <v>69000</v>
      </c>
      <c r="AN3297" t="s">
        <v>12532</v>
      </c>
      <c r="AS3297">
        <v>0</v>
      </c>
      <c r="AU3297" t="s">
        <v>218</v>
      </c>
    </row>
    <row r="3298" spans="1:48">
      <c r="A3298" s="1">
        <f>HYPERLINK("https://cms.ls-nyc.org/matter/dynamic-profile/view/1876837","18-1876837")</f>
        <v>0</v>
      </c>
      <c r="B3298" t="s">
        <v>90</v>
      </c>
      <c r="C3298" t="s">
        <v>238</v>
      </c>
      <c r="E3298" t="s">
        <v>2024</v>
      </c>
      <c r="F3298" t="s">
        <v>2154</v>
      </c>
      <c r="G3298" t="s">
        <v>4507</v>
      </c>
      <c r="H3298" t="s">
        <v>5742</v>
      </c>
      <c r="I3298" t="s">
        <v>6043</v>
      </c>
      <c r="J3298">
        <v>11216</v>
      </c>
      <c r="K3298" t="s">
        <v>6074</v>
      </c>
      <c r="L3298" t="s">
        <v>6074</v>
      </c>
      <c r="N3298" t="s">
        <v>6104</v>
      </c>
      <c r="O3298" t="s">
        <v>7307</v>
      </c>
      <c r="Q3298" t="s">
        <v>7322</v>
      </c>
      <c r="R3298" t="s">
        <v>6074</v>
      </c>
      <c r="S3298" t="s">
        <v>7324</v>
      </c>
      <c r="U3298" t="s">
        <v>233</v>
      </c>
      <c r="V3298">
        <v>2200</v>
      </c>
      <c r="W3298" t="s">
        <v>7362</v>
      </c>
      <c r="X3298" t="s">
        <v>7375</v>
      </c>
      <c r="Z3298" t="s">
        <v>9801</v>
      </c>
      <c r="AB3298" t="s">
        <v>12384</v>
      </c>
      <c r="AC3298">
        <v>82</v>
      </c>
      <c r="AD3298" t="s">
        <v>12422</v>
      </c>
      <c r="AE3298" t="s">
        <v>6110</v>
      </c>
      <c r="AF3298">
        <v>1</v>
      </c>
      <c r="AG3298">
        <v>1</v>
      </c>
      <c r="AH3298">
        <v>0</v>
      </c>
      <c r="AI3298">
        <v>568.37</v>
      </c>
      <c r="AL3298" t="s">
        <v>12460</v>
      </c>
      <c r="AM3298">
        <v>69000</v>
      </c>
      <c r="AN3298" t="s">
        <v>12491</v>
      </c>
      <c r="AS3298">
        <v>0</v>
      </c>
      <c r="AU3298" t="s">
        <v>218</v>
      </c>
    </row>
    <row r="3299" spans="1:48">
      <c r="A3299" s="1">
        <f>HYPERLINK("https://cms.ls-nyc.org/matter/dynamic-profile/view/1887688","19-1887688")</f>
        <v>0</v>
      </c>
      <c r="B3299" t="s">
        <v>92</v>
      </c>
      <c r="C3299" t="s">
        <v>492</v>
      </c>
      <c r="D3299" t="s">
        <v>472</v>
      </c>
      <c r="E3299" t="s">
        <v>698</v>
      </c>
      <c r="F3299" t="s">
        <v>2154</v>
      </c>
      <c r="G3299" t="s">
        <v>4991</v>
      </c>
      <c r="H3299" t="s">
        <v>5359</v>
      </c>
      <c r="I3299" t="s">
        <v>6043</v>
      </c>
      <c r="J3299">
        <v>11233</v>
      </c>
      <c r="K3299" t="s">
        <v>6074</v>
      </c>
      <c r="L3299" t="s">
        <v>6074</v>
      </c>
      <c r="M3299" t="s">
        <v>7188</v>
      </c>
      <c r="N3299" t="s">
        <v>7279</v>
      </c>
      <c r="O3299" t="s">
        <v>7311</v>
      </c>
      <c r="P3299" t="s">
        <v>7321</v>
      </c>
      <c r="Q3299" t="s">
        <v>7322</v>
      </c>
      <c r="R3299" t="s">
        <v>6074</v>
      </c>
      <c r="S3299" t="s">
        <v>7324</v>
      </c>
      <c r="U3299" t="s">
        <v>7344</v>
      </c>
      <c r="V3299">
        <v>840</v>
      </c>
      <c r="W3299" t="s">
        <v>7362</v>
      </c>
      <c r="X3299" t="s">
        <v>7372</v>
      </c>
      <c r="Y3299" t="s">
        <v>7387</v>
      </c>
      <c r="Z3299" t="s">
        <v>9802</v>
      </c>
      <c r="AB3299" t="s">
        <v>12385</v>
      </c>
      <c r="AC3299">
        <v>7</v>
      </c>
      <c r="AD3299" t="s">
        <v>12422</v>
      </c>
      <c r="AE3299" t="s">
        <v>6110</v>
      </c>
      <c r="AF3299">
        <v>30</v>
      </c>
      <c r="AG3299">
        <v>1</v>
      </c>
      <c r="AH3299">
        <v>0</v>
      </c>
      <c r="AI3299">
        <v>576.61</v>
      </c>
      <c r="AL3299" t="s">
        <v>12460</v>
      </c>
      <c r="AM3299">
        <v>70000</v>
      </c>
      <c r="AP3299" t="s">
        <v>12908</v>
      </c>
      <c r="AS3299">
        <v>0.5</v>
      </c>
      <c r="AT3299" t="s">
        <v>492</v>
      </c>
      <c r="AU3299" t="s">
        <v>180</v>
      </c>
    </row>
    <row r="3300" spans="1:48">
      <c r="A3300" s="1">
        <f>HYPERLINK("https://cms.ls-nyc.org/matter/dynamic-profile/view/1887691","19-1887691")</f>
        <v>0</v>
      </c>
      <c r="B3300" t="s">
        <v>92</v>
      </c>
      <c r="C3300" t="s">
        <v>492</v>
      </c>
      <c r="D3300" t="s">
        <v>324</v>
      </c>
      <c r="E3300" t="s">
        <v>698</v>
      </c>
      <c r="F3300" t="s">
        <v>2154</v>
      </c>
      <c r="G3300" t="s">
        <v>4991</v>
      </c>
      <c r="H3300" t="s">
        <v>5359</v>
      </c>
      <c r="I3300" t="s">
        <v>6043</v>
      </c>
      <c r="J3300">
        <v>11233</v>
      </c>
      <c r="K3300" t="s">
        <v>6074</v>
      </c>
      <c r="L3300" t="s">
        <v>6074</v>
      </c>
      <c r="M3300" t="s">
        <v>7271</v>
      </c>
      <c r="N3300" t="s">
        <v>7279</v>
      </c>
      <c r="O3300" t="s">
        <v>7311</v>
      </c>
      <c r="P3300" t="s">
        <v>7321</v>
      </c>
      <c r="Q3300" t="s">
        <v>7322</v>
      </c>
      <c r="R3300" t="s">
        <v>6074</v>
      </c>
      <c r="S3300" t="s">
        <v>7324</v>
      </c>
      <c r="U3300" t="s">
        <v>442</v>
      </c>
      <c r="V3300">
        <v>840</v>
      </c>
      <c r="W3300" t="s">
        <v>7362</v>
      </c>
      <c r="X3300" t="s">
        <v>7372</v>
      </c>
      <c r="Y3300" t="s">
        <v>7394</v>
      </c>
      <c r="Z3300" t="s">
        <v>9802</v>
      </c>
      <c r="AB3300" t="s">
        <v>12385</v>
      </c>
      <c r="AC3300">
        <v>7</v>
      </c>
      <c r="AD3300" t="s">
        <v>12422</v>
      </c>
      <c r="AE3300" t="s">
        <v>6110</v>
      </c>
      <c r="AF3300">
        <v>30</v>
      </c>
      <c r="AG3300">
        <v>1</v>
      </c>
      <c r="AH3300">
        <v>0</v>
      </c>
      <c r="AI3300">
        <v>576.61</v>
      </c>
      <c r="AL3300" t="s">
        <v>12460</v>
      </c>
      <c r="AM3300">
        <v>70000</v>
      </c>
      <c r="AS3300">
        <v>0.5</v>
      </c>
      <c r="AT3300" t="s">
        <v>382</v>
      </c>
      <c r="AU3300" t="s">
        <v>180</v>
      </c>
      <c r="AV3300" t="s">
        <v>13145</v>
      </c>
    </row>
    <row r="3301" spans="1:48">
      <c r="A3301" s="1">
        <f>HYPERLINK("https://cms.ls-nyc.org/matter/dynamic-profile/view/1876591","18-1876591")</f>
        <v>0</v>
      </c>
      <c r="B3301" t="s">
        <v>90</v>
      </c>
      <c r="C3301" t="s">
        <v>243</v>
      </c>
      <c r="E3301" t="s">
        <v>2025</v>
      </c>
      <c r="F3301" t="s">
        <v>2475</v>
      </c>
      <c r="G3301" t="s">
        <v>4507</v>
      </c>
      <c r="H3301" t="s">
        <v>5363</v>
      </c>
      <c r="I3301" t="s">
        <v>6043</v>
      </c>
      <c r="J3301">
        <v>11216</v>
      </c>
      <c r="K3301" t="s">
        <v>6074</v>
      </c>
      <c r="L3301" t="s">
        <v>6074</v>
      </c>
      <c r="N3301" t="s">
        <v>7282</v>
      </c>
      <c r="O3301" t="s">
        <v>7308</v>
      </c>
      <c r="Q3301" t="s">
        <v>7322</v>
      </c>
      <c r="R3301" t="s">
        <v>6074</v>
      </c>
      <c r="S3301" t="s">
        <v>7324</v>
      </c>
      <c r="U3301" t="s">
        <v>480</v>
      </c>
      <c r="V3301">
        <v>1500</v>
      </c>
      <c r="W3301" t="s">
        <v>7362</v>
      </c>
      <c r="X3301" t="s">
        <v>7375</v>
      </c>
      <c r="Z3301" t="s">
        <v>9803</v>
      </c>
      <c r="AC3301">
        <v>8</v>
      </c>
      <c r="AD3301" t="s">
        <v>12422</v>
      </c>
      <c r="AE3301" t="s">
        <v>6110</v>
      </c>
      <c r="AF3301">
        <v>1</v>
      </c>
      <c r="AG3301">
        <v>1</v>
      </c>
      <c r="AH3301">
        <v>0</v>
      </c>
      <c r="AI3301">
        <v>576.61</v>
      </c>
      <c r="AL3301" t="s">
        <v>12460</v>
      </c>
      <c r="AM3301">
        <v>70000</v>
      </c>
      <c r="AN3301" t="s">
        <v>12532</v>
      </c>
      <c r="AS3301">
        <v>0</v>
      </c>
      <c r="AU3301" t="s">
        <v>218</v>
      </c>
    </row>
    <row r="3302" spans="1:48">
      <c r="A3302" s="1">
        <f>HYPERLINK("https://cms.ls-nyc.org/matter/dynamic-profile/view/1876587","18-1876587")</f>
        <v>0</v>
      </c>
      <c r="B3302" t="s">
        <v>90</v>
      </c>
      <c r="C3302" t="s">
        <v>243</v>
      </c>
      <c r="E3302" t="s">
        <v>2025</v>
      </c>
      <c r="F3302" t="s">
        <v>2475</v>
      </c>
      <c r="G3302" t="s">
        <v>4507</v>
      </c>
      <c r="H3302" t="s">
        <v>5363</v>
      </c>
      <c r="I3302" t="s">
        <v>6043</v>
      </c>
      <c r="J3302">
        <v>11216</v>
      </c>
      <c r="K3302" t="s">
        <v>6074</v>
      </c>
      <c r="L3302" t="s">
        <v>6074</v>
      </c>
      <c r="N3302" t="s">
        <v>6104</v>
      </c>
      <c r="O3302" t="s">
        <v>7307</v>
      </c>
      <c r="Q3302" t="s">
        <v>7322</v>
      </c>
      <c r="R3302" t="s">
        <v>6074</v>
      </c>
      <c r="S3302" t="s">
        <v>7324</v>
      </c>
      <c r="U3302" t="s">
        <v>480</v>
      </c>
      <c r="V3302">
        <v>1500</v>
      </c>
      <c r="W3302" t="s">
        <v>7362</v>
      </c>
      <c r="X3302" t="s">
        <v>7375</v>
      </c>
      <c r="Z3302" t="s">
        <v>9803</v>
      </c>
      <c r="AC3302">
        <v>8</v>
      </c>
      <c r="AD3302" t="s">
        <v>12422</v>
      </c>
      <c r="AE3302" t="s">
        <v>6110</v>
      </c>
      <c r="AF3302">
        <v>1</v>
      </c>
      <c r="AG3302">
        <v>1</v>
      </c>
      <c r="AH3302">
        <v>0</v>
      </c>
      <c r="AI3302">
        <v>576.61</v>
      </c>
      <c r="AL3302" t="s">
        <v>12460</v>
      </c>
      <c r="AM3302">
        <v>70000</v>
      </c>
      <c r="AN3302" t="s">
        <v>12532</v>
      </c>
      <c r="AS3302">
        <v>0</v>
      </c>
      <c r="AU3302" t="s">
        <v>218</v>
      </c>
    </row>
    <row r="3303" spans="1:48">
      <c r="A3303" s="1">
        <f>HYPERLINK("https://cms.ls-nyc.org/matter/dynamic-profile/view/1875224","18-1875224")</f>
        <v>0</v>
      </c>
      <c r="B3303" t="s">
        <v>51</v>
      </c>
      <c r="C3303" t="s">
        <v>427</v>
      </c>
      <c r="D3303" t="s">
        <v>282</v>
      </c>
      <c r="E3303" t="s">
        <v>2026</v>
      </c>
      <c r="F3303" t="s">
        <v>3614</v>
      </c>
      <c r="G3303" t="s">
        <v>5331</v>
      </c>
      <c r="H3303">
        <v>1704</v>
      </c>
      <c r="I3303" t="s">
        <v>6045</v>
      </c>
      <c r="J3303">
        <v>11101</v>
      </c>
      <c r="K3303" t="s">
        <v>6074</v>
      </c>
      <c r="L3303" t="s">
        <v>6074</v>
      </c>
      <c r="M3303" t="s">
        <v>6101</v>
      </c>
      <c r="N3303" t="s">
        <v>6104</v>
      </c>
      <c r="O3303" t="s">
        <v>7306</v>
      </c>
      <c r="P3303" t="s">
        <v>7314</v>
      </c>
      <c r="Q3303" t="s">
        <v>7323</v>
      </c>
      <c r="R3303" t="s">
        <v>6076</v>
      </c>
      <c r="S3303" t="s">
        <v>7326</v>
      </c>
      <c r="T3303" t="s">
        <v>7336</v>
      </c>
      <c r="U3303" t="s">
        <v>427</v>
      </c>
      <c r="V3303">
        <v>3000</v>
      </c>
      <c r="W3303" t="s">
        <v>7361</v>
      </c>
      <c r="X3303" t="s">
        <v>7369</v>
      </c>
      <c r="Y3303" t="s">
        <v>7386</v>
      </c>
      <c r="Z3303" t="s">
        <v>9804</v>
      </c>
      <c r="AB3303" t="s">
        <v>12386</v>
      </c>
      <c r="AC3303">
        <v>60</v>
      </c>
      <c r="AD3303" t="s">
        <v>12422</v>
      </c>
      <c r="AE3303" t="s">
        <v>6110</v>
      </c>
      <c r="AF3303">
        <v>5</v>
      </c>
      <c r="AG3303">
        <v>1</v>
      </c>
      <c r="AH3303">
        <v>0</v>
      </c>
      <c r="AI3303">
        <v>576.61</v>
      </c>
      <c r="AJ3303" t="s">
        <v>12443</v>
      </c>
      <c r="AK3303" t="s">
        <v>12455</v>
      </c>
      <c r="AL3303" t="s">
        <v>12460</v>
      </c>
      <c r="AM3303">
        <v>70000</v>
      </c>
      <c r="AS3303">
        <v>2.05</v>
      </c>
      <c r="AT3303" t="s">
        <v>357</v>
      </c>
      <c r="AU3303" t="s">
        <v>51</v>
      </c>
    </row>
    <row r="3304" spans="1:48">
      <c r="A3304" s="1">
        <f>HYPERLINK("https://cms.ls-nyc.org/matter/dynamic-profile/view/1890830","19-1890830")</f>
        <v>0</v>
      </c>
      <c r="B3304" t="s">
        <v>133</v>
      </c>
      <c r="C3304" t="s">
        <v>251</v>
      </c>
      <c r="E3304" t="s">
        <v>860</v>
      </c>
      <c r="F3304" t="s">
        <v>2265</v>
      </c>
      <c r="G3304" t="s">
        <v>4839</v>
      </c>
      <c r="H3304" t="s">
        <v>5398</v>
      </c>
      <c r="I3304" t="s">
        <v>6049</v>
      </c>
      <c r="J3304">
        <v>10033</v>
      </c>
      <c r="K3304" t="s">
        <v>6074</v>
      </c>
      <c r="L3304" t="s">
        <v>6074</v>
      </c>
      <c r="O3304" t="s">
        <v>7306</v>
      </c>
      <c r="Q3304" t="s">
        <v>7322</v>
      </c>
      <c r="R3304" t="s">
        <v>6074</v>
      </c>
      <c r="S3304" t="s">
        <v>7324</v>
      </c>
      <c r="U3304" t="s">
        <v>251</v>
      </c>
      <c r="V3304">
        <v>1450</v>
      </c>
      <c r="W3304" t="s">
        <v>7365</v>
      </c>
      <c r="X3304" t="s">
        <v>7371</v>
      </c>
      <c r="Z3304" t="s">
        <v>9805</v>
      </c>
      <c r="AB3304" t="s">
        <v>12387</v>
      </c>
      <c r="AC3304">
        <v>60</v>
      </c>
      <c r="AD3304" t="s">
        <v>12422</v>
      </c>
      <c r="AE3304" t="s">
        <v>6110</v>
      </c>
      <c r="AF3304">
        <v>27</v>
      </c>
      <c r="AG3304">
        <v>3</v>
      </c>
      <c r="AH3304">
        <v>0</v>
      </c>
      <c r="AI3304">
        <v>576.65</v>
      </c>
      <c r="AL3304" t="s">
        <v>12460</v>
      </c>
      <c r="AM3304">
        <v>123000</v>
      </c>
      <c r="AS3304">
        <v>0</v>
      </c>
      <c r="AU3304" t="s">
        <v>13106</v>
      </c>
    </row>
    <row r="3305" spans="1:48">
      <c r="A3305" s="1">
        <f>HYPERLINK("https://cms.ls-nyc.org/matter/dynamic-profile/view/1876808","18-1876808")</f>
        <v>0</v>
      </c>
      <c r="B3305" t="s">
        <v>90</v>
      </c>
      <c r="C3305" t="s">
        <v>238</v>
      </c>
      <c r="E3305" t="s">
        <v>2027</v>
      </c>
      <c r="F3305" t="s">
        <v>2889</v>
      </c>
      <c r="G3305" t="s">
        <v>4507</v>
      </c>
      <c r="H3305" t="s">
        <v>5489</v>
      </c>
      <c r="I3305" t="s">
        <v>6043</v>
      </c>
      <c r="J3305">
        <v>11216</v>
      </c>
      <c r="K3305" t="s">
        <v>6074</v>
      </c>
      <c r="L3305" t="s">
        <v>6074</v>
      </c>
      <c r="N3305" t="s">
        <v>7282</v>
      </c>
      <c r="O3305" t="s">
        <v>7308</v>
      </c>
      <c r="Q3305" t="s">
        <v>7322</v>
      </c>
      <c r="R3305" t="s">
        <v>6074</v>
      </c>
      <c r="S3305" t="s">
        <v>7324</v>
      </c>
      <c r="U3305" t="s">
        <v>237</v>
      </c>
      <c r="V3305">
        <v>1350</v>
      </c>
      <c r="W3305" t="s">
        <v>7362</v>
      </c>
      <c r="X3305" t="s">
        <v>7375</v>
      </c>
      <c r="Z3305" t="s">
        <v>9806</v>
      </c>
      <c r="AB3305" t="s">
        <v>12388</v>
      </c>
      <c r="AC3305">
        <v>82</v>
      </c>
      <c r="AD3305" t="s">
        <v>12422</v>
      </c>
      <c r="AE3305" t="s">
        <v>6110</v>
      </c>
      <c r="AF3305">
        <v>1</v>
      </c>
      <c r="AG3305">
        <v>1</v>
      </c>
      <c r="AH3305">
        <v>0</v>
      </c>
      <c r="AI3305">
        <v>577.11</v>
      </c>
      <c r="AL3305" t="s">
        <v>12460</v>
      </c>
      <c r="AM3305">
        <v>70061</v>
      </c>
      <c r="AN3305" t="s">
        <v>12532</v>
      </c>
      <c r="AS3305">
        <v>0</v>
      </c>
      <c r="AU3305" t="s">
        <v>218</v>
      </c>
    </row>
    <row r="3306" spans="1:48">
      <c r="A3306" s="1">
        <f>HYPERLINK("https://cms.ls-nyc.org/matter/dynamic-profile/view/1876806","18-1876806")</f>
        <v>0</v>
      </c>
      <c r="B3306" t="s">
        <v>90</v>
      </c>
      <c r="C3306" t="s">
        <v>238</v>
      </c>
      <c r="E3306" t="s">
        <v>2027</v>
      </c>
      <c r="F3306" t="s">
        <v>2889</v>
      </c>
      <c r="G3306" t="s">
        <v>4507</v>
      </c>
      <c r="H3306" t="s">
        <v>5489</v>
      </c>
      <c r="I3306" t="s">
        <v>6043</v>
      </c>
      <c r="J3306">
        <v>11216</v>
      </c>
      <c r="K3306" t="s">
        <v>6074</v>
      </c>
      <c r="L3306" t="s">
        <v>6074</v>
      </c>
      <c r="N3306" t="s">
        <v>6104</v>
      </c>
      <c r="O3306" t="s">
        <v>7307</v>
      </c>
      <c r="Q3306" t="s">
        <v>7322</v>
      </c>
      <c r="R3306" t="s">
        <v>6074</v>
      </c>
      <c r="S3306" t="s">
        <v>7324</v>
      </c>
      <c r="U3306" t="s">
        <v>237</v>
      </c>
      <c r="V3306">
        <v>1350</v>
      </c>
      <c r="W3306" t="s">
        <v>7362</v>
      </c>
      <c r="X3306" t="s">
        <v>7375</v>
      </c>
      <c r="Z3306" t="s">
        <v>9806</v>
      </c>
      <c r="AB3306" t="s">
        <v>12388</v>
      </c>
      <c r="AC3306">
        <v>82</v>
      </c>
      <c r="AD3306" t="s">
        <v>12422</v>
      </c>
      <c r="AE3306" t="s">
        <v>6110</v>
      </c>
      <c r="AF3306">
        <v>1</v>
      </c>
      <c r="AG3306">
        <v>1</v>
      </c>
      <c r="AH3306">
        <v>0</v>
      </c>
      <c r="AI3306">
        <v>577.11</v>
      </c>
      <c r="AL3306" t="s">
        <v>12460</v>
      </c>
      <c r="AM3306">
        <v>70061</v>
      </c>
      <c r="AN3306" t="s">
        <v>12532</v>
      </c>
      <c r="AS3306">
        <v>0.1</v>
      </c>
      <c r="AT3306" t="s">
        <v>309</v>
      </c>
      <c r="AU3306" t="s">
        <v>218</v>
      </c>
    </row>
    <row r="3307" spans="1:48">
      <c r="A3307" s="1">
        <f>HYPERLINK("https://cms.ls-nyc.org/matter/dynamic-profile/view/1891992","19-1891992")</f>
        <v>0</v>
      </c>
      <c r="B3307" t="s">
        <v>110</v>
      </c>
      <c r="C3307" t="s">
        <v>285</v>
      </c>
      <c r="D3307" t="s">
        <v>526</v>
      </c>
      <c r="E3307" t="s">
        <v>911</v>
      </c>
      <c r="F3307" t="s">
        <v>3615</v>
      </c>
      <c r="G3307" t="s">
        <v>5332</v>
      </c>
      <c r="H3307" t="s">
        <v>5379</v>
      </c>
      <c r="I3307" t="s">
        <v>6047</v>
      </c>
      <c r="J3307">
        <v>10462</v>
      </c>
      <c r="K3307" t="s">
        <v>6074</v>
      </c>
      <c r="L3307" t="s">
        <v>6074</v>
      </c>
      <c r="N3307" t="s">
        <v>7279</v>
      </c>
      <c r="O3307" t="s">
        <v>7306</v>
      </c>
      <c r="P3307" t="s">
        <v>7314</v>
      </c>
      <c r="Q3307" t="s">
        <v>7322</v>
      </c>
      <c r="R3307" t="s">
        <v>6076</v>
      </c>
      <c r="S3307" t="s">
        <v>7324</v>
      </c>
      <c r="U3307" t="s">
        <v>285</v>
      </c>
      <c r="V3307">
        <v>1900</v>
      </c>
      <c r="W3307" t="s">
        <v>7363</v>
      </c>
      <c r="X3307" t="s">
        <v>7376</v>
      </c>
      <c r="Y3307" t="s">
        <v>7386</v>
      </c>
      <c r="Z3307" t="s">
        <v>9807</v>
      </c>
      <c r="AB3307" t="s">
        <v>12389</v>
      </c>
      <c r="AC3307">
        <v>133</v>
      </c>
      <c r="AD3307" t="s">
        <v>12422</v>
      </c>
      <c r="AE3307" t="s">
        <v>6110</v>
      </c>
      <c r="AF3307">
        <v>5</v>
      </c>
      <c r="AG3307">
        <v>2</v>
      </c>
      <c r="AH3307">
        <v>2</v>
      </c>
      <c r="AI3307">
        <v>578.64</v>
      </c>
      <c r="AL3307" t="s">
        <v>12460</v>
      </c>
      <c r="AM3307">
        <v>149000</v>
      </c>
      <c r="AS3307">
        <v>0.1</v>
      </c>
      <c r="AT3307" t="s">
        <v>526</v>
      </c>
      <c r="AU3307" t="s">
        <v>13092</v>
      </c>
    </row>
    <row r="3308" spans="1:48">
      <c r="A3308" s="1">
        <f>HYPERLINK("https://cms.ls-nyc.org/matter/dynamic-profile/view/1871583","18-1871583")</f>
        <v>0</v>
      </c>
      <c r="B3308" t="s">
        <v>128</v>
      </c>
      <c r="C3308" t="s">
        <v>374</v>
      </c>
      <c r="E3308" t="s">
        <v>720</v>
      </c>
      <c r="F3308" t="s">
        <v>3616</v>
      </c>
      <c r="G3308" t="s">
        <v>3838</v>
      </c>
      <c r="H3308" t="s">
        <v>5522</v>
      </c>
      <c r="I3308" t="s">
        <v>6049</v>
      </c>
      <c r="J3308">
        <v>10034</v>
      </c>
      <c r="K3308" t="s">
        <v>6074</v>
      </c>
      <c r="L3308" t="s">
        <v>6074</v>
      </c>
      <c r="M3308" t="s">
        <v>6377</v>
      </c>
      <c r="N3308" t="s">
        <v>7273</v>
      </c>
      <c r="O3308" t="s">
        <v>7308</v>
      </c>
      <c r="Q3308" t="s">
        <v>7322</v>
      </c>
      <c r="R3308" t="s">
        <v>6074</v>
      </c>
      <c r="S3308" t="s">
        <v>7324</v>
      </c>
      <c r="U3308" t="s">
        <v>374</v>
      </c>
      <c r="V3308">
        <v>1595</v>
      </c>
      <c r="W3308" t="s">
        <v>7365</v>
      </c>
      <c r="X3308" t="s">
        <v>7367</v>
      </c>
      <c r="Z3308" t="s">
        <v>9808</v>
      </c>
      <c r="AC3308">
        <v>67</v>
      </c>
      <c r="AD3308" t="s">
        <v>12422</v>
      </c>
      <c r="AE3308" t="s">
        <v>6110</v>
      </c>
      <c r="AF3308">
        <v>1</v>
      </c>
      <c r="AG3308">
        <v>1</v>
      </c>
      <c r="AH3308">
        <v>0</v>
      </c>
      <c r="AI3308">
        <v>589.36</v>
      </c>
      <c r="AL3308" t="s">
        <v>12460</v>
      </c>
      <c r="AM3308">
        <v>71548</v>
      </c>
      <c r="AS3308">
        <v>0.2</v>
      </c>
      <c r="AT3308" t="s">
        <v>483</v>
      </c>
      <c r="AU3308" t="s">
        <v>13106</v>
      </c>
    </row>
    <row r="3309" spans="1:48">
      <c r="A3309" s="1">
        <f>HYPERLINK("https://cms.ls-nyc.org/matter/dynamic-profile/view/1894437","19-1894437")</f>
        <v>0</v>
      </c>
      <c r="B3309" t="s">
        <v>120</v>
      </c>
      <c r="C3309" t="s">
        <v>235</v>
      </c>
      <c r="D3309" t="s">
        <v>424</v>
      </c>
      <c r="E3309" t="s">
        <v>1423</v>
      </c>
      <c r="F3309" t="s">
        <v>2318</v>
      </c>
      <c r="G3309" t="s">
        <v>5333</v>
      </c>
      <c r="I3309" t="s">
        <v>6048</v>
      </c>
      <c r="J3309">
        <v>10310</v>
      </c>
      <c r="K3309" t="s">
        <v>6074</v>
      </c>
      <c r="L3309" t="s">
        <v>6074</v>
      </c>
      <c r="M3309" t="s">
        <v>6081</v>
      </c>
      <c r="N3309" t="s">
        <v>6104</v>
      </c>
      <c r="O3309" t="s">
        <v>7306</v>
      </c>
      <c r="P3309" t="s">
        <v>7314</v>
      </c>
      <c r="Q3309" t="s">
        <v>7323</v>
      </c>
      <c r="R3309" t="s">
        <v>6076</v>
      </c>
      <c r="S3309" t="s">
        <v>7324</v>
      </c>
      <c r="T3309" t="s">
        <v>7336</v>
      </c>
      <c r="U3309" t="s">
        <v>392</v>
      </c>
      <c r="V3309">
        <v>0</v>
      </c>
      <c r="W3309" t="s">
        <v>7364</v>
      </c>
      <c r="X3309" t="s">
        <v>7369</v>
      </c>
      <c r="Y3309" t="s">
        <v>7386</v>
      </c>
      <c r="Z3309" t="s">
        <v>9809</v>
      </c>
      <c r="AC3309">
        <v>1</v>
      </c>
      <c r="AD3309" t="s">
        <v>12419</v>
      </c>
      <c r="AE3309" t="s">
        <v>6110</v>
      </c>
      <c r="AF3309">
        <v>2</v>
      </c>
      <c r="AG3309">
        <v>1</v>
      </c>
      <c r="AH3309">
        <v>1</v>
      </c>
      <c r="AI3309">
        <v>591.37</v>
      </c>
      <c r="AJ3309" t="s">
        <v>12443</v>
      </c>
      <c r="AK3309" t="s">
        <v>12455</v>
      </c>
      <c r="AM3309">
        <v>100000</v>
      </c>
      <c r="AS3309">
        <v>3</v>
      </c>
      <c r="AT3309" t="s">
        <v>347</v>
      </c>
      <c r="AU3309" t="s">
        <v>120</v>
      </c>
    </row>
    <row r="3310" spans="1:48">
      <c r="A3310" s="1">
        <f>HYPERLINK("https://cms.ls-nyc.org/matter/dynamic-profile/view/1891629","19-1891629")</f>
        <v>0</v>
      </c>
      <c r="B3310" t="s">
        <v>130</v>
      </c>
      <c r="C3310" t="s">
        <v>364</v>
      </c>
      <c r="D3310" t="s">
        <v>337</v>
      </c>
      <c r="E3310" t="s">
        <v>963</v>
      </c>
      <c r="F3310" t="s">
        <v>3617</v>
      </c>
      <c r="G3310" t="s">
        <v>5334</v>
      </c>
      <c r="H3310" t="s">
        <v>5868</v>
      </c>
      <c r="I3310" t="s">
        <v>6049</v>
      </c>
      <c r="J3310">
        <v>10032</v>
      </c>
      <c r="K3310" t="s">
        <v>6074</v>
      </c>
      <c r="L3310" t="s">
        <v>6074</v>
      </c>
      <c r="N3310" t="s">
        <v>7276</v>
      </c>
      <c r="O3310" t="s">
        <v>7306</v>
      </c>
      <c r="P3310" t="s">
        <v>7314</v>
      </c>
      <c r="Q3310" t="s">
        <v>7322</v>
      </c>
      <c r="R3310" t="s">
        <v>6076</v>
      </c>
      <c r="S3310" t="s">
        <v>7324</v>
      </c>
      <c r="U3310" t="s">
        <v>7356</v>
      </c>
      <c r="V3310">
        <v>2182</v>
      </c>
      <c r="W3310" t="s">
        <v>7365</v>
      </c>
      <c r="X3310" t="s">
        <v>7367</v>
      </c>
      <c r="Y3310" t="s">
        <v>7386</v>
      </c>
      <c r="Z3310" t="s">
        <v>9810</v>
      </c>
      <c r="AC3310">
        <v>74</v>
      </c>
      <c r="AD3310" t="s">
        <v>12422</v>
      </c>
      <c r="AE3310" t="s">
        <v>6110</v>
      </c>
      <c r="AF3310">
        <v>16</v>
      </c>
      <c r="AG3310">
        <v>1</v>
      </c>
      <c r="AH3310">
        <v>1</v>
      </c>
      <c r="AI3310">
        <v>591.37</v>
      </c>
      <c r="AL3310" t="s">
        <v>12460</v>
      </c>
      <c r="AM3310">
        <v>100000</v>
      </c>
      <c r="AS3310">
        <v>1</v>
      </c>
      <c r="AT3310" t="s">
        <v>364</v>
      </c>
      <c r="AU3310" t="s">
        <v>13108</v>
      </c>
    </row>
    <row r="3311" spans="1:48">
      <c r="A3311" s="1">
        <f>HYPERLINK("https://cms.ls-nyc.org/matter/dynamic-profile/view/1886348","18-1886348")</f>
        <v>0</v>
      </c>
      <c r="B3311" t="s">
        <v>90</v>
      </c>
      <c r="C3311" t="s">
        <v>443</v>
      </c>
      <c r="D3311" t="s">
        <v>346</v>
      </c>
      <c r="E3311" t="s">
        <v>1167</v>
      </c>
      <c r="F3311" t="s">
        <v>3618</v>
      </c>
      <c r="G3311" t="s">
        <v>5335</v>
      </c>
      <c r="H3311" t="s">
        <v>5462</v>
      </c>
      <c r="I3311" t="s">
        <v>6043</v>
      </c>
      <c r="J3311">
        <v>11225</v>
      </c>
      <c r="K3311" t="s">
        <v>6074</v>
      </c>
      <c r="L3311" t="s">
        <v>6074</v>
      </c>
      <c r="O3311" t="s">
        <v>7306</v>
      </c>
      <c r="P3311" t="s">
        <v>7314</v>
      </c>
      <c r="Q3311" t="s">
        <v>7322</v>
      </c>
      <c r="R3311" t="s">
        <v>6076</v>
      </c>
      <c r="S3311" t="s">
        <v>7324</v>
      </c>
      <c r="U3311" t="s">
        <v>462</v>
      </c>
      <c r="V3311">
        <v>1637.8</v>
      </c>
      <c r="W3311" t="s">
        <v>7362</v>
      </c>
      <c r="X3311" t="s">
        <v>7375</v>
      </c>
      <c r="Y3311" t="s">
        <v>7386</v>
      </c>
      <c r="Z3311" t="s">
        <v>9811</v>
      </c>
      <c r="AC3311">
        <v>75</v>
      </c>
      <c r="AD3311" t="s">
        <v>12422</v>
      </c>
      <c r="AE3311" t="s">
        <v>6110</v>
      </c>
      <c r="AF3311">
        <v>48</v>
      </c>
      <c r="AG3311">
        <v>1</v>
      </c>
      <c r="AH3311">
        <v>0</v>
      </c>
      <c r="AI3311">
        <v>593.08</v>
      </c>
      <c r="AL3311" t="s">
        <v>12460</v>
      </c>
      <c r="AM3311">
        <v>72000</v>
      </c>
      <c r="AS3311">
        <v>1</v>
      </c>
      <c r="AT3311" t="s">
        <v>346</v>
      </c>
      <c r="AU3311" t="s">
        <v>180</v>
      </c>
    </row>
    <row r="3312" spans="1:48">
      <c r="A3312" s="1">
        <f>HYPERLINK("https://cms.ls-nyc.org/matter/dynamic-profile/view/1887967","19-1887967")</f>
        <v>0</v>
      </c>
      <c r="B3312" t="s">
        <v>128</v>
      </c>
      <c r="C3312" t="s">
        <v>390</v>
      </c>
      <c r="E3312" t="s">
        <v>2028</v>
      </c>
      <c r="F3312" t="s">
        <v>3149</v>
      </c>
      <c r="G3312" t="s">
        <v>5336</v>
      </c>
      <c r="H3312">
        <v>4</v>
      </c>
      <c r="I3312" t="s">
        <v>6049</v>
      </c>
      <c r="J3312">
        <v>10034</v>
      </c>
      <c r="K3312" t="s">
        <v>6074</v>
      </c>
      <c r="L3312" t="s">
        <v>6074</v>
      </c>
      <c r="M3312" t="s">
        <v>6500</v>
      </c>
      <c r="N3312" t="s">
        <v>7273</v>
      </c>
      <c r="O3312" t="s">
        <v>7308</v>
      </c>
      <c r="Q3312" t="s">
        <v>7322</v>
      </c>
      <c r="R3312" t="s">
        <v>6074</v>
      </c>
      <c r="S3312" t="s">
        <v>7324</v>
      </c>
      <c r="U3312" t="s">
        <v>390</v>
      </c>
      <c r="V3312">
        <v>1614.34</v>
      </c>
      <c r="W3312" t="s">
        <v>7365</v>
      </c>
      <c r="X3312" t="s">
        <v>7367</v>
      </c>
      <c r="Z3312" t="s">
        <v>9812</v>
      </c>
      <c r="AB3312" t="s">
        <v>12390</v>
      </c>
      <c r="AC3312">
        <v>25</v>
      </c>
      <c r="AD3312" t="s">
        <v>12422</v>
      </c>
      <c r="AE3312" t="s">
        <v>6110</v>
      </c>
      <c r="AF3312">
        <v>8</v>
      </c>
      <c r="AG3312">
        <v>3</v>
      </c>
      <c r="AH3312">
        <v>0</v>
      </c>
      <c r="AI3312">
        <v>594.3200000000001</v>
      </c>
      <c r="AL3312" t="s">
        <v>12461</v>
      </c>
      <c r="AM3312">
        <v>123500</v>
      </c>
      <c r="AS3312">
        <v>0</v>
      </c>
      <c r="AU3312" t="s">
        <v>13106</v>
      </c>
    </row>
    <row r="3313" spans="1:48">
      <c r="A3313" s="1">
        <f>HYPERLINK("https://cms.ls-nyc.org/matter/dynamic-profile/view/1900598","19-1900598")</f>
        <v>0</v>
      </c>
      <c r="B3313" t="s">
        <v>83</v>
      </c>
      <c r="C3313" t="s">
        <v>260</v>
      </c>
      <c r="E3313" t="s">
        <v>877</v>
      </c>
      <c r="F3313" t="s">
        <v>3619</v>
      </c>
      <c r="G3313" t="s">
        <v>4209</v>
      </c>
      <c r="H3313" t="s">
        <v>5455</v>
      </c>
      <c r="I3313" t="s">
        <v>6043</v>
      </c>
      <c r="J3313">
        <v>11226</v>
      </c>
      <c r="K3313" t="s">
        <v>6074</v>
      </c>
      <c r="L3313" t="s">
        <v>6075</v>
      </c>
      <c r="Q3313" t="s">
        <v>7322</v>
      </c>
      <c r="S3313" t="s">
        <v>7324</v>
      </c>
      <c r="U3313" t="s">
        <v>260</v>
      </c>
      <c r="V3313">
        <v>0</v>
      </c>
      <c r="W3313" t="s">
        <v>7362</v>
      </c>
      <c r="Z3313" t="s">
        <v>9813</v>
      </c>
      <c r="AB3313" t="s">
        <v>12391</v>
      </c>
      <c r="AC3313">
        <v>0</v>
      </c>
      <c r="AF3313">
        <v>0</v>
      </c>
      <c r="AG3313">
        <v>2</v>
      </c>
      <c r="AH3313">
        <v>0</v>
      </c>
      <c r="AI3313">
        <v>603.1900000000001</v>
      </c>
      <c r="AL3313" t="s">
        <v>12460</v>
      </c>
      <c r="AM3313">
        <v>102000</v>
      </c>
      <c r="AS3313">
        <v>0.3</v>
      </c>
      <c r="AT3313" t="s">
        <v>260</v>
      </c>
      <c r="AU3313" t="s">
        <v>69</v>
      </c>
    </row>
    <row r="3314" spans="1:48">
      <c r="A3314" s="1">
        <f>HYPERLINK("https://cms.ls-nyc.org/matter/dynamic-profile/view/1878081","18-1878081")</f>
        <v>0</v>
      </c>
      <c r="B3314" t="s">
        <v>90</v>
      </c>
      <c r="C3314" t="s">
        <v>255</v>
      </c>
      <c r="E3314" t="s">
        <v>2029</v>
      </c>
      <c r="F3314" t="s">
        <v>3620</v>
      </c>
      <c r="G3314" t="s">
        <v>4507</v>
      </c>
      <c r="H3314" t="s">
        <v>5982</v>
      </c>
      <c r="I3314" t="s">
        <v>6043</v>
      </c>
      <c r="J3314">
        <v>11216</v>
      </c>
      <c r="K3314" t="s">
        <v>6074</v>
      </c>
      <c r="L3314" t="s">
        <v>6074</v>
      </c>
      <c r="N3314" t="s">
        <v>7282</v>
      </c>
      <c r="O3314" t="s">
        <v>7308</v>
      </c>
      <c r="Q3314" t="s">
        <v>7322</v>
      </c>
      <c r="R3314" t="s">
        <v>6074</v>
      </c>
      <c r="S3314" t="s">
        <v>7324</v>
      </c>
      <c r="U3314" t="s">
        <v>233</v>
      </c>
      <c r="V3314">
        <v>2300</v>
      </c>
      <c r="W3314" t="s">
        <v>7362</v>
      </c>
      <c r="X3314" t="s">
        <v>7375</v>
      </c>
      <c r="Z3314" t="s">
        <v>9814</v>
      </c>
      <c r="AB3314" t="s">
        <v>12392</v>
      </c>
      <c r="AC3314">
        <v>82</v>
      </c>
      <c r="AD3314" t="s">
        <v>12422</v>
      </c>
      <c r="AE3314" t="s">
        <v>6110</v>
      </c>
      <c r="AF3314">
        <v>3</v>
      </c>
      <c r="AG3314">
        <v>2</v>
      </c>
      <c r="AH3314">
        <v>0</v>
      </c>
      <c r="AI3314">
        <v>607.53</v>
      </c>
      <c r="AL3314" t="s">
        <v>12460</v>
      </c>
      <c r="AM3314">
        <v>100000</v>
      </c>
      <c r="AN3314" t="s">
        <v>12508</v>
      </c>
      <c r="AS3314">
        <v>0</v>
      </c>
      <c r="AU3314" t="s">
        <v>218</v>
      </c>
    </row>
    <row r="3315" spans="1:48">
      <c r="A3315" s="1">
        <f>HYPERLINK("https://cms.ls-nyc.org/matter/dynamic-profile/view/1878074","18-1878074")</f>
        <v>0</v>
      </c>
      <c r="B3315" t="s">
        <v>90</v>
      </c>
      <c r="C3315" t="s">
        <v>255</v>
      </c>
      <c r="E3315" t="s">
        <v>2029</v>
      </c>
      <c r="F3315" t="s">
        <v>3620</v>
      </c>
      <c r="G3315" t="s">
        <v>4507</v>
      </c>
      <c r="H3315" t="s">
        <v>5982</v>
      </c>
      <c r="I3315" t="s">
        <v>6043</v>
      </c>
      <c r="J3315">
        <v>11216</v>
      </c>
      <c r="K3315" t="s">
        <v>6074</v>
      </c>
      <c r="L3315" t="s">
        <v>6074</v>
      </c>
      <c r="N3315" t="s">
        <v>7275</v>
      </c>
      <c r="O3315" t="s">
        <v>7307</v>
      </c>
      <c r="Q3315" t="s">
        <v>7322</v>
      </c>
      <c r="R3315" t="s">
        <v>6074</v>
      </c>
      <c r="S3315" t="s">
        <v>7324</v>
      </c>
      <c r="U3315" t="s">
        <v>233</v>
      </c>
      <c r="V3315">
        <v>2300</v>
      </c>
      <c r="W3315" t="s">
        <v>7362</v>
      </c>
      <c r="X3315" t="s">
        <v>7375</v>
      </c>
      <c r="Z3315" t="s">
        <v>9814</v>
      </c>
      <c r="AB3315" t="s">
        <v>12392</v>
      </c>
      <c r="AC3315">
        <v>82</v>
      </c>
      <c r="AD3315" t="s">
        <v>12422</v>
      </c>
      <c r="AE3315" t="s">
        <v>6110</v>
      </c>
      <c r="AF3315">
        <v>3</v>
      </c>
      <c r="AG3315">
        <v>2</v>
      </c>
      <c r="AH3315">
        <v>0</v>
      </c>
      <c r="AI3315">
        <v>607.53</v>
      </c>
      <c r="AL3315" t="s">
        <v>12460</v>
      </c>
      <c r="AM3315">
        <v>100000</v>
      </c>
      <c r="AN3315" t="s">
        <v>12532</v>
      </c>
      <c r="AS3315">
        <v>0</v>
      </c>
      <c r="AU3315" t="s">
        <v>218</v>
      </c>
    </row>
    <row r="3316" spans="1:48">
      <c r="A3316" s="1">
        <f>HYPERLINK("https://cms.ls-nyc.org/matter/dynamic-profile/view/1890019","19-1890019")</f>
        <v>0</v>
      </c>
      <c r="B3316" t="s">
        <v>96</v>
      </c>
      <c r="C3316" t="s">
        <v>351</v>
      </c>
      <c r="E3316" t="s">
        <v>1308</v>
      </c>
      <c r="F3316" t="s">
        <v>3621</v>
      </c>
      <c r="G3316" t="s">
        <v>3792</v>
      </c>
      <c r="H3316" t="s">
        <v>5910</v>
      </c>
      <c r="I3316" t="s">
        <v>6047</v>
      </c>
      <c r="J3316">
        <v>10453</v>
      </c>
      <c r="K3316" t="s">
        <v>6074</v>
      </c>
      <c r="L3316" t="s">
        <v>6074</v>
      </c>
      <c r="N3316" t="s">
        <v>7279</v>
      </c>
      <c r="O3316" t="s">
        <v>7311</v>
      </c>
      <c r="Q3316" t="s">
        <v>7322</v>
      </c>
      <c r="R3316" t="s">
        <v>6074</v>
      </c>
      <c r="S3316" t="s">
        <v>7324</v>
      </c>
      <c r="U3316" t="s">
        <v>457</v>
      </c>
      <c r="V3316">
        <v>1058.89</v>
      </c>
      <c r="W3316" t="s">
        <v>7363</v>
      </c>
      <c r="X3316" t="s">
        <v>7376</v>
      </c>
      <c r="Z3316" t="s">
        <v>9815</v>
      </c>
      <c r="AB3316" t="s">
        <v>12393</v>
      </c>
      <c r="AC3316">
        <v>167</v>
      </c>
      <c r="AD3316" t="s">
        <v>12422</v>
      </c>
      <c r="AE3316" t="s">
        <v>6110</v>
      </c>
      <c r="AF3316">
        <v>18</v>
      </c>
      <c r="AG3316">
        <v>1</v>
      </c>
      <c r="AH3316">
        <v>0</v>
      </c>
      <c r="AI3316">
        <v>608.49</v>
      </c>
      <c r="AL3316" t="s">
        <v>12460</v>
      </c>
      <c r="AM3316">
        <v>76000</v>
      </c>
      <c r="AS3316">
        <v>0</v>
      </c>
      <c r="AU3316" t="s">
        <v>13092</v>
      </c>
    </row>
    <row r="3317" spans="1:48">
      <c r="A3317" s="1">
        <f>HYPERLINK("https://cms.ls-nyc.org/matter/dynamic-profile/view/1890015","19-1890015")</f>
        <v>0</v>
      </c>
      <c r="B3317" t="s">
        <v>96</v>
      </c>
      <c r="C3317" t="s">
        <v>351</v>
      </c>
      <c r="E3317" t="s">
        <v>1308</v>
      </c>
      <c r="F3317" t="s">
        <v>3621</v>
      </c>
      <c r="G3317" t="s">
        <v>3792</v>
      </c>
      <c r="H3317" t="s">
        <v>5910</v>
      </c>
      <c r="I3317" t="s">
        <v>6047</v>
      </c>
      <c r="J3317">
        <v>10453</v>
      </c>
      <c r="K3317" t="s">
        <v>6074</v>
      </c>
      <c r="L3317" t="s">
        <v>6074</v>
      </c>
      <c r="M3317" t="s">
        <v>6259</v>
      </c>
      <c r="N3317" t="s">
        <v>7273</v>
      </c>
      <c r="O3317" t="s">
        <v>7308</v>
      </c>
      <c r="Q3317" t="s">
        <v>7322</v>
      </c>
      <c r="R3317" t="s">
        <v>6074</v>
      </c>
      <c r="S3317" t="s">
        <v>7324</v>
      </c>
      <c r="U3317" t="s">
        <v>457</v>
      </c>
      <c r="V3317">
        <v>1058.89</v>
      </c>
      <c r="W3317" t="s">
        <v>7363</v>
      </c>
      <c r="X3317" t="s">
        <v>7376</v>
      </c>
      <c r="Z3317" t="s">
        <v>9815</v>
      </c>
      <c r="AB3317" t="s">
        <v>12393</v>
      </c>
      <c r="AC3317">
        <v>167</v>
      </c>
      <c r="AD3317" t="s">
        <v>12422</v>
      </c>
      <c r="AE3317" t="s">
        <v>6110</v>
      </c>
      <c r="AF3317">
        <v>18</v>
      </c>
      <c r="AG3317">
        <v>1</v>
      </c>
      <c r="AH3317">
        <v>0</v>
      </c>
      <c r="AI3317">
        <v>608.49</v>
      </c>
      <c r="AL3317" t="s">
        <v>12460</v>
      </c>
      <c r="AM3317">
        <v>76000</v>
      </c>
      <c r="AS3317">
        <v>0</v>
      </c>
      <c r="AU3317" t="s">
        <v>13092</v>
      </c>
    </row>
    <row r="3318" spans="1:48">
      <c r="A3318" s="1">
        <f>HYPERLINK("https://cms.ls-nyc.org/matter/dynamic-profile/view/1856593","18-1856593")</f>
        <v>0</v>
      </c>
      <c r="B3318" t="s">
        <v>146</v>
      </c>
      <c r="C3318" t="s">
        <v>551</v>
      </c>
      <c r="D3318" t="s">
        <v>434</v>
      </c>
      <c r="E3318" t="s">
        <v>1308</v>
      </c>
      <c r="F3318" t="s">
        <v>3504</v>
      </c>
      <c r="G3318" t="s">
        <v>5337</v>
      </c>
      <c r="H3318" t="s">
        <v>6020</v>
      </c>
      <c r="I3318" t="s">
        <v>6049</v>
      </c>
      <c r="J3318">
        <v>10128</v>
      </c>
      <c r="K3318" t="s">
        <v>6074</v>
      </c>
      <c r="L3318" t="s">
        <v>6075</v>
      </c>
      <c r="N3318" t="s">
        <v>6104</v>
      </c>
      <c r="O3318" t="s">
        <v>7307</v>
      </c>
      <c r="P3318" t="s">
        <v>7315</v>
      </c>
      <c r="Q3318" t="s">
        <v>7322</v>
      </c>
      <c r="R3318" t="s">
        <v>6076</v>
      </c>
      <c r="S3318" t="s">
        <v>7331</v>
      </c>
      <c r="U3318" t="s">
        <v>442</v>
      </c>
      <c r="V3318">
        <v>1355</v>
      </c>
      <c r="W3318" t="s">
        <v>7365</v>
      </c>
      <c r="X3318" t="s">
        <v>7367</v>
      </c>
      <c r="Y3318" t="s">
        <v>7386</v>
      </c>
      <c r="Z3318" t="s">
        <v>9816</v>
      </c>
      <c r="AB3318" t="s">
        <v>12394</v>
      </c>
      <c r="AC3318">
        <v>0</v>
      </c>
      <c r="AD3318" t="s">
        <v>12426</v>
      </c>
      <c r="AE3318" t="s">
        <v>6110</v>
      </c>
      <c r="AF3318">
        <v>33</v>
      </c>
      <c r="AG3318">
        <v>2</v>
      </c>
      <c r="AH3318">
        <v>0</v>
      </c>
      <c r="AI3318">
        <v>608.62</v>
      </c>
      <c r="AL3318" t="s">
        <v>12460</v>
      </c>
      <c r="AM3318">
        <v>98839.16</v>
      </c>
      <c r="AS3318">
        <v>10.1</v>
      </c>
      <c r="AT3318" t="s">
        <v>434</v>
      </c>
      <c r="AU3318" t="s">
        <v>13111</v>
      </c>
    </row>
    <row r="3319" spans="1:48">
      <c r="A3319" s="1">
        <f>HYPERLINK("https://cms.ls-nyc.org/matter/dynamic-profile/view/1877604","18-1877604")</f>
        <v>0</v>
      </c>
      <c r="B3319" t="s">
        <v>97</v>
      </c>
      <c r="C3319" t="s">
        <v>372</v>
      </c>
      <c r="D3319" t="s">
        <v>472</v>
      </c>
      <c r="E3319" t="s">
        <v>1370</v>
      </c>
      <c r="F3319" t="s">
        <v>2104</v>
      </c>
      <c r="G3319" t="s">
        <v>3805</v>
      </c>
      <c r="H3319" t="s">
        <v>5405</v>
      </c>
      <c r="I3319" t="s">
        <v>6047</v>
      </c>
      <c r="J3319">
        <v>10452</v>
      </c>
      <c r="K3319" t="s">
        <v>6074</v>
      </c>
      <c r="L3319" t="s">
        <v>6074</v>
      </c>
      <c r="N3319" t="s">
        <v>7273</v>
      </c>
      <c r="O3319" t="s">
        <v>7306</v>
      </c>
      <c r="P3319" t="s">
        <v>7314</v>
      </c>
      <c r="Q3319" t="s">
        <v>7322</v>
      </c>
      <c r="R3319" t="s">
        <v>6074</v>
      </c>
      <c r="S3319" t="s">
        <v>7324</v>
      </c>
      <c r="U3319" t="s">
        <v>472</v>
      </c>
      <c r="V3319">
        <v>1175</v>
      </c>
      <c r="W3319" t="s">
        <v>7363</v>
      </c>
      <c r="X3319" t="s">
        <v>7376</v>
      </c>
      <c r="Y3319" t="s">
        <v>7386</v>
      </c>
      <c r="Z3319" t="s">
        <v>9817</v>
      </c>
      <c r="AB3319" t="s">
        <v>12395</v>
      </c>
      <c r="AC3319">
        <v>149</v>
      </c>
      <c r="AD3319" t="s">
        <v>12422</v>
      </c>
      <c r="AE3319" t="s">
        <v>6110</v>
      </c>
      <c r="AF3319">
        <v>5</v>
      </c>
      <c r="AG3319">
        <v>1</v>
      </c>
      <c r="AH3319">
        <v>0</v>
      </c>
      <c r="AI3319">
        <v>617.79</v>
      </c>
      <c r="AL3319" t="s">
        <v>12460</v>
      </c>
      <c r="AM3319">
        <v>75000</v>
      </c>
      <c r="AS3319">
        <v>0.2</v>
      </c>
      <c r="AT3319" t="s">
        <v>492</v>
      </c>
      <c r="AU3319" t="s">
        <v>13099</v>
      </c>
    </row>
    <row r="3320" spans="1:48">
      <c r="A3320" s="1">
        <f>HYPERLINK("https://cms.ls-nyc.org/matter/dynamic-profile/view/1876344","18-1876344")</f>
        <v>0</v>
      </c>
      <c r="B3320" t="s">
        <v>96</v>
      </c>
      <c r="C3320" t="s">
        <v>253</v>
      </c>
      <c r="E3320" t="s">
        <v>679</v>
      </c>
      <c r="F3320" t="s">
        <v>2841</v>
      </c>
      <c r="G3320" t="s">
        <v>4152</v>
      </c>
      <c r="H3320" t="s">
        <v>5483</v>
      </c>
      <c r="I3320" t="s">
        <v>6047</v>
      </c>
      <c r="J3320">
        <v>10456</v>
      </c>
      <c r="K3320" t="s">
        <v>6074</v>
      </c>
      <c r="L3320" t="s">
        <v>6074</v>
      </c>
      <c r="M3320" t="s">
        <v>6446</v>
      </c>
      <c r="N3320" t="s">
        <v>7279</v>
      </c>
      <c r="O3320" t="s">
        <v>7311</v>
      </c>
      <c r="Q3320" t="s">
        <v>7322</v>
      </c>
      <c r="R3320" t="s">
        <v>6074</v>
      </c>
      <c r="S3320" t="s">
        <v>7324</v>
      </c>
      <c r="U3320" t="s">
        <v>502</v>
      </c>
      <c r="V3320">
        <v>1200</v>
      </c>
      <c r="W3320" t="s">
        <v>7363</v>
      </c>
      <c r="X3320" t="s">
        <v>7376</v>
      </c>
      <c r="Z3320" t="s">
        <v>8542</v>
      </c>
      <c r="AB3320" t="s">
        <v>11286</v>
      </c>
      <c r="AC3320">
        <v>61</v>
      </c>
      <c r="AD3320" t="s">
        <v>12422</v>
      </c>
      <c r="AE3320" t="s">
        <v>6110</v>
      </c>
      <c r="AF3320">
        <v>0</v>
      </c>
      <c r="AG3320">
        <v>2</v>
      </c>
      <c r="AH3320">
        <v>0</v>
      </c>
      <c r="AI3320">
        <v>625.15</v>
      </c>
      <c r="AL3320" t="s">
        <v>12460</v>
      </c>
      <c r="AM3320">
        <v>102900</v>
      </c>
      <c r="AS3320">
        <v>0</v>
      </c>
      <c r="AU3320" t="s">
        <v>13095</v>
      </c>
    </row>
    <row r="3321" spans="1:48">
      <c r="A3321" s="1">
        <f>HYPERLINK("https://cms.ls-nyc.org/matter/dynamic-profile/view/1891146","19-1891146")</f>
        <v>0</v>
      </c>
      <c r="B3321" t="s">
        <v>109</v>
      </c>
      <c r="C3321" t="s">
        <v>371</v>
      </c>
      <c r="E3321" t="s">
        <v>1578</v>
      </c>
      <c r="F3321" t="s">
        <v>3622</v>
      </c>
      <c r="G3321" t="s">
        <v>5277</v>
      </c>
      <c r="H3321" t="s">
        <v>5357</v>
      </c>
      <c r="I3321" t="s">
        <v>6047</v>
      </c>
      <c r="J3321">
        <v>10461</v>
      </c>
      <c r="K3321" t="s">
        <v>6074</v>
      </c>
      <c r="L3321" t="s">
        <v>6074</v>
      </c>
      <c r="N3321" t="s">
        <v>7279</v>
      </c>
      <c r="O3321" t="s">
        <v>7307</v>
      </c>
      <c r="Q3321" t="s">
        <v>7322</v>
      </c>
      <c r="R3321" t="s">
        <v>6074</v>
      </c>
      <c r="S3321" t="s">
        <v>7324</v>
      </c>
      <c r="U3321" t="s">
        <v>343</v>
      </c>
      <c r="V3321">
        <v>1450</v>
      </c>
      <c r="W3321" t="s">
        <v>7363</v>
      </c>
      <c r="X3321" t="s">
        <v>7376</v>
      </c>
      <c r="Z3321" t="s">
        <v>9818</v>
      </c>
      <c r="AC3321">
        <v>125</v>
      </c>
      <c r="AD3321" t="s">
        <v>12422</v>
      </c>
      <c r="AE3321" t="s">
        <v>6110</v>
      </c>
      <c r="AF3321">
        <v>1</v>
      </c>
      <c r="AG3321">
        <v>1</v>
      </c>
      <c r="AH3321">
        <v>0</v>
      </c>
      <c r="AI3321">
        <v>640.51</v>
      </c>
      <c r="AL3321" t="s">
        <v>12460</v>
      </c>
      <c r="AM3321">
        <v>80000</v>
      </c>
      <c r="AS3321">
        <v>0</v>
      </c>
      <c r="AU3321" t="s">
        <v>13092</v>
      </c>
    </row>
    <row r="3322" spans="1:48">
      <c r="A3322" s="1">
        <f>HYPERLINK("https://cms.ls-nyc.org/matter/dynamic-profile/view/1845585","17-1845585")</f>
        <v>0</v>
      </c>
      <c r="B3322" t="s">
        <v>206</v>
      </c>
      <c r="C3322" t="s">
        <v>552</v>
      </c>
      <c r="D3322" t="s">
        <v>357</v>
      </c>
      <c r="E3322" t="s">
        <v>2030</v>
      </c>
      <c r="F3322" t="s">
        <v>2898</v>
      </c>
      <c r="G3322" t="s">
        <v>5338</v>
      </c>
      <c r="H3322">
        <v>12</v>
      </c>
      <c r="I3322" t="s">
        <v>6049</v>
      </c>
      <c r="J3322">
        <v>10029</v>
      </c>
      <c r="K3322" t="s">
        <v>6074</v>
      </c>
      <c r="L3322" t="s">
        <v>6074</v>
      </c>
      <c r="N3322" t="s">
        <v>6104</v>
      </c>
      <c r="O3322" t="s">
        <v>7306</v>
      </c>
      <c r="P3322" t="s">
        <v>7314</v>
      </c>
      <c r="Q3322" t="s">
        <v>7322</v>
      </c>
      <c r="R3322" t="s">
        <v>6074</v>
      </c>
      <c r="S3322" t="s">
        <v>7324</v>
      </c>
      <c r="T3322" t="s">
        <v>7336</v>
      </c>
      <c r="U3322" t="s">
        <v>231</v>
      </c>
      <c r="V3322">
        <v>2500</v>
      </c>
      <c r="W3322" t="s">
        <v>7365</v>
      </c>
      <c r="X3322" t="s">
        <v>7375</v>
      </c>
      <c r="Y3322" t="s">
        <v>7386</v>
      </c>
      <c r="Z3322" t="s">
        <v>9819</v>
      </c>
      <c r="AB3322" t="s">
        <v>12396</v>
      </c>
      <c r="AC3322">
        <v>24</v>
      </c>
      <c r="AD3322" t="s">
        <v>6322</v>
      </c>
      <c r="AE3322" t="s">
        <v>6110</v>
      </c>
      <c r="AF3322">
        <v>4</v>
      </c>
      <c r="AG3322">
        <v>2</v>
      </c>
      <c r="AH3322">
        <v>0</v>
      </c>
      <c r="AI3322">
        <v>646.55</v>
      </c>
      <c r="AL3322" t="s">
        <v>12460</v>
      </c>
      <c r="AM3322">
        <v>105000</v>
      </c>
      <c r="AS3322">
        <v>1.7</v>
      </c>
      <c r="AT3322" t="s">
        <v>13076</v>
      </c>
      <c r="AU3322" t="s">
        <v>13107</v>
      </c>
    </row>
    <row r="3323" spans="1:48">
      <c r="A3323" s="1">
        <f>HYPERLINK("https://cms.ls-nyc.org/matter/dynamic-profile/view/1899107","19-1899107")</f>
        <v>0</v>
      </c>
      <c r="B3323" t="s">
        <v>109</v>
      </c>
      <c r="C3323" t="s">
        <v>254</v>
      </c>
      <c r="E3323" t="s">
        <v>737</v>
      </c>
      <c r="F3323" t="s">
        <v>2752</v>
      </c>
      <c r="G3323" t="s">
        <v>3927</v>
      </c>
      <c r="H3323" t="s">
        <v>5357</v>
      </c>
      <c r="I3323" t="s">
        <v>6047</v>
      </c>
      <c r="J3323">
        <v>10452</v>
      </c>
      <c r="K3323" t="s">
        <v>6074</v>
      </c>
      <c r="L3323" t="s">
        <v>6075</v>
      </c>
      <c r="N3323" t="s">
        <v>7279</v>
      </c>
      <c r="O3323" t="s">
        <v>7307</v>
      </c>
      <c r="Q3323" t="s">
        <v>7322</v>
      </c>
      <c r="R3323" t="s">
        <v>6074</v>
      </c>
      <c r="S3323" t="s">
        <v>7324</v>
      </c>
      <c r="U3323" t="s">
        <v>257</v>
      </c>
      <c r="V3323">
        <v>1677</v>
      </c>
      <c r="W3323" t="s">
        <v>7363</v>
      </c>
      <c r="X3323" t="s">
        <v>7376</v>
      </c>
      <c r="Z3323" t="s">
        <v>9820</v>
      </c>
      <c r="AC3323">
        <v>41</v>
      </c>
      <c r="AD3323" t="s">
        <v>12419</v>
      </c>
      <c r="AE3323" t="s">
        <v>6110</v>
      </c>
      <c r="AF3323">
        <v>4</v>
      </c>
      <c r="AG3323">
        <v>2</v>
      </c>
      <c r="AH3323">
        <v>1</v>
      </c>
      <c r="AI3323">
        <v>656.35</v>
      </c>
      <c r="AL3323" t="s">
        <v>12461</v>
      </c>
      <c r="AM3323">
        <v>140000</v>
      </c>
      <c r="AS3323">
        <v>0</v>
      </c>
      <c r="AU3323" t="s">
        <v>13092</v>
      </c>
      <c r="AV3323" t="s">
        <v>13145</v>
      </c>
    </row>
    <row r="3324" spans="1:48">
      <c r="A3324" s="1">
        <f>HYPERLINK("https://cms.ls-nyc.org/matter/dynamic-profile/view/1892318","19-1892318")</f>
        <v>0</v>
      </c>
      <c r="B3324" t="s">
        <v>81</v>
      </c>
      <c r="C3324" t="s">
        <v>359</v>
      </c>
      <c r="E3324" t="s">
        <v>2031</v>
      </c>
      <c r="F3324" t="s">
        <v>2839</v>
      </c>
      <c r="G3324" t="s">
        <v>3874</v>
      </c>
      <c r="H3324" t="s">
        <v>5390</v>
      </c>
      <c r="I3324" t="s">
        <v>6043</v>
      </c>
      <c r="J3324">
        <v>11225</v>
      </c>
      <c r="K3324" t="s">
        <v>6074</v>
      </c>
      <c r="L3324" t="s">
        <v>6074</v>
      </c>
      <c r="N3324" t="s">
        <v>7282</v>
      </c>
      <c r="O3324" t="s">
        <v>7308</v>
      </c>
      <c r="Q3324" t="s">
        <v>7322</v>
      </c>
      <c r="S3324" t="s">
        <v>7324</v>
      </c>
      <c r="U3324" t="s">
        <v>477</v>
      </c>
      <c r="V3324">
        <v>0</v>
      </c>
      <c r="W3324" t="s">
        <v>7362</v>
      </c>
      <c r="Z3324" t="s">
        <v>9821</v>
      </c>
      <c r="AB3324" t="s">
        <v>12397</v>
      </c>
      <c r="AC3324">
        <v>0</v>
      </c>
      <c r="AF3324">
        <v>0</v>
      </c>
      <c r="AG3324">
        <v>2</v>
      </c>
      <c r="AH3324">
        <v>0</v>
      </c>
      <c r="AI3324">
        <v>656.42</v>
      </c>
      <c r="AL3324" t="s">
        <v>12460</v>
      </c>
      <c r="AM3324">
        <v>111000</v>
      </c>
      <c r="AS3324">
        <v>0.5</v>
      </c>
      <c r="AT3324" t="s">
        <v>275</v>
      </c>
      <c r="AU3324" t="s">
        <v>88</v>
      </c>
    </row>
    <row r="3325" spans="1:48">
      <c r="A3325" s="1">
        <f>HYPERLINK("https://cms.ls-nyc.org/matter/dynamic-profile/view/1892896","19-1892896")</f>
        <v>0</v>
      </c>
      <c r="B3325" t="s">
        <v>81</v>
      </c>
      <c r="C3325" t="s">
        <v>356</v>
      </c>
      <c r="E3325" t="s">
        <v>2031</v>
      </c>
      <c r="F3325" t="s">
        <v>2839</v>
      </c>
      <c r="G3325" t="s">
        <v>3874</v>
      </c>
      <c r="H3325" t="s">
        <v>5390</v>
      </c>
      <c r="I3325" t="s">
        <v>6043</v>
      </c>
      <c r="J3325">
        <v>11225</v>
      </c>
      <c r="K3325" t="s">
        <v>6074</v>
      </c>
      <c r="L3325" t="s">
        <v>6074</v>
      </c>
      <c r="N3325" t="s">
        <v>7282</v>
      </c>
      <c r="O3325" t="s">
        <v>7308</v>
      </c>
      <c r="Q3325" t="s">
        <v>7322</v>
      </c>
      <c r="R3325" t="s">
        <v>6074</v>
      </c>
      <c r="S3325" t="s">
        <v>7324</v>
      </c>
      <c r="U3325" t="s">
        <v>477</v>
      </c>
      <c r="V3325">
        <v>0</v>
      </c>
      <c r="W3325" t="s">
        <v>7362</v>
      </c>
      <c r="Z3325" t="s">
        <v>9821</v>
      </c>
      <c r="AB3325" t="s">
        <v>12397</v>
      </c>
      <c r="AC3325">
        <v>0</v>
      </c>
      <c r="AF3325">
        <v>0</v>
      </c>
      <c r="AG3325">
        <v>2</v>
      </c>
      <c r="AH3325">
        <v>0</v>
      </c>
      <c r="AI3325">
        <v>656.42</v>
      </c>
      <c r="AL3325" t="s">
        <v>12460</v>
      </c>
      <c r="AM3325">
        <v>111000</v>
      </c>
      <c r="AS3325">
        <v>178.3</v>
      </c>
      <c r="AT3325" t="s">
        <v>496</v>
      </c>
      <c r="AU3325" t="s">
        <v>88</v>
      </c>
    </row>
    <row r="3326" spans="1:48">
      <c r="A3326" s="1">
        <f>HYPERLINK("https://cms.ls-nyc.org/matter/dynamic-profile/view/1892363","19-1892363")</f>
        <v>0</v>
      </c>
      <c r="B3326" t="s">
        <v>81</v>
      </c>
      <c r="C3326" t="s">
        <v>337</v>
      </c>
      <c r="E3326" t="s">
        <v>2031</v>
      </c>
      <c r="F3326" t="s">
        <v>2839</v>
      </c>
      <c r="G3326" t="s">
        <v>3874</v>
      </c>
      <c r="H3326" t="s">
        <v>5390</v>
      </c>
      <c r="I3326" t="s">
        <v>6043</v>
      </c>
      <c r="J3326">
        <v>11225</v>
      </c>
      <c r="K3326" t="s">
        <v>6074</v>
      </c>
      <c r="L3326" t="s">
        <v>6074</v>
      </c>
      <c r="O3326" t="s">
        <v>7311</v>
      </c>
      <c r="Q3326" t="s">
        <v>7322</v>
      </c>
      <c r="R3326" t="s">
        <v>6074</v>
      </c>
      <c r="S3326" t="s">
        <v>7324</v>
      </c>
      <c r="U3326" t="s">
        <v>337</v>
      </c>
      <c r="V3326">
        <v>0</v>
      </c>
      <c r="W3326" t="s">
        <v>7362</v>
      </c>
      <c r="Z3326" t="s">
        <v>9821</v>
      </c>
      <c r="AB3326" t="s">
        <v>12397</v>
      </c>
      <c r="AC3326">
        <v>0</v>
      </c>
      <c r="AF3326">
        <v>0</v>
      </c>
      <c r="AG3326">
        <v>2</v>
      </c>
      <c r="AH3326">
        <v>0</v>
      </c>
      <c r="AI3326">
        <v>656.42</v>
      </c>
      <c r="AL3326" t="s">
        <v>12460</v>
      </c>
      <c r="AM3326">
        <v>111000</v>
      </c>
      <c r="AS3326">
        <v>2.5</v>
      </c>
      <c r="AT3326" t="s">
        <v>446</v>
      </c>
      <c r="AU3326" t="s">
        <v>88</v>
      </c>
    </row>
    <row r="3327" spans="1:48">
      <c r="A3327" s="1">
        <f>HYPERLINK("https://cms.ls-nyc.org/matter/dynamic-profile/view/1880269","18-1880269")</f>
        <v>0</v>
      </c>
      <c r="B3327" t="s">
        <v>125</v>
      </c>
      <c r="C3327" t="s">
        <v>391</v>
      </c>
      <c r="E3327" t="s">
        <v>860</v>
      </c>
      <c r="F3327" t="s">
        <v>699</v>
      </c>
      <c r="G3327" t="s">
        <v>5233</v>
      </c>
      <c r="H3327" t="s">
        <v>5470</v>
      </c>
      <c r="I3327" t="s">
        <v>6049</v>
      </c>
      <c r="J3327">
        <v>10463</v>
      </c>
      <c r="K3327" t="s">
        <v>6074</v>
      </c>
      <c r="L3327" t="s">
        <v>6074</v>
      </c>
      <c r="N3327" t="s">
        <v>7273</v>
      </c>
      <c r="O3327" t="s">
        <v>7308</v>
      </c>
      <c r="Q3327" t="s">
        <v>7322</v>
      </c>
      <c r="R3327" t="s">
        <v>6074</v>
      </c>
      <c r="S3327" t="s">
        <v>7324</v>
      </c>
      <c r="U3327" t="s">
        <v>391</v>
      </c>
      <c r="V3327">
        <v>1652</v>
      </c>
      <c r="W3327" t="s">
        <v>7365</v>
      </c>
      <c r="X3327" t="s">
        <v>7367</v>
      </c>
      <c r="Z3327" t="s">
        <v>8972</v>
      </c>
      <c r="AC3327">
        <v>84</v>
      </c>
      <c r="AD3327" t="s">
        <v>12422</v>
      </c>
      <c r="AE3327" t="s">
        <v>6110</v>
      </c>
      <c r="AF3327">
        <v>10</v>
      </c>
      <c r="AG3327">
        <v>1</v>
      </c>
      <c r="AH3327">
        <v>0</v>
      </c>
      <c r="AI3327">
        <v>658.98</v>
      </c>
      <c r="AL3327" t="s">
        <v>12460</v>
      </c>
      <c r="AM3327">
        <v>80000</v>
      </c>
      <c r="AS3327">
        <v>20.1</v>
      </c>
      <c r="AT3327" t="s">
        <v>501</v>
      </c>
      <c r="AU3327" t="s">
        <v>13106</v>
      </c>
    </row>
    <row r="3328" spans="1:48">
      <c r="A3328" s="1">
        <f>HYPERLINK("https://cms.ls-nyc.org/matter/dynamic-profile/view/1863061","18-1863061")</f>
        <v>0</v>
      </c>
      <c r="B3328" t="s">
        <v>132</v>
      </c>
      <c r="C3328" t="s">
        <v>553</v>
      </c>
      <c r="E3328" t="s">
        <v>2032</v>
      </c>
      <c r="F3328" t="s">
        <v>2283</v>
      </c>
      <c r="G3328" t="s">
        <v>4532</v>
      </c>
      <c r="H3328" t="s">
        <v>5470</v>
      </c>
      <c r="I3328" t="s">
        <v>6049</v>
      </c>
      <c r="J3328">
        <v>10034</v>
      </c>
      <c r="K3328" t="s">
        <v>6074</v>
      </c>
      <c r="L3328" t="s">
        <v>6074</v>
      </c>
      <c r="N3328" t="s">
        <v>7273</v>
      </c>
      <c r="O3328" t="s">
        <v>7308</v>
      </c>
      <c r="Q3328" t="s">
        <v>7322</v>
      </c>
      <c r="R3328" t="s">
        <v>6074</v>
      </c>
      <c r="S3328" t="s">
        <v>7324</v>
      </c>
      <c r="U3328" t="s">
        <v>7344</v>
      </c>
      <c r="V3328">
        <v>1363.5</v>
      </c>
      <c r="W3328" t="s">
        <v>7365</v>
      </c>
      <c r="X3328" t="s">
        <v>7367</v>
      </c>
      <c r="Z3328" t="s">
        <v>9822</v>
      </c>
      <c r="AB3328" t="s">
        <v>12398</v>
      </c>
      <c r="AC3328">
        <v>63</v>
      </c>
      <c r="AD3328" t="s">
        <v>12422</v>
      </c>
      <c r="AE3328" t="s">
        <v>6110</v>
      </c>
      <c r="AF3328">
        <v>4</v>
      </c>
      <c r="AG3328">
        <v>2</v>
      </c>
      <c r="AH3328">
        <v>0</v>
      </c>
      <c r="AI3328">
        <v>662.21</v>
      </c>
      <c r="AL3328" t="s">
        <v>12460</v>
      </c>
      <c r="AM3328">
        <v>109000</v>
      </c>
      <c r="AS3328">
        <v>0</v>
      </c>
      <c r="AU3328" t="s">
        <v>13106</v>
      </c>
    </row>
    <row r="3329" spans="1:48">
      <c r="A3329" s="1">
        <f>HYPERLINK("https://cms.ls-nyc.org/matter/dynamic-profile/view/1876628","18-1876628")</f>
        <v>0</v>
      </c>
      <c r="B3329" t="s">
        <v>101</v>
      </c>
      <c r="C3329" t="s">
        <v>243</v>
      </c>
      <c r="E3329" t="s">
        <v>1779</v>
      </c>
      <c r="F3329" t="s">
        <v>2204</v>
      </c>
      <c r="G3329" t="s">
        <v>3939</v>
      </c>
      <c r="H3329" t="s">
        <v>5567</v>
      </c>
      <c r="I3329" t="s">
        <v>6047</v>
      </c>
      <c r="J3329">
        <v>10456</v>
      </c>
      <c r="K3329" t="s">
        <v>6074</v>
      </c>
      <c r="L3329" t="s">
        <v>6074</v>
      </c>
      <c r="M3329" t="s">
        <v>6287</v>
      </c>
      <c r="N3329" t="s">
        <v>7273</v>
      </c>
      <c r="O3329" t="s">
        <v>7308</v>
      </c>
      <c r="Q3329" t="s">
        <v>7322</v>
      </c>
      <c r="R3329" t="s">
        <v>6074</v>
      </c>
      <c r="S3329" t="s">
        <v>7324</v>
      </c>
      <c r="U3329" t="s">
        <v>243</v>
      </c>
      <c r="V3329">
        <v>706</v>
      </c>
      <c r="W3329" t="s">
        <v>7363</v>
      </c>
      <c r="X3329" t="s">
        <v>7376</v>
      </c>
      <c r="Z3329" t="s">
        <v>9823</v>
      </c>
      <c r="AB3329" t="s">
        <v>12399</v>
      </c>
      <c r="AC3329">
        <v>131</v>
      </c>
      <c r="AD3329" t="s">
        <v>12422</v>
      </c>
      <c r="AE3329" t="s">
        <v>6110</v>
      </c>
      <c r="AF3329">
        <v>8</v>
      </c>
      <c r="AG3329">
        <v>2</v>
      </c>
      <c r="AH3329">
        <v>1</v>
      </c>
      <c r="AI3329">
        <v>668.91</v>
      </c>
      <c r="AL3329" t="s">
        <v>12460</v>
      </c>
      <c r="AM3329">
        <v>139000</v>
      </c>
      <c r="AS3329">
        <v>0</v>
      </c>
      <c r="AU3329" t="s">
        <v>13095</v>
      </c>
    </row>
    <row r="3330" spans="1:48">
      <c r="A3330" s="1">
        <f>HYPERLINK("https://cms.ls-nyc.org/matter/dynamic-profile/view/1883398","18-1883398")</f>
        <v>0</v>
      </c>
      <c r="B3330" t="s">
        <v>109</v>
      </c>
      <c r="C3330" t="s">
        <v>411</v>
      </c>
      <c r="E3330" t="s">
        <v>737</v>
      </c>
      <c r="F3330" t="s">
        <v>2752</v>
      </c>
      <c r="G3330" t="s">
        <v>3927</v>
      </c>
      <c r="H3330" t="s">
        <v>5357</v>
      </c>
      <c r="I3330" t="s">
        <v>6047</v>
      </c>
      <c r="J3330">
        <v>10452</v>
      </c>
      <c r="K3330" t="s">
        <v>6074</v>
      </c>
      <c r="L3330" t="s">
        <v>6074</v>
      </c>
      <c r="M3330" t="s">
        <v>6658</v>
      </c>
      <c r="N3330" t="s">
        <v>7273</v>
      </c>
      <c r="O3330" t="s">
        <v>7308</v>
      </c>
      <c r="Q3330" t="s">
        <v>7322</v>
      </c>
      <c r="R3330" t="s">
        <v>6074</v>
      </c>
      <c r="S3330" t="s">
        <v>7324</v>
      </c>
      <c r="U3330" t="s">
        <v>472</v>
      </c>
      <c r="V3330">
        <v>1677</v>
      </c>
      <c r="W3330" t="s">
        <v>7363</v>
      </c>
      <c r="X3330" t="s">
        <v>7376</v>
      </c>
      <c r="Z3330" t="s">
        <v>9820</v>
      </c>
      <c r="AC3330">
        <v>41</v>
      </c>
      <c r="AD3330" t="s">
        <v>12419</v>
      </c>
      <c r="AE3330" t="s">
        <v>6110</v>
      </c>
      <c r="AF3330">
        <v>4</v>
      </c>
      <c r="AG3330">
        <v>2</v>
      </c>
      <c r="AH3330">
        <v>1</v>
      </c>
      <c r="AI3330">
        <v>673.72</v>
      </c>
      <c r="AL3330" t="s">
        <v>12461</v>
      </c>
      <c r="AM3330">
        <v>140000</v>
      </c>
      <c r="AN3330" t="s">
        <v>12634</v>
      </c>
      <c r="AS3330">
        <v>1</v>
      </c>
      <c r="AT3330" t="s">
        <v>276</v>
      </c>
      <c r="AU3330" t="s">
        <v>13092</v>
      </c>
    </row>
    <row r="3331" spans="1:48">
      <c r="A3331" s="1">
        <f>HYPERLINK("https://cms.ls-nyc.org/matter/dynamic-profile/view/1891452","19-1891452")</f>
        <v>0</v>
      </c>
      <c r="B3331" t="s">
        <v>72</v>
      </c>
      <c r="C3331" t="s">
        <v>278</v>
      </c>
      <c r="E3331" t="s">
        <v>679</v>
      </c>
      <c r="F3331" t="s">
        <v>3623</v>
      </c>
      <c r="G3331" t="s">
        <v>3701</v>
      </c>
      <c r="H3331" t="s">
        <v>5521</v>
      </c>
      <c r="I3331" t="s">
        <v>6043</v>
      </c>
      <c r="J3331">
        <v>11233</v>
      </c>
      <c r="K3331" t="s">
        <v>6074</v>
      </c>
      <c r="L3331" t="s">
        <v>6074</v>
      </c>
      <c r="N3331" t="s">
        <v>7275</v>
      </c>
      <c r="O3331" t="s">
        <v>7307</v>
      </c>
      <c r="Q3331" t="s">
        <v>7322</v>
      </c>
      <c r="R3331" t="s">
        <v>6074</v>
      </c>
      <c r="S3331" t="s">
        <v>7324</v>
      </c>
      <c r="T3331" t="s">
        <v>7336</v>
      </c>
      <c r="U3331" t="s">
        <v>287</v>
      </c>
      <c r="V3331">
        <v>1133</v>
      </c>
      <c r="W3331" t="s">
        <v>7362</v>
      </c>
      <c r="X3331" t="s">
        <v>7375</v>
      </c>
      <c r="Z3331" t="s">
        <v>9824</v>
      </c>
      <c r="AB3331" t="s">
        <v>12400</v>
      </c>
      <c r="AC3331">
        <v>764</v>
      </c>
      <c r="AD3331" t="s">
        <v>12422</v>
      </c>
      <c r="AE3331" t="s">
        <v>6110</v>
      </c>
      <c r="AF3331">
        <v>36</v>
      </c>
      <c r="AG3331">
        <v>2</v>
      </c>
      <c r="AH3331">
        <v>0</v>
      </c>
      <c r="AI3331">
        <v>674.16</v>
      </c>
      <c r="AL3331" t="s">
        <v>12460</v>
      </c>
      <c r="AM3331">
        <v>114000</v>
      </c>
      <c r="AN3331" t="s">
        <v>12834</v>
      </c>
      <c r="AS3331">
        <v>0</v>
      </c>
      <c r="AU3331" t="s">
        <v>180</v>
      </c>
    </row>
    <row r="3332" spans="1:48">
      <c r="A3332" s="1">
        <f>HYPERLINK("https://cms.ls-nyc.org/matter/dynamic-profile/view/1888421","19-1888421")</f>
        <v>0</v>
      </c>
      <c r="B3332" t="s">
        <v>106</v>
      </c>
      <c r="C3332" t="s">
        <v>292</v>
      </c>
      <c r="D3332" t="s">
        <v>469</v>
      </c>
      <c r="E3332" t="s">
        <v>2033</v>
      </c>
      <c r="F3332" t="s">
        <v>3001</v>
      </c>
      <c r="G3332" t="s">
        <v>4798</v>
      </c>
      <c r="H3332" t="s">
        <v>5373</v>
      </c>
      <c r="I3332" t="s">
        <v>6047</v>
      </c>
      <c r="J3332">
        <v>10455</v>
      </c>
      <c r="K3332" t="s">
        <v>6074</v>
      </c>
      <c r="L3332" t="s">
        <v>6074</v>
      </c>
      <c r="N3332" t="s">
        <v>6104</v>
      </c>
      <c r="O3332" t="s">
        <v>7307</v>
      </c>
      <c r="P3332" t="s">
        <v>7315</v>
      </c>
      <c r="Q3332" t="s">
        <v>7322</v>
      </c>
      <c r="R3332" t="s">
        <v>6076</v>
      </c>
      <c r="S3332" t="s">
        <v>7324</v>
      </c>
      <c r="U3332" t="s">
        <v>292</v>
      </c>
      <c r="V3332">
        <v>1775</v>
      </c>
      <c r="W3332" t="s">
        <v>7363</v>
      </c>
      <c r="X3332" t="s">
        <v>7376</v>
      </c>
      <c r="Y3332" t="s">
        <v>7386</v>
      </c>
      <c r="Z3332" t="s">
        <v>9825</v>
      </c>
      <c r="AC3332">
        <v>54</v>
      </c>
      <c r="AD3332" t="s">
        <v>12422</v>
      </c>
      <c r="AE3332" t="s">
        <v>6110</v>
      </c>
      <c r="AF3332">
        <v>2</v>
      </c>
      <c r="AG3332">
        <v>2</v>
      </c>
      <c r="AH3332">
        <v>0</v>
      </c>
      <c r="AI3332">
        <v>686.51</v>
      </c>
      <c r="AL3332" t="s">
        <v>12460</v>
      </c>
      <c r="AM3332">
        <v>113000</v>
      </c>
      <c r="AS3332">
        <v>2.5</v>
      </c>
      <c r="AT3332" t="s">
        <v>469</v>
      </c>
      <c r="AU3332" t="s">
        <v>106</v>
      </c>
    </row>
    <row r="3333" spans="1:48">
      <c r="A3333" s="1">
        <f>HYPERLINK("https://cms.ls-nyc.org/matter/dynamic-profile/view/1886541","18-1886541")</f>
        <v>0</v>
      </c>
      <c r="B3333" t="s">
        <v>72</v>
      </c>
      <c r="C3333" t="s">
        <v>346</v>
      </c>
      <c r="E3333" t="s">
        <v>679</v>
      </c>
      <c r="F3333" t="s">
        <v>3623</v>
      </c>
      <c r="G3333" t="s">
        <v>3701</v>
      </c>
      <c r="H3333" t="s">
        <v>5521</v>
      </c>
      <c r="I3333" t="s">
        <v>6043</v>
      </c>
      <c r="J3333">
        <v>11233</v>
      </c>
      <c r="K3333" t="s">
        <v>6074</v>
      </c>
      <c r="L3333" t="s">
        <v>6074</v>
      </c>
      <c r="M3333" t="s">
        <v>6104</v>
      </c>
      <c r="N3333" t="s">
        <v>7279</v>
      </c>
      <c r="O3333" t="s">
        <v>7309</v>
      </c>
      <c r="Q3333" t="s">
        <v>7322</v>
      </c>
      <c r="R3333" t="s">
        <v>6074</v>
      </c>
      <c r="S3333" t="s">
        <v>7324</v>
      </c>
      <c r="T3333" t="s">
        <v>7336</v>
      </c>
      <c r="U3333" t="s">
        <v>562</v>
      </c>
      <c r="V3333">
        <v>1133</v>
      </c>
      <c r="W3333" t="s">
        <v>7362</v>
      </c>
      <c r="X3333" t="s">
        <v>7370</v>
      </c>
      <c r="Z3333" t="s">
        <v>9824</v>
      </c>
      <c r="AB3333" t="s">
        <v>12400</v>
      </c>
      <c r="AC3333">
        <v>764</v>
      </c>
      <c r="AD3333" t="s">
        <v>12422</v>
      </c>
      <c r="AE3333" t="s">
        <v>6110</v>
      </c>
      <c r="AF3333">
        <v>36</v>
      </c>
      <c r="AG3333">
        <v>2</v>
      </c>
      <c r="AH3333">
        <v>0</v>
      </c>
      <c r="AI3333">
        <v>692.59</v>
      </c>
      <c r="AL3333" t="s">
        <v>12460</v>
      </c>
      <c r="AM3333">
        <v>114000</v>
      </c>
      <c r="AS3333">
        <v>0</v>
      </c>
      <c r="AU3333" t="s">
        <v>180</v>
      </c>
    </row>
    <row r="3334" spans="1:48">
      <c r="A3334" s="1">
        <f>HYPERLINK("https://cms.ls-nyc.org/matter/dynamic-profile/view/1897050","19-1897050")</f>
        <v>0</v>
      </c>
      <c r="B3334" t="s">
        <v>60</v>
      </c>
      <c r="C3334" t="s">
        <v>268</v>
      </c>
      <c r="E3334" t="s">
        <v>2034</v>
      </c>
      <c r="F3334" t="s">
        <v>3624</v>
      </c>
      <c r="G3334" t="s">
        <v>5339</v>
      </c>
      <c r="H3334" t="s">
        <v>5417</v>
      </c>
      <c r="I3334" t="s">
        <v>6036</v>
      </c>
      <c r="J3334">
        <v>11374</v>
      </c>
      <c r="K3334" t="s">
        <v>6074</v>
      </c>
      <c r="L3334" t="s">
        <v>6074</v>
      </c>
      <c r="M3334" t="s">
        <v>6101</v>
      </c>
      <c r="N3334" t="s">
        <v>6104</v>
      </c>
      <c r="O3334" t="s">
        <v>7306</v>
      </c>
      <c r="Q3334" t="s">
        <v>7323</v>
      </c>
      <c r="R3334" t="s">
        <v>6076</v>
      </c>
      <c r="S3334" t="s">
        <v>7324</v>
      </c>
      <c r="T3334" t="s">
        <v>7336</v>
      </c>
      <c r="U3334" t="s">
        <v>268</v>
      </c>
      <c r="V3334">
        <v>2175</v>
      </c>
      <c r="W3334" t="s">
        <v>7361</v>
      </c>
      <c r="X3334" t="s">
        <v>7369</v>
      </c>
      <c r="Z3334" t="s">
        <v>9826</v>
      </c>
      <c r="AA3334" t="s">
        <v>9863</v>
      </c>
      <c r="AB3334" t="s">
        <v>12401</v>
      </c>
      <c r="AC3334">
        <v>181</v>
      </c>
      <c r="AD3334" t="s">
        <v>12419</v>
      </c>
      <c r="AE3334" t="s">
        <v>6110</v>
      </c>
      <c r="AF3334">
        <v>1</v>
      </c>
      <c r="AG3334">
        <v>1</v>
      </c>
      <c r="AH3334">
        <v>0</v>
      </c>
      <c r="AI3334">
        <v>696.5599999999999</v>
      </c>
      <c r="AJ3334" t="s">
        <v>12443</v>
      </c>
      <c r="AK3334" t="s">
        <v>12455</v>
      </c>
      <c r="AL3334" t="s">
        <v>12461</v>
      </c>
      <c r="AM3334">
        <v>87000</v>
      </c>
      <c r="AS3334">
        <v>1.6</v>
      </c>
      <c r="AT3334" t="s">
        <v>254</v>
      </c>
      <c r="AU3334" t="s">
        <v>60</v>
      </c>
    </row>
    <row r="3335" spans="1:48">
      <c r="A3335" s="1">
        <f>HYPERLINK("https://cms.ls-nyc.org/matter/dynamic-profile/view/1894909","19-1894909")</f>
        <v>0</v>
      </c>
      <c r="B3335" t="s">
        <v>133</v>
      </c>
      <c r="C3335" t="s">
        <v>279</v>
      </c>
      <c r="E3335" t="s">
        <v>646</v>
      </c>
      <c r="F3335" t="s">
        <v>2417</v>
      </c>
      <c r="G3335" t="s">
        <v>4207</v>
      </c>
      <c r="H3335">
        <v>52</v>
      </c>
      <c r="I3335" t="s">
        <v>6049</v>
      </c>
      <c r="J3335">
        <v>10034</v>
      </c>
      <c r="K3335" t="s">
        <v>6074</v>
      </c>
      <c r="L3335" t="s">
        <v>6074</v>
      </c>
      <c r="N3335" t="s">
        <v>7273</v>
      </c>
      <c r="O3335" t="s">
        <v>7306</v>
      </c>
      <c r="Q3335" t="s">
        <v>7322</v>
      </c>
      <c r="R3335" t="s">
        <v>6074</v>
      </c>
      <c r="S3335" t="s">
        <v>7324</v>
      </c>
      <c r="U3335" t="s">
        <v>279</v>
      </c>
      <c r="V3335">
        <v>1818.44</v>
      </c>
      <c r="W3335" t="s">
        <v>7365</v>
      </c>
      <c r="X3335" t="s">
        <v>7367</v>
      </c>
      <c r="Z3335" t="s">
        <v>9827</v>
      </c>
      <c r="AB3335" t="s">
        <v>12402</v>
      </c>
      <c r="AC3335">
        <v>20</v>
      </c>
      <c r="AD3335" t="s">
        <v>12422</v>
      </c>
      <c r="AE3335" t="s">
        <v>6110</v>
      </c>
      <c r="AF3335">
        <v>12</v>
      </c>
      <c r="AG3335">
        <v>4</v>
      </c>
      <c r="AH3335">
        <v>0</v>
      </c>
      <c r="AI3335">
        <v>701.75</v>
      </c>
      <c r="AL3335" t="s">
        <v>12460</v>
      </c>
      <c r="AM3335">
        <v>180700</v>
      </c>
      <c r="AS3335">
        <v>0</v>
      </c>
      <c r="AU3335" t="s">
        <v>13119</v>
      </c>
    </row>
    <row r="3336" spans="1:48">
      <c r="A3336" s="1">
        <f>HYPERLINK("https://cms.ls-nyc.org/matter/dynamic-profile/view/1881503","18-1881503")</f>
        <v>0</v>
      </c>
      <c r="B3336" t="s">
        <v>90</v>
      </c>
      <c r="C3336" t="s">
        <v>369</v>
      </c>
      <c r="E3336" t="s">
        <v>985</v>
      </c>
      <c r="F3336" t="s">
        <v>1909</v>
      </c>
      <c r="G3336" t="s">
        <v>4507</v>
      </c>
      <c r="H3336" t="s">
        <v>5364</v>
      </c>
      <c r="I3336" t="s">
        <v>6043</v>
      </c>
      <c r="J3336">
        <v>11216</v>
      </c>
      <c r="K3336" t="s">
        <v>6074</v>
      </c>
      <c r="L3336" t="s">
        <v>6074</v>
      </c>
      <c r="M3336" t="s">
        <v>6679</v>
      </c>
      <c r="N3336" t="s">
        <v>7282</v>
      </c>
      <c r="O3336" t="s">
        <v>7308</v>
      </c>
      <c r="Q3336" t="s">
        <v>7322</v>
      </c>
      <c r="R3336" t="s">
        <v>6074</v>
      </c>
      <c r="S3336" t="s">
        <v>7324</v>
      </c>
      <c r="T3336" t="s">
        <v>7336</v>
      </c>
      <c r="U3336" t="s">
        <v>333</v>
      </c>
      <c r="V3336">
        <v>1450</v>
      </c>
      <c r="W3336" t="s">
        <v>7362</v>
      </c>
      <c r="X3336" t="s">
        <v>7375</v>
      </c>
      <c r="Z3336" t="s">
        <v>9828</v>
      </c>
      <c r="AA3336" t="s">
        <v>6110</v>
      </c>
      <c r="AB3336" t="s">
        <v>12403</v>
      </c>
      <c r="AC3336">
        <v>8</v>
      </c>
      <c r="AD3336" t="s">
        <v>12422</v>
      </c>
      <c r="AE3336" t="s">
        <v>6110</v>
      </c>
      <c r="AF3336">
        <v>2</v>
      </c>
      <c r="AG3336">
        <v>1</v>
      </c>
      <c r="AH3336">
        <v>0</v>
      </c>
      <c r="AI3336">
        <v>708.4</v>
      </c>
      <c r="AK3336" t="s">
        <v>12456</v>
      </c>
      <c r="AL3336" t="s">
        <v>12460</v>
      </c>
      <c r="AM3336">
        <v>86000</v>
      </c>
      <c r="AN3336" t="s">
        <v>12835</v>
      </c>
      <c r="AS3336">
        <v>0</v>
      </c>
      <c r="AU3336" t="s">
        <v>218</v>
      </c>
    </row>
    <row r="3337" spans="1:48">
      <c r="A3337" s="1">
        <f>HYPERLINK("https://cms.ls-nyc.org/matter/dynamic-profile/view/1881496","18-1881496")</f>
        <v>0</v>
      </c>
      <c r="B3337" t="s">
        <v>90</v>
      </c>
      <c r="C3337" t="s">
        <v>369</v>
      </c>
      <c r="E3337" t="s">
        <v>985</v>
      </c>
      <c r="F3337" t="s">
        <v>1909</v>
      </c>
      <c r="G3337" t="s">
        <v>4507</v>
      </c>
      <c r="H3337" t="s">
        <v>5364</v>
      </c>
      <c r="I3337" t="s">
        <v>6043</v>
      </c>
      <c r="J3337">
        <v>11216</v>
      </c>
      <c r="K3337" t="s">
        <v>6074</v>
      </c>
      <c r="L3337" t="s">
        <v>6074</v>
      </c>
      <c r="M3337" t="s">
        <v>6104</v>
      </c>
      <c r="N3337" t="s">
        <v>6104</v>
      </c>
      <c r="O3337" t="s">
        <v>7307</v>
      </c>
      <c r="Q3337" t="s">
        <v>7322</v>
      </c>
      <c r="R3337" t="s">
        <v>6074</v>
      </c>
      <c r="S3337" t="s">
        <v>7324</v>
      </c>
      <c r="T3337" t="s">
        <v>7336</v>
      </c>
      <c r="U3337" t="s">
        <v>333</v>
      </c>
      <c r="V3337">
        <v>1450</v>
      </c>
      <c r="W3337" t="s">
        <v>7362</v>
      </c>
      <c r="X3337" t="s">
        <v>7375</v>
      </c>
      <c r="Z3337" t="s">
        <v>9828</v>
      </c>
      <c r="AA3337" t="s">
        <v>6110</v>
      </c>
      <c r="AB3337" t="s">
        <v>12403</v>
      </c>
      <c r="AC3337">
        <v>8</v>
      </c>
      <c r="AD3337" t="s">
        <v>12422</v>
      </c>
      <c r="AE3337" t="s">
        <v>6110</v>
      </c>
      <c r="AF3337">
        <v>2</v>
      </c>
      <c r="AG3337">
        <v>1</v>
      </c>
      <c r="AH3337">
        <v>0</v>
      </c>
      <c r="AI3337">
        <v>708.4</v>
      </c>
      <c r="AK3337" t="s">
        <v>12456</v>
      </c>
      <c r="AL3337" t="s">
        <v>12460</v>
      </c>
      <c r="AM3337">
        <v>86000</v>
      </c>
      <c r="AN3337" t="s">
        <v>12836</v>
      </c>
      <c r="AS3337">
        <v>0</v>
      </c>
      <c r="AU3337" t="s">
        <v>218</v>
      </c>
    </row>
    <row r="3338" spans="1:48">
      <c r="A3338" s="1">
        <f>HYPERLINK("https://cms.ls-nyc.org/matter/dynamic-profile/view/1898268","19-1898268")</f>
        <v>0</v>
      </c>
      <c r="B3338" t="s">
        <v>72</v>
      </c>
      <c r="C3338" t="s">
        <v>343</v>
      </c>
      <c r="E3338" t="s">
        <v>2035</v>
      </c>
      <c r="F3338" t="s">
        <v>3625</v>
      </c>
      <c r="G3338" t="s">
        <v>3700</v>
      </c>
      <c r="H3338" t="s">
        <v>5739</v>
      </c>
      <c r="I3338" t="s">
        <v>6043</v>
      </c>
      <c r="J3338">
        <v>11233</v>
      </c>
      <c r="K3338" t="s">
        <v>6074</v>
      </c>
      <c r="L3338" t="s">
        <v>6076</v>
      </c>
      <c r="N3338" t="s">
        <v>7279</v>
      </c>
      <c r="O3338" t="s">
        <v>7311</v>
      </c>
      <c r="Q3338" t="s">
        <v>7322</v>
      </c>
      <c r="R3338" t="s">
        <v>6074</v>
      </c>
      <c r="S3338" t="s">
        <v>7324</v>
      </c>
      <c r="T3338" t="s">
        <v>7336</v>
      </c>
      <c r="U3338" t="s">
        <v>330</v>
      </c>
      <c r="V3338">
        <v>0</v>
      </c>
      <c r="W3338" t="s">
        <v>7362</v>
      </c>
      <c r="Z3338" t="s">
        <v>9829</v>
      </c>
      <c r="AC3338">
        <v>359</v>
      </c>
      <c r="AD3338" t="s">
        <v>12422</v>
      </c>
      <c r="AF3338">
        <v>14</v>
      </c>
      <c r="AG3338">
        <v>1</v>
      </c>
      <c r="AH3338">
        <v>0</v>
      </c>
      <c r="AI3338">
        <v>720.58</v>
      </c>
      <c r="AL3338" t="s">
        <v>12460</v>
      </c>
      <c r="AM3338">
        <v>90000</v>
      </c>
      <c r="AN3338" t="s">
        <v>12488</v>
      </c>
      <c r="AS3338">
        <v>0</v>
      </c>
      <c r="AU3338" t="s">
        <v>180</v>
      </c>
    </row>
    <row r="3339" spans="1:48">
      <c r="A3339" s="1">
        <f>HYPERLINK("https://cms.ls-nyc.org/matter/dynamic-profile/view/1898269","19-1898269")</f>
        <v>0</v>
      </c>
      <c r="B3339" t="s">
        <v>72</v>
      </c>
      <c r="C3339" t="s">
        <v>343</v>
      </c>
      <c r="E3339" t="s">
        <v>2035</v>
      </c>
      <c r="F3339" t="s">
        <v>3625</v>
      </c>
      <c r="G3339" t="s">
        <v>3700</v>
      </c>
      <c r="H3339" t="s">
        <v>5739</v>
      </c>
      <c r="I3339" t="s">
        <v>6043</v>
      </c>
      <c r="J3339">
        <v>11233</v>
      </c>
      <c r="K3339" t="s">
        <v>6074</v>
      </c>
      <c r="L3339" t="s">
        <v>6076</v>
      </c>
      <c r="N3339" t="s">
        <v>7275</v>
      </c>
      <c r="O3339" t="s">
        <v>7307</v>
      </c>
      <c r="Q3339" t="s">
        <v>7322</v>
      </c>
      <c r="R3339" t="s">
        <v>6074</v>
      </c>
      <c r="S3339" t="s">
        <v>7324</v>
      </c>
      <c r="T3339" t="s">
        <v>7336</v>
      </c>
      <c r="U3339" t="s">
        <v>287</v>
      </c>
      <c r="V3339">
        <v>0</v>
      </c>
      <c r="W3339" t="s">
        <v>7362</v>
      </c>
      <c r="X3339" t="s">
        <v>7305</v>
      </c>
      <c r="Z3339" t="s">
        <v>9829</v>
      </c>
      <c r="AC3339">
        <v>359</v>
      </c>
      <c r="AD3339" t="s">
        <v>12422</v>
      </c>
      <c r="AF3339">
        <v>14</v>
      </c>
      <c r="AG3339">
        <v>1</v>
      </c>
      <c r="AH3339">
        <v>0</v>
      </c>
      <c r="AI3339">
        <v>720.58</v>
      </c>
      <c r="AL3339" t="s">
        <v>12460</v>
      </c>
      <c r="AM3339">
        <v>90000</v>
      </c>
      <c r="AN3339" t="s">
        <v>12837</v>
      </c>
      <c r="AS3339">
        <v>0</v>
      </c>
      <c r="AU3339" t="s">
        <v>180</v>
      </c>
    </row>
    <row r="3340" spans="1:48">
      <c r="A3340" s="1">
        <f>HYPERLINK("https://cms.ls-nyc.org/matter/dynamic-profile/view/1890497","19-1890497")</f>
        <v>0</v>
      </c>
      <c r="B3340" t="s">
        <v>109</v>
      </c>
      <c r="C3340" t="s">
        <v>330</v>
      </c>
      <c r="E3340" t="s">
        <v>2036</v>
      </c>
      <c r="F3340" t="s">
        <v>3626</v>
      </c>
      <c r="G3340" t="s">
        <v>5277</v>
      </c>
      <c r="H3340" t="s">
        <v>5461</v>
      </c>
      <c r="I3340" t="s">
        <v>6047</v>
      </c>
      <c r="J3340">
        <v>10461</v>
      </c>
      <c r="K3340" t="s">
        <v>6074</v>
      </c>
      <c r="L3340" t="s">
        <v>6074</v>
      </c>
      <c r="N3340" t="s">
        <v>7279</v>
      </c>
      <c r="O3340" t="s">
        <v>7307</v>
      </c>
      <c r="Q3340" t="s">
        <v>7322</v>
      </c>
      <c r="R3340" t="s">
        <v>6074</v>
      </c>
      <c r="S3340" t="s">
        <v>7324</v>
      </c>
      <c r="U3340" t="s">
        <v>343</v>
      </c>
      <c r="V3340">
        <v>1410</v>
      </c>
      <c r="W3340" t="s">
        <v>7363</v>
      </c>
      <c r="X3340" t="s">
        <v>7371</v>
      </c>
      <c r="Z3340" t="s">
        <v>9830</v>
      </c>
      <c r="AB3340" t="s">
        <v>12404</v>
      </c>
      <c r="AC3340">
        <v>125</v>
      </c>
      <c r="AD3340" t="s">
        <v>12422</v>
      </c>
      <c r="AE3340" t="s">
        <v>6110</v>
      </c>
      <c r="AF3340">
        <v>4</v>
      </c>
      <c r="AG3340">
        <v>1</v>
      </c>
      <c r="AH3340">
        <v>0</v>
      </c>
      <c r="AI3340">
        <v>728.58</v>
      </c>
      <c r="AL3340" t="s">
        <v>12460</v>
      </c>
      <c r="AM3340">
        <v>91000</v>
      </c>
      <c r="AS3340">
        <v>65</v>
      </c>
      <c r="AT3340" t="s">
        <v>421</v>
      </c>
      <c r="AU3340" t="s">
        <v>97</v>
      </c>
    </row>
    <row r="3341" spans="1:48">
      <c r="A3341" s="1">
        <f>HYPERLINK("https://cms.ls-nyc.org/matter/dynamic-profile/view/1874670","18-1874670")</f>
        <v>0</v>
      </c>
      <c r="B3341" t="s">
        <v>132</v>
      </c>
      <c r="C3341" t="s">
        <v>378</v>
      </c>
      <c r="D3341" t="s">
        <v>290</v>
      </c>
      <c r="E3341" t="s">
        <v>1336</v>
      </c>
      <c r="F3341" t="s">
        <v>3627</v>
      </c>
      <c r="G3341" t="s">
        <v>5340</v>
      </c>
      <c r="H3341" t="s">
        <v>5476</v>
      </c>
      <c r="I3341" t="s">
        <v>6049</v>
      </c>
      <c r="J3341">
        <v>10032</v>
      </c>
      <c r="K3341" t="s">
        <v>6074</v>
      </c>
      <c r="L3341" t="s">
        <v>6074</v>
      </c>
      <c r="N3341" t="s">
        <v>6104</v>
      </c>
      <c r="O3341" t="s">
        <v>7307</v>
      </c>
      <c r="P3341" t="s">
        <v>7315</v>
      </c>
      <c r="Q3341" t="s">
        <v>7322</v>
      </c>
      <c r="R3341" t="s">
        <v>6076</v>
      </c>
      <c r="S3341" t="s">
        <v>7324</v>
      </c>
      <c r="U3341" t="s">
        <v>378</v>
      </c>
      <c r="V3341">
        <v>2861.25</v>
      </c>
      <c r="W3341" t="s">
        <v>7365</v>
      </c>
      <c r="X3341" t="s">
        <v>7367</v>
      </c>
      <c r="Y3341" t="s">
        <v>7387</v>
      </c>
      <c r="Z3341" t="s">
        <v>7912</v>
      </c>
      <c r="AB3341" t="s">
        <v>12405</v>
      </c>
      <c r="AC3341">
        <v>38</v>
      </c>
      <c r="AD3341" t="s">
        <v>12422</v>
      </c>
      <c r="AE3341" t="s">
        <v>6110</v>
      </c>
      <c r="AF3341">
        <v>3</v>
      </c>
      <c r="AG3341">
        <v>1</v>
      </c>
      <c r="AH3341">
        <v>0</v>
      </c>
      <c r="AI3341">
        <v>733.11</v>
      </c>
      <c r="AL3341" t="s">
        <v>12460</v>
      </c>
      <c r="AM3341">
        <v>89000</v>
      </c>
      <c r="AS3341">
        <v>1.5</v>
      </c>
      <c r="AT3341" t="s">
        <v>290</v>
      </c>
      <c r="AU3341" t="s">
        <v>13106</v>
      </c>
    </row>
    <row r="3342" spans="1:48">
      <c r="A3342" s="1">
        <f>HYPERLINK("https://cms.ls-nyc.org/matter/dynamic-profile/view/1876918","18-1876918")</f>
        <v>0</v>
      </c>
      <c r="B3342" t="s">
        <v>90</v>
      </c>
      <c r="C3342" t="s">
        <v>290</v>
      </c>
      <c r="D3342" t="s">
        <v>351</v>
      </c>
      <c r="E3342" t="s">
        <v>636</v>
      </c>
      <c r="F3342" t="s">
        <v>3300</v>
      </c>
      <c r="G3342" t="s">
        <v>4507</v>
      </c>
      <c r="H3342" t="s">
        <v>5385</v>
      </c>
      <c r="I3342" t="s">
        <v>6043</v>
      </c>
      <c r="J3342">
        <v>11216</v>
      </c>
      <c r="K3342" t="s">
        <v>6074</v>
      </c>
      <c r="L3342" t="s">
        <v>6074</v>
      </c>
      <c r="N3342" t="s">
        <v>6104</v>
      </c>
      <c r="O3342" t="s">
        <v>7307</v>
      </c>
      <c r="P3342" t="s">
        <v>7314</v>
      </c>
      <c r="Q3342" t="s">
        <v>7322</v>
      </c>
      <c r="R3342" t="s">
        <v>6074</v>
      </c>
      <c r="S3342" t="s">
        <v>7324</v>
      </c>
      <c r="U3342" t="s">
        <v>233</v>
      </c>
      <c r="V3342">
        <v>1600</v>
      </c>
      <c r="W3342" t="s">
        <v>7362</v>
      </c>
      <c r="X3342" t="s">
        <v>7375</v>
      </c>
      <c r="Y3342" t="s">
        <v>7386</v>
      </c>
      <c r="Z3342" t="s">
        <v>9831</v>
      </c>
      <c r="AC3342">
        <v>82</v>
      </c>
      <c r="AD3342" t="s">
        <v>12422</v>
      </c>
      <c r="AE3342" t="s">
        <v>6110</v>
      </c>
      <c r="AF3342">
        <v>4</v>
      </c>
      <c r="AG3342">
        <v>1</v>
      </c>
      <c r="AH3342">
        <v>0</v>
      </c>
      <c r="AI3342">
        <v>741.35</v>
      </c>
      <c r="AL3342" t="s">
        <v>12460</v>
      </c>
      <c r="AM3342">
        <v>90000</v>
      </c>
      <c r="AS3342">
        <v>0.1</v>
      </c>
      <c r="AT3342" t="s">
        <v>351</v>
      </c>
      <c r="AU3342" t="s">
        <v>218</v>
      </c>
    </row>
    <row r="3343" spans="1:48">
      <c r="A3343" s="1">
        <f>HYPERLINK("https://cms.ls-nyc.org/matter/dynamic-profile/view/1879901","18-1879901")</f>
        <v>0</v>
      </c>
      <c r="B3343" t="s">
        <v>133</v>
      </c>
      <c r="C3343" t="s">
        <v>271</v>
      </c>
      <c r="D3343" t="s">
        <v>293</v>
      </c>
      <c r="E3343" t="s">
        <v>2037</v>
      </c>
      <c r="F3343" t="s">
        <v>3628</v>
      </c>
      <c r="G3343" t="s">
        <v>4128</v>
      </c>
      <c r="H3343" t="s">
        <v>5393</v>
      </c>
      <c r="I3343" t="s">
        <v>6049</v>
      </c>
      <c r="J3343">
        <v>10040</v>
      </c>
      <c r="K3343" t="s">
        <v>6074</v>
      </c>
      <c r="L3343" t="s">
        <v>6074</v>
      </c>
      <c r="N3343" t="s">
        <v>7279</v>
      </c>
      <c r="O3343" t="s">
        <v>7308</v>
      </c>
      <c r="P3343" t="s">
        <v>7316</v>
      </c>
      <c r="Q3343" t="s">
        <v>7322</v>
      </c>
      <c r="R3343" t="s">
        <v>6074</v>
      </c>
      <c r="S3343" t="s">
        <v>7324</v>
      </c>
      <c r="U3343" t="s">
        <v>271</v>
      </c>
      <c r="V3343">
        <v>2145</v>
      </c>
      <c r="W3343" t="s">
        <v>7365</v>
      </c>
      <c r="X3343" t="s">
        <v>7367</v>
      </c>
      <c r="Y3343" t="s">
        <v>7394</v>
      </c>
      <c r="Z3343" t="s">
        <v>9810</v>
      </c>
      <c r="AB3343" t="s">
        <v>12406</v>
      </c>
      <c r="AC3343">
        <v>88</v>
      </c>
      <c r="AD3343" t="s">
        <v>12422</v>
      </c>
      <c r="AE3343" t="s">
        <v>6110</v>
      </c>
      <c r="AF3343">
        <v>8</v>
      </c>
      <c r="AG3343">
        <v>2</v>
      </c>
      <c r="AH3343">
        <v>1</v>
      </c>
      <c r="AI3343">
        <v>745.91</v>
      </c>
      <c r="AL3343" t="s">
        <v>12460</v>
      </c>
      <c r="AM3343">
        <v>155000</v>
      </c>
      <c r="AS3343">
        <v>0.1</v>
      </c>
      <c r="AT3343" t="s">
        <v>293</v>
      </c>
      <c r="AU3343" t="s">
        <v>13106</v>
      </c>
    </row>
    <row r="3344" spans="1:48">
      <c r="A3344" s="1">
        <f>HYPERLINK("https://cms.ls-nyc.org/matter/dynamic-profile/view/1889220","19-1889220")</f>
        <v>0</v>
      </c>
      <c r="B3344" t="s">
        <v>70</v>
      </c>
      <c r="C3344" t="s">
        <v>259</v>
      </c>
      <c r="E3344" t="s">
        <v>2038</v>
      </c>
      <c r="F3344" t="s">
        <v>3629</v>
      </c>
      <c r="G3344" t="s">
        <v>3721</v>
      </c>
      <c r="I3344" t="s">
        <v>6043</v>
      </c>
      <c r="J3344">
        <v>11226</v>
      </c>
      <c r="K3344" t="s">
        <v>6074</v>
      </c>
      <c r="L3344" t="s">
        <v>6074</v>
      </c>
      <c r="M3344" t="s">
        <v>6233</v>
      </c>
      <c r="N3344" t="s">
        <v>7279</v>
      </c>
      <c r="O3344" t="s">
        <v>7311</v>
      </c>
      <c r="Q3344" t="s">
        <v>7322</v>
      </c>
      <c r="R3344" t="s">
        <v>6074</v>
      </c>
      <c r="S3344" t="s">
        <v>7324</v>
      </c>
      <c r="U3344" t="s">
        <v>337</v>
      </c>
      <c r="V3344">
        <v>2937</v>
      </c>
      <c r="W3344" t="s">
        <v>7362</v>
      </c>
      <c r="X3344" t="s">
        <v>7367</v>
      </c>
      <c r="Z3344" t="s">
        <v>9832</v>
      </c>
      <c r="AB3344" t="s">
        <v>12407</v>
      </c>
      <c r="AC3344">
        <v>43</v>
      </c>
      <c r="AD3344" t="s">
        <v>12422</v>
      </c>
      <c r="AF3344">
        <v>3</v>
      </c>
      <c r="AG3344">
        <v>2</v>
      </c>
      <c r="AH3344">
        <v>1</v>
      </c>
      <c r="AI3344">
        <v>761.84</v>
      </c>
      <c r="AL3344" t="s">
        <v>12460</v>
      </c>
      <c r="AM3344">
        <v>162500</v>
      </c>
      <c r="AO3344" t="s">
        <v>12847</v>
      </c>
      <c r="AS3344">
        <v>0.1</v>
      </c>
      <c r="AT3344" t="s">
        <v>421</v>
      </c>
      <c r="AU3344" t="s">
        <v>88</v>
      </c>
      <c r="AV3344" t="s">
        <v>13145</v>
      </c>
    </row>
    <row r="3345" spans="1:47">
      <c r="A3345" s="1">
        <f>HYPERLINK("https://cms.ls-nyc.org/matter/dynamic-profile/view/1871582","18-1871582")</f>
        <v>0</v>
      </c>
      <c r="B3345" t="s">
        <v>128</v>
      </c>
      <c r="C3345" t="s">
        <v>374</v>
      </c>
      <c r="E3345" t="s">
        <v>777</v>
      </c>
      <c r="F3345" t="s">
        <v>3630</v>
      </c>
      <c r="G3345" t="s">
        <v>3838</v>
      </c>
      <c r="I3345" t="s">
        <v>6049</v>
      </c>
      <c r="J3345">
        <v>10034</v>
      </c>
      <c r="K3345" t="s">
        <v>6074</v>
      </c>
      <c r="L3345" t="s">
        <v>6074</v>
      </c>
      <c r="M3345" t="s">
        <v>6377</v>
      </c>
      <c r="N3345" t="s">
        <v>7273</v>
      </c>
      <c r="O3345" t="s">
        <v>7308</v>
      </c>
      <c r="Q3345" t="s">
        <v>7322</v>
      </c>
      <c r="R3345" t="s">
        <v>6074</v>
      </c>
      <c r="S3345" t="s">
        <v>7324</v>
      </c>
      <c r="U3345" t="s">
        <v>374</v>
      </c>
      <c r="V3345">
        <v>1920</v>
      </c>
      <c r="W3345" t="s">
        <v>7365</v>
      </c>
      <c r="X3345" t="s">
        <v>7367</v>
      </c>
      <c r="Z3345" t="s">
        <v>9833</v>
      </c>
      <c r="AB3345" t="s">
        <v>12408</v>
      </c>
      <c r="AC3345">
        <v>67</v>
      </c>
      <c r="AD3345" t="s">
        <v>12422</v>
      </c>
      <c r="AE3345" t="s">
        <v>6110</v>
      </c>
      <c r="AF3345">
        <v>1</v>
      </c>
      <c r="AG3345">
        <v>1</v>
      </c>
      <c r="AH3345">
        <v>0</v>
      </c>
      <c r="AI3345">
        <v>766.0599999999999</v>
      </c>
      <c r="AL3345" t="s">
        <v>12460</v>
      </c>
      <c r="AM3345">
        <v>93000</v>
      </c>
      <c r="AS3345">
        <v>1.3</v>
      </c>
      <c r="AT3345" t="s">
        <v>483</v>
      </c>
      <c r="AU3345" t="s">
        <v>13106</v>
      </c>
    </row>
    <row r="3346" spans="1:47">
      <c r="A3346" s="1">
        <f>HYPERLINK("https://cms.ls-nyc.org/matter/dynamic-profile/view/1891137","19-1891137")</f>
        <v>0</v>
      </c>
      <c r="B3346" t="s">
        <v>83</v>
      </c>
      <c r="C3346" t="s">
        <v>491</v>
      </c>
      <c r="E3346" t="s">
        <v>636</v>
      </c>
      <c r="F3346" t="s">
        <v>2119</v>
      </c>
      <c r="G3346" t="s">
        <v>3730</v>
      </c>
      <c r="H3346" t="s">
        <v>6021</v>
      </c>
      <c r="I3346" t="s">
        <v>6043</v>
      </c>
      <c r="J3346">
        <v>11225</v>
      </c>
      <c r="K3346" t="s">
        <v>6074</v>
      </c>
      <c r="L3346" t="s">
        <v>6074</v>
      </c>
      <c r="M3346" t="s">
        <v>7235</v>
      </c>
      <c r="N3346" t="s">
        <v>7279</v>
      </c>
      <c r="O3346" t="s">
        <v>7311</v>
      </c>
      <c r="Q3346" t="s">
        <v>7322</v>
      </c>
      <c r="R3346" t="s">
        <v>6074</v>
      </c>
      <c r="S3346" t="s">
        <v>7324</v>
      </c>
      <c r="U3346" t="s">
        <v>337</v>
      </c>
      <c r="V3346">
        <v>1510</v>
      </c>
      <c r="W3346" t="s">
        <v>7362</v>
      </c>
      <c r="X3346" t="s">
        <v>7376</v>
      </c>
      <c r="Z3346" t="s">
        <v>9834</v>
      </c>
      <c r="AB3346" t="s">
        <v>12409</v>
      </c>
      <c r="AC3346">
        <v>89</v>
      </c>
      <c r="AD3346" t="s">
        <v>12422</v>
      </c>
      <c r="AF3346">
        <v>5</v>
      </c>
      <c r="AG3346">
        <v>1</v>
      </c>
      <c r="AH3346">
        <v>0</v>
      </c>
      <c r="AI3346">
        <v>800.64</v>
      </c>
      <c r="AL3346" t="s">
        <v>12460</v>
      </c>
      <c r="AM3346">
        <v>100000</v>
      </c>
      <c r="AS3346">
        <v>0</v>
      </c>
      <c r="AU3346" t="s">
        <v>88</v>
      </c>
    </row>
    <row r="3347" spans="1:47">
      <c r="A3347" s="1">
        <f>HYPERLINK("https://cms.ls-nyc.org/matter/dynamic-profile/view/1892946","19-1892946")</f>
        <v>0</v>
      </c>
      <c r="B3347" t="s">
        <v>83</v>
      </c>
      <c r="C3347" t="s">
        <v>356</v>
      </c>
      <c r="E3347" t="s">
        <v>636</v>
      </c>
      <c r="F3347" t="s">
        <v>2119</v>
      </c>
      <c r="G3347" t="s">
        <v>3730</v>
      </c>
      <c r="H3347" t="s">
        <v>6021</v>
      </c>
      <c r="I3347" t="s">
        <v>6043</v>
      </c>
      <c r="J3347">
        <v>11225</v>
      </c>
      <c r="K3347" t="s">
        <v>6074</v>
      </c>
      <c r="L3347" t="s">
        <v>6074</v>
      </c>
      <c r="M3347" t="s">
        <v>7234</v>
      </c>
      <c r="N3347" t="s">
        <v>7279</v>
      </c>
      <c r="O3347" t="s">
        <v>7308</v>
      </c>
      <c r="Q3347" t="s">
        <v>7322</v>
      </c>
      <c r="R3347" t="s">
        <v>6074</v>
      </c>
      <c r="S3347" t="s">
        <v>7324</v>
      </c>
      <c r="U3347" t="s">
        <v>420</v>
      </c>
      <c r="V3347">
        <v>1510</v>
      </c>
      <c r="W3347" t="s">
        <v>7362</v>
      </c>
      <c r="X3347" t="s">
        <v>7376</v>
      </c>
      <c r="Z3347" t="s">
        <v>9834</v>
      </c>
      <c r="AB3347" t="s">
        <v>12409</v>
      </c>
      <c r="AC3347">
        <v>86</v>
      </c>
      <c r="AD3347" t="s">
        <v>12422</v>
      </c>
      <c r="AF3347">
        <v>5</v>
      </c>
      <c r="AG3347">
        <v>1</v>
      </c>
      <c r="AH3347">
        <v>0</v>
      </c>
      <c r="AI3347">
        <v>800.64</v>
      </c>
      <c r="AL3347" t="s">
        <v>12460</v>
      </c>
      <c r="AM3347">
        <v>100000</v>
      </c>
      <c r="AS3347">
        <v>0</v>
      </c>
      <c r="AU3347" t="s">
        <v>88</v>
      </c>
    </row>
    <row r="3348" spans="1:47">
      <c r="A3348" s="1">
        <f>HYPERLINK("https://cms.ls-nyc.org/matter/dynamic-profile/view/1876541","18-1876541")</f>
        <v>0</v>
      </c>
      <c r="B3348" t="s">
        <v>90</v>
      </c>
      <c r="C3348" t="s">
        <v>401</v>
      </c>
      <c r="E3348" t="s">
        <v>2022</v>
      </c>
      <c r="F3348" t="s">
        <v>3607</v>
      </c>
      <c r="G3348" t="s">
        <v>4507</v>
      </c>
      <c r="H3348" t="s">
        <v>5529</v>
      </c>
      <c r="I3348" t="s">
        <v>6043</v>
      </c>
      <c r="J3348">
        <v>11216</v>
      </c>
      <c r="K3348" t="s">
        <v>6074</v>
      </c>
      <c r="L3348" t="s">
        <v>6074</v>
      </c>
      <c r="M3348" t="s">
        <v>6104</v>
      </c>
      <c r="N3348" t="s">
        <v>7282</v>
      </c>
      <c r="O3348" t="s">
        <v>7308</v>
      </c>
      <c r="Q3348" t="s">
        <v>7322</v>
      </c>
      <c r="R3348" t="s">
        <v>6074</v>
      </c>
      <c r="S3348" t="s">
        <v>7324</v>
      </c>
      <c r="U3348" t="s">
        <v>521</v>
      </c>
      <c r="V3348">
        <v>2300</v>
      </c>
      <c r="W3348" t="s">
        <v>7362</v>
      </c>
      <c r="X3348" t="s">
        <v>7375</v>
      </c>
      <c r="Z3348" t="s">
        <v>9791</v>
      </c>
      <c r="AB3348" t="s">
        <v>12376</v>
      </c>
      <c r="AC3348">
        <v>8</v>
      </c>
      <c r="AD3348" t="s">
        <v>12422</v>
      </c>
      <c r="AE3348" t="s">
        <v>6110</v>
      </c>
      <c r="AF3348">
        <v>2</v>
      </c>
      <c r="AG3348">
        <v>2</v>
      </c>
      <c r="AH3348">
        <v>0</v>
      </c>
      <c r="AI3348">
        <v>820.17</v>
      </c>
      <c r="AJ3348" t="s">
        <v>350</v>
      </c>
      <c r="AK3348" t="s">
        <v>12456</v>
      </c>
      <c r="AL3348" t="s">
        <v>12460</v>
      </c>
      <c r="AM3348">
        <v>135000</v>
      </c>
      <c r="AN3348" t="s">
        <v>12532</v>
      </c>
      <c r="AS3348">
        <v>0</v>
      </c>
      <c r="AU3348" t="s">
        <v>218</v>
      </c>
    </row>
    <row r="3349" spans="1:47">
      <c r="A3349" s="1">
        <f>HYPERLINK("https://cms.ls-nyc.org/matter/dynamic-profile/view/1876803","18-1876803")</f>
        <v>0</v>
      </c>
      <c r="B3349" t="s">
        <v>90</v>
      </c>
      <c r="C3349" t="s">
        <v>238</v>
      </c>
      <c r="E3349" t="s">
        <v>2039</v>
      </c>
      <c r="F3349" t="s">
        <v>3631</v>
      </c>
      <c r="G3349" t="s">
        <v>4507</v>
      </c>
      <c r="H3349" t="s">
        <v>5455</v>
      </c>
      <c r="I3349" t="s">
        <v>6043</v>
      </c>
      <c r="J3349">
        <v>11216</v>
      </c>
      <c r="K3349" t="s">
        <v>6074</v>
      </c>
      <c r="L3349" t="s">
        <v>6074</v>
      </c>
      <c r="N3349" t="s">
        <v>7282</v>
      </c>
      <c r="O3349" t="s">
        <v>7308</v>
      </c>
      <c r="Q3349" t="s">
        <v>7322</v>
      </c>
      <c r="R3349" t="s">
        <v>6074</v>
      </c>
      <c r="S3349" t="s">
        <v>7324</v>
      </c>
      <c r="U3349" t="s">
        <v>233</v>
      </c>
      <c r="V3349">
        <v>1550</v>
      </c>
      <c r="W3349" t="s">
        <v>7362</v>
      </c>
      <c r="X3349" t="s">
        <v>7375</v>
      </c>
      <c r="Z3349" t="s">
        <v>9835</v>
      </c>
      <c r="AC3349">
        <v>82</v>
      </c>
      <c r="AD3349" t="s">
        <v>12422</v>
      </c>
      <c r="AE3349" t="s">
        <v>6110</v>
      </c>
      <c r="AF3349">
        <v>1</v>
      </c>
      <c r="AG3349">
        <v>1</v>
      </c>
      <c r="AH3349">
        <v>0</v>
      </c>
      <c r="AI3349">
        <v>823.72</v>
      </c>
      <c r="AL3349" t="s">
        <v>12460</v>
      </c>
      <c r="AM3349">
        <v>100000</v>
      </c>
      <c r="AN3349" t="s">
        <v>12838</v>
      </c>
      <c r="AS3349">
        <v>0</v>
      </c>
      <c r="AU3349" t="s">
        <v>218</v>
      </c>
    </row>
    <row r="3350" spans="1:47">
      <c r="A3350" s="1">
        <f>HYPERLINK("https://cms.ls-nyc.org/matter/dynamic-profile/view/1876799","18-1876799")</f>
        <v>0</v>
      </c>
      <c r="B3350" t="s">
        <v>90</v>
      </c>
      <c r="C3350" t="s">
        <v>238</v>
      </c>
      <c r="E3350" t="s">
        <v>2039</v>
      </c>
      <c r="F3350" t="s">
        <v>3631</v>
      </c>
      <c r="G3350" t="s">
        <v>4507</v>
      </c>
      <c r="H3350" t="s">
        <v>5455</v>
      </c>
      <c r="I3350" t="s">
        <v>6043</v>
      </c>
      <c r="J3350">
        <v>11216</v>
      </c>
      <c r="K3350" t="s">
        <v>6074</v>
      </c>
      <c r="L3350" t="s">
        <v>6074</v>
      </c>
      <c r="N3350" t="s">
        <v>6104</v>
      </c>
      <c r="O3350" t="s">
        <v>7307</v>
      </c>
      <c r="Q3350" t="s">
        <v>7322</v>
      </c>
      <c r="R3350" t="s">
        <v>6074</v>
      </c>
      <c r="S3350" t="s">
        <v>7324</v>
      </c>
      <c r="U3350" t="s">
        <v>233</v>
      </c>
      <c r="V3350">
        <v>1550</v>
      </c>
      <c r="W3350" t="s">
        <v>7362</v>
      </c>
      <c r="X3350" t="s">
        <v>7375</v>
      </c>
      <c r="Z3350" t="s">
        <v>9835</v>
      </c>
      <c r="AC3350">
        <v>82</v>
      </c>
      <c r="AD3350" t="s">
        <v>12422</v>
      </c>
      <c r="AE3350" t="s">
        <v>6110</v>
      </c>
      <c r="AF3350">
        <v>1</v>
      </c>
      <c r="AG3350">
        <v>1</v>
      </c>
      <c r="AH3350">
        <v>0</v>
      </c>
      <c r="AI3350">
        <v>823.72</v>
      </c>
      <c r="AL3350" t="s">
        <v>12460</v>
      </c>
      <c r="AM3350">
        <v>100000</v>
      </c>
      <c r="AN3350" t="s">
        <v>12491</v>
      </c>
      <c r="AS3350">
        <v>0</v>
      </c>
      <c r="AU3350" t="s">
        <v>218</v>
      </c>
    </row>
    <row r="3351" spans="1:47">
      <c r="A3351" s="1">
        <f>HYPERLINK("https://cms.ls-nyc.org/matter/dynamic-profile/view/1883950","18-1883950")</f>
        <v>0</v>
      </c>
      <c r="B3351" t="s">
        <v>128</v>
      </c>
      <c r="C3351" t="s">
        <v>412</v>
      </c>
      <c r="D3351" t="s">
        <v>344</v>
      </c>
      <c r="E3351" t="s">
        <v>2040</v>
      </c>
      <c r="F3351" t="s">
        <v>3632</v>
      </c>
      <c r="G3351" t="s">
        <v>5341</v>
      </c>
      <c r="H3351">
        <v>68</v>
      </c>
      <c r="I3351" t="s">
        <v>6049</v>
      </c>
      <c r="J3351">
        <v>10033</v>
      </c>
      <c r="K3351" t="s">
        <v>6074</v>
      </c>
      <c r="L3351" t="s">
        <v>6076</v>
      </c>
      <c r="N3351" t="s">
        <v>6104</v>
      </c>
      <c r="O3351" t="s">
        <v>7306</v>
      </c>
      <c r="P3351" t="s">
        <v>7314</v>
      </c>
      <c r="Q3351" t="s">
        <v>7322</v>
      </c>
      <c r="R3351" t="s">
        <v>6076</v>
      </c>
      <c r="S3351" t="s">
        <v>7324</v>
      </c>
      <c r="U3351" t="s">
        <v>275</v>
      </c>
      <c r="V3351">
        <v>1190</v>
      </c>
      <c r="W3351" t="s">
        <v>7365</v>
      </c>
      <c r="X3351" t="s">
        <v>7367</v>
      </c>
      <c r="Y3351" t="s">
        <v>7386</v>
      </c>
      <c r="Z3351" t="s">
        <v>9836</v>
      </c>
      <c r="AB3351" t="s">
        <v>12410</v>
      </c>
      <c r="AC3351">
        <v>67</v>
      </c>
      <c r="AD3351" t="s">
        <v>12422</v>
      </c>
      <c r="AE3351" t="s">
        <v>6110</v>
      </c>
      <c r="AF3351">
        <v>30</v>
      </c>
      <c r="AG3351">
        <v>1</v>
      </c>
      <c r="AH3351">
        <v>0</v>
      </c>
      <c r="AI3351">
        <v>823.72</v>
      </c>
      <c r="AL3351" t="s">
        <v>12460</v>
      </c>
      <c r="AM3351">
        <v>100000</v>
      </c>
      <c r="AS3351">
        <v>1.5</v>
      </c>
      <c r="AT3351" t="s">
        <v>416</v>
      </c>
      <c r="AU3351" t="s">
        <v>13106</v>
      </c>
    </row>
    <row r="3352" spans="1:47">
      <c r="A3352" s="1">
        <f>HYPERLINK("https://cms.ls-nyc.org/matter/dynamic-profile/view/1876833","18-1876833")</f>
        <v>0</v>
      </c>
      <c r="B3352" t="s">
        <v>90</v>
      </c>
      <c r="C3352" t="s">
        <v>238</v>
      </c>
      <c r="E3352" t="s">
        <v>1955</v>
      </c>
      <c r="F3352" t="s">
        <v>3633</v>
      </c>
      <c r="G3352" t="s">
        <v>4507</v>
      </c>
      <c r="H3352" t="s">
        <v>5453</v>
      </c>
      <c r="I3352" t="s">
        <v>6043</v>
      </c>
      <c r="J3352">
        <v>11216</v>
      </c>
      <c r="K3352" t="s">
        <v>6074</v>
      </c>
      <c r="L3352" t="s">
        <v>6074</v>
      </c>
      <c r="N3352" t="s">
        <v>7282</v>
      </c>
      <c r="O3352" t="s">
        <v>7308</v>
      </c>
      <c r="Q3352" t="s">
        <v>7322</v>
      </c>
      <c r="R3352" t="s">
        <v>6074</v>
      </c>
      <c r="S3352" t="s">
        <v>7324</v>
      </c>
      <c r="U3352" t="s">
        <v>233</v>
      </c>
      <c r="V3352">
        <v>1400</v>
      </c>
      <c r="W3352" t="s">
        <v>7362</v>
      </c>
      <c r="X3352" t="s">
        <v>7375</v>
      </c>
      <c r="Z3352" t="s">
        <v>9837</v>
      </c>
      <c r="AB3352" t="s">
        <v>12411</v>
      </c>
      <c r="AC3352">
        <v>82</v>
      </c>
      <c r="AD3352" t="s">
        <v>12422</v>
      </c>
      <c r="AE3352" t="s">
        <v>6110</v>
      </c>
      <c r="AF3352">
        <v>2</v>
      </c>
      <c r="AG3352">
        <v>1</v>
      </c>
      <c r="AH3352">
        <v>0</v>
      </c>
      <c r="AI3352">
        <v>838.59</v>
      </c>
      <c r="AL3352" t="s">
        <v>12460</v>
      </c>
      <c r="AM3352">
        <v>101805</v>
      </c>
      <c r="AN3352" t="s">
        <v>12839</v>
      </c>
      <c r="AS3352">
        <v>0</v>
      </c>
      <c r="AU3352" t="s">
        <v>218</v>
      </c>
    </row>
    <row r="3353" spans="1:47">
      <c r="A3353" s="1">
        <f>HYPERLINK("https://cms.ls-nyc.org/matter/dynamic-profile/view/1876828","18-1876828")</f>
        <v>0</v>
      </c>
      <c r="B3353" t="s">
        <v>90</v>
      </c>
      <c r="C3353" t="s">
        <v>238</v>
      </c>
      <c r="E3353" t="s">
        <v>1955</v>
      </c>
      <c r="F3353" t="s">
        <v>3633</v>
      </c>
      <c r="G3353" t="s">
        <v>4507</v>
      </c>
      <c r="H3353" t="s">
        <v>5453</v>
      </c>
      <c r="I3353" t="s">
        <v>6043</v>
      </c>
      <c r="J3353">
        <v>11216</v>
      </c>
      <c r="K3353" t="s">
        <v>6074</v>
      </c>
      <c r="L3353" t="s">
        <v>6074</v>
      </c>
      <c r="N3353" t="s">
        <v>6104</v>
      </c>
      <c r="O3353" t="s">
        <v>7307</v>
      </c>
      <c r="Q3353" t="s">
        <v>7322</v>
      </c>
      <c r="R3353" t="s">
        <v>6074</v>
      </c>
      <c r="S3353" t="s">
        <v>7324</v>
      </c>
      <c r="U3353" t="s">
        <v>233</v>
      </c>
      <c r="V3353">
        <v>1400</v>
      </c>
      <c r="W3353" t="s">
        <v>7362</v>
      </c>
      <c r="X3353" t="s">
        <v>7375</v>
      </c>
      <c r="Z3353" t="s">
        <v>9837</v>
      </c>
      <c r="AB3353" t="s">
        <v>12411</v>
      </c>
      <c r="AC3353">
        <v>82</v>
      </c>
      <c r="AD3353" t="s">
        <v>12422</v>
      </c>
      <c r="AE3353" t="s">
        <v>6110</v>
      </c>
      <c r="AF3353">
        <v>2</v>
      </c>
      <c r="AG3353">
        <v>1</v>
      </c>
      <c r="AH3353">
        <v>0</v>
      </c>
      <c r="AI3353">
        <v>838.59</v>
      </c>
      <c r="AL3353" t="s">
        <v>12460</v>
      </c>
      <c r="AM3353">
        <v>101805</v>
      </c>
      <c r="AN3353" t="s">
        <v>12491</v>
      </c>
      <c r="AS3353">
        <v>0</v>
      </c>
      <c r="AU3353" t="s">
        <v>218</v>
      </c>
    </row>
    <row r="3354" spans="1:47">
      <c r="A3354" s="1">
        <f>HYPERLINK("https://cms.ls-nyc.org/matter/dynamic-profile/view/1871568","18-1871568")</f>
        <v>0</v>
      </c>
      <c r="B3354" t="s">
        <v>128</v>
      </c>
      <c r="C3354" t="s">
        <v>374</v>
      </c>
      <c r="E3354" t="s">
        <v>2041</v>
      </c>
      <c r="F3354" t="s">
        <v>3634</v>
      </c>
      <c r="G3354" t="s">
        <v>3838</v>
      </c>
      <c r="H3354" t="s">
        <v>5435</v>
      </c>
      <c r="I3354" t="s">
        <v>6049</v>
      </c>
      <c r="J3354">
        <v>10034</v>
      </c>
      <c r="K3354" t="s">
        <v>6074</v>
      </c>
      <c r="L3354" t="s">
        <v>6074</v>
      </c>
      <c r="M3354" t="s">
        <v>6377</v>
      </c>
      <c r="N3354" t="s">
        <v>7273</v>
      </c>
      <c r="O3354" t="s">
        <v>7308</v>
      </c>
      <c r="Q3354" t="s">
        <v>7322</v>
      </c>
      <c r="R3354" t="s">
        <v>6074</v>
      </c>
      <c r="S3354" t="s">
        <v>7324</v>
      </c>
      <c r="U3354" t="s">
        <v>374</v>
      </c>
      <c r="V3354">
        <v>1589.4</v>
      </c>
      <c r="W3354" t="s">
        <v>7365</v>
      </c>
      <c r="X3354" t="s">
        <v>7367</v>
      </c>
      <c r="Z3354" t="s">
        <v>9838</v>
      </c>
      <c r="AB3354" t="s">
        <v>12412</v>
      </c>
      <c r="AC3354">
        <v>67</v>
      </c>
      <c r="AD3354" t="s">
        <v>12422</v>
      </c>
      <c r="AE3354" t="s">
        <v>6110</v>
      </c>
      <c r="AF3354">
        <v>4</v>
      </c>
      <c r="AG3354">
        <v>1</v>
      </c>
      <c r="AH3354">
        <v>0</v>
      </c>
      <c r="AI3354">
        <v>864.91</v>
      </c>
      <c r="AL3354" t="s">
        <v>12460</v>
      </c>
      <c r="AM3354">
        <v>105000</v>
      </c>
      <c r="AS3354">
        <v>0.4</v>
      </c>
      <c r="AT3354" t="s">
        <v>483</v>
      </c>
      <c r="AU3354" t="s">
        <v>13106</v>
      </c>
    </row>
    <row r="3355" spans="1:47">
      <c r="A3355" s="1">
        <f>HYPERLINK("https://cms.ls-nyc.org/matter/dynamic-profile/view/1876797","18-1876797")</f>
        <v>0</v>
      </c>
      <c r="B3355" t="s">
        <v>90</v>
      </c>
      <c r="C3355" t="s">
        <v>238</v>
      </c>
      <c r="E3355" t="s">
        <v>2042</v>
      </c>
      <c r="F3355" t="s">
        <v>3635</v>
      </c>
      <c r="G3355" t="s">
        <v>4507</v>
      </c>
      <c r="H3355" t="s">
        <v>5521</v>
      </c>
      <c r="I3355" t="s">
        <v>6043</v>
      </c>
      <c r="J3355">
        <v>11216</v>
      </c>
      <c r="K3355" t="s">
        <v>6074</v>
      </c>
      <c r="L3355" t="s">
        <v>6074</v>
      </c>
      <c r="N3355" t="s">
        <v>7282</v>
      </c>
      <c r="O3355" t="s">
        <v>7308</v>
      </c>
      <c r="Q3355" t="s">
        <v>7322</v>
      </c>
      <c r="R3355" t="s">
        <v>6074</v>
      </c>
      <c r="S3355" t="s">
        <v>7324</v>
      </c>
      <c r="U3355" t="s">
        <v>233</v>
      </c>
      <c r="V3355">
        <v>1450</v>
      </c>
      <c r="W3355" t="s">
        <v>7362</v>
      </c>
      <c r="X3355" t="s">
        <v>7375</v>
      </c>
      <c r="Z3355" t="s">
        <v>9839</v>
      </c>
      <c r="AB3355" t="s">
        <v>12413</v>
      </c>
      <c r="AC3355">
        <v>0</v>
      </c>
      <c r="AD3355" t="s">
        <v>12422</v>
      </c>
      <c r="AE3355" t="s">
        <v>6110</v>
      </c>
      <c r="AF3355">
        <v>0</v>
      </c>
      <c r="AG3355">
        <v>1</v>
      </c>
      <c r="AH3355">
        <v>0</v>
      </c>
      <c r="AI3355">
        <v>873.15</v>
      </c>
      <c r="AL3355" t="s">
        <v>12478</v>
      </c>
      <c r="AM3355">
        <v>106000</v>
      </c>
      <c r="AN3355" t="s">
        <v>12840</v>
      </c>
      <c r="AS3355">
        <v>0</v>
      </c>
      <c r="AU3355" t="s">
        <v>218</v>
      </c>
    </row>
    <row r="3356" spans="1:47">
      <c r="A3356" s="1">
        <f>HYPERLINK("https://cms.ls-nyc.org/matter/dynamic-profile/view/1876793","18-1876793")</f>
        <v>0</v>
      </c>
      <c r="B3356" t="s">
        <v>90</v>
      </c>
      <c r="C3356" t="s">
        <v>238</v>
      </c>
      <c r="E3356" t="s">
        <v>2042</v>
      </c>
      <c r="F3356" t="s">
        <v>3635</v>
      </c>
      <c r="G3356" t="s">
        <v>4507</v>
      </c>
      <c r="H3356" t="s">
        <v>5521</v>
      </c>
      <c r="I3356" t="s">
        <v>6043</v>
      </c>
      <c r="J3356">
        <v>11216</v>
      </c>
      <c r="K3356" t="s">
        <v>6074</v>
      </c>
      <c r="L3356" t="s">
        <v>6074</v>
      </c>
      <c r="N3356" t="s">
        <v>6104</v>
      </c>
      <c r="O3356" t="s">
        <v>7307</v>
      </c>
      <c r="Q3356" t="s">
        <v>7322</v>
      </c>
      <c r="R3356" t="s">
        <v>6074</v>
      </c>
      <c r="S3356" t="s">
        <v>7324</v>
      </c>
      <c r="U3356" t="s">
        <v>233</v>
      </c>
      <c r="V3356">
        <v>1450</v>
      </c>
      <c r="W3356" t="s">
        <v>7362</v>
      </c>
      <c r="X3356" t="s">
        <v>7375</v>
      </c>
      <c r="Z3356" t="s">
        <v>9839</v>
      </c>
      <c r="AB3356" t="s">
        <v>12413</v>
      </c>
      <c r="AC3356">
        <v>82</v>
      </c>
      <c r="AD3356" t="s">
        <v>12422</v>
      </c>
      <c r="AE3356" t="s">
        <v>6110</v>
      </c>
      <c r="AF3356">
        <v>0</v>
      </c>
      <c r="AG3356">
        <v>1</v>
      </c>
      <c r="AH3356">
        <v>0</v>
      </c>
      <c r="AI3356">
        <v>873.15</v>
      </c>
      <c r="AL3356" t="s">
        <v>12478</v>
      </c>
      <c r="AM3356">
        <v>106000</v>
      </c>
      <c r="AN3356" t="s">
        <v>12491</v>
      </c>
      <c r="AS3356">
        <v>0</v>
      </c>
      <c r="AU3356" t="s">
        <v>218</v>
      </c>
    </row>
    <row r="3357" spans="1:47">
      <c r="A3357" s="1">
        <f>HYPERLINK("https://cms.ls-nyc.org/matter/dynamic-profile/view/1882803","18-1882803")</f>
        <v>0</v>
      </c>
      <c r="B3357" t="s">
        <v>130</v>
      </c>
      <c r="C3357" t="s">
        <v>246</v>
      </c>
      <c r="D3357" t="s">
        <v>320</v>
      </c>
      <c r="E3357" t="s">
        <v>2043</v>
      </c>
      <c r="F3357" t="s">
        <v>3636</v>
      </c>
      <c r="G3357" t="s">
        <v>5342</v>
      </c>
      <c r="H3357" t="s">
        <v>5446</v>
      </c>
      <c r="I3357" t="s">
        <v>6049</v>
      </c>
      <c r="J3357">
        <v>10040</v>
      </c>
      <c r="K3357" t="s">
        <v>6074</v>
      </c>
      <c r="L3357" t="s">
        <v>6074</v>
      </c>
      <c r="N3357" t="s">
        <v>7274</v>
      </c>
      <c r="O3357" t="s">
        <v>7306</v>
      </c>
      <c r="P3357" t="s">
        <v>7314</v>
      </c>
      <c r="Q3357" t="s">
        <v>7322</v>
      </c>
      <c r="R3357" t="s">
        <v>6076</v>
      </c>
      <c r="S3357" t="s">
        <v>7324</v>
      </c>
      <c r="U3357" t="s">
        <v>296</v>
      </c>
      <c r="V3357">
        <v>250</v>
      </c>
      <c r="W3357" t="s">
        <v>7365</v>
      </c>
      <c r="X3357" t="s">
        <v>7367</v>
      </c>
      <c r="Y3357" t="s">
        <v>7386</v>
      </c>
      <c r="Z3357" t="s">
        <v>9840</v>
      </c>
      <c r="AB3357" t="s">
        <v>12414</v>
      </c>
      <c r="AC3357">
        <v>85</v>
      </c>
      <c r="AD3357" t="s">
        <v>12422</v>
      </c>
      <c r="AE3357" t="s">
        <v>6110</v>
      </c>
      <c r="AF3357">
        <v>1</v>
      </c>
      <c r="AG3357">
        <v>2</v>
      </c>
      <c r="AH3357">
        <v>0</v>
      </c>
      <c r="AI3357">
        <v>880.92</v>
      </c>
      <c r="AL3357" t="s">
        <v>12460</v>
      </c>
      <c r="AM3357">
        <v>145000</v>
      </c>
      <c r="AS3357">
        <v>1.1</v>
      </c>
      <c r="AT3357" t="s">
        <v>320</v>
      </c>
      <c r="AU3357" t="s">
        <v>13106</v>
      </c>
    </row>
    <row r="3358" spans="1:47">
      <c r="A3358" s="1">
        <f>HYPERLINK("https://cms.ls-nyc.org/matter/dynamic-profile/view/1879582","18-1879582")</f>
        <v>0</v>
      </c>
      <c r="B3358" t="s">
        <v>60</v>
      </c>
      <c r="C3358" t="s">
        <v>239</v>
      </c>
      <c r="D3358" t="s">
        <v>245</v>
      </c>
      <c r="E3358" t="s">
        <v>2044</v>
      </c>
      <c r="F3358" t="s">
        <v>3637</v>
      </c>
      <c r="G3358" t="s">
        <v>5343</v>
      </c>
      <c r="H3358">
        <v>2</v>
      </c>
      <c r="I3358" t="s">
        <v>6068</v>
      </c>
      <c r="J3358">
        <v>11385</v>
      </c>
      <c r="K3358" t="s">
        <v>6074</v>
      </c>
      <c r="L3358" t="s">
        <v>6074</v>
      </c>
      <c r="M3358" t="s">
        <v>6101</v>
      </c>
      <c r="N3358" t="s">
        <v>6104</v>
      </c>
      <c r="O3358" t="s">
        <v>7306</v>
      </c>
      <c r="P3358" t="s">
        <v>7314</v>
      </c>
      <c r="Q3358" t="s">
        <v>7323</v>
      </c>
      <c r="R3358" t="s">
        <v>6076</v>
      </c>
      <c r="S3358" t="s">
        <v>7324</v>
      </c>
      <c r="T3358" t="s">
        <v>7336</v>
      </c>
      <c r="U3358" t="s">
        <v>239</v>
      </c>
      <c r="V3358">
        <v>2050</v>
      </c>
      <c r="W3358" t="s">
        <v>7361</v>
      </c>
      <c r="X3358" t="s">
        <v>7369</v>
      </c>
      <c r="Y3358" t="s">
        <v>7386</v>
      </c>
      <c r="Z3358" t="s">
        <v>9841</v>
      </c>
      <c r="AB3358" t="s">
        <v>12415</v>
      </c>
      <c r="AC3358">
        <v>2</v>
      </c>
      <c r="AD3358" t="s">
        <v>12419</v>
      </c>
      <c r="AE3358" t="s">
        <v>6110</v>
      </c>
      <c r="AF3358">
        <v>1</v>
      </c>
      <c r="AG3358">
        <v>1</v>
      </c>
      <c r="AH3358">
        <v>0</v>
      </c>
      <c r="AI3358">
        <v>906.1</v>
      </c>
      <c r="AJ3358" t="s">
        <v>12443</v>
      </c>
      <c r="AK3358" t="s">
        <v>12455</v>
      </c>
      <c r="AL3358" t="s">
        <v>12460</v>
      </c>
      <c r="AM3358">
        <v>110000</v>
      </c>
      <c r="AS3358">
        <v>2.32</v>
      </c>
      <c r="AT3358" t="s">
        <v>403</v>
      </c>
      <c r="AU3358" t="s">
        <v>60</v>
      </c>
    </row>
    <row r="3359" spans="1:47">
      <c r="A3359" s="1">
        <f>HYPERLINK("https://cms.ls-nyc.org/matter/dynamic-profile/view/1889442","19-1889442")</f>
        <v>0</v>
      </c>
      <c r="B3359" t="s">
        <v>72</v>
      </c>
      <c r="C3359" t="s">
        <v>366</v>
      </c>
      <c r="E3359" t="s">
        <v>2045</v>
      </c>
      <c r="F3359" t="s">
        <v>2635</v>
      </c>
      <c r="G3359" t="s">
        <v>3701</v>
      </c>
      <c r="H3359" t="s">
        <v>6022</v>
      </c>
      <c r="I3359" t="s">
        <v>6043</v>
      </c>
      <c r="J3359">
        <v>11233</v>
      </c>
      <c r="K3359" t="s">
        <v>6074</v>
      </c>
      <c r="L3359" t="s">
        <v>6074</v>
      </c>
      <c r="N3359" t="s">
        <v>7279</v>
      </c>
      <c r="O3359" t="s">
        <v>7309</v>
      </c>
      <c r="Q3359" t="s">
        <v>7322</v>
      </c>
      <c r="R3359" t="s">
        <v>6074</v>
      </c>
      <c r="S3359" t="s">
        <v>7324</v>
      </c>
      <c r="T3359" t="s">
        <v>7336</v>
      </c>
      <c r="U3359" t="s">
        <v>250</v>
      </c>
      <c r="V3359">
        <v>0</v>
      </c>
      <c r="W3359" t="s">
        <v>7362</v>
      </c>
      <c r="Z3359" t="s">
        <v>9842</v>
      </c>
      <c r="AC3359">
        <v>0</v>
      </c>
      <c r="AD3359" t="s">
        <v>12422</v>
      </c>
      <c r="AF3359">
        <v>0</v>
      </c>
      <c r="AG3359">
        <v>3</v>
      </c>
      <c r="AH3359">
        <v>0</v>
      </c>
      <c r="AI3359">
        <v>909.52</v>
      </c>
      <c r="AL3359" t="s">
        <v>12460</v>
      </c>
      <c r="AM3359">
        <v>194000</v>
      </c>
      <c r="AS3359">
        <v>0</v>
      </c>
      <c r="AU3359" t="s">
        <v>180</v>
      </c>
    </row>
    <row r="3360" spans="1:47">
      <c r="A3360" s="1">
        <f>HYPERLINK("https://cms.ls-nyc.org/matter/dynamic-profile/view/1891458","19-1891458")</f>
        <v>0</v>
      </c>
      <c r="B3360" t="s">
        <v>72</v>
      </c>
      <c r="C3360" t="s">
        <v>278</v>
      </c>
      <c r="E3360" t="s">
        <v>2045</v>
      </c>
      <c r="F3360" t="s">
        <v>2635</v>
      </c>
      <c r="G3360" t="s">
        <v>3701</v>
      </c>
      <c r="H3360" t="s">
        <v>6022</v>
      </c>
      <c r="I3360" t="s">
        <v>6043</v>
      </c>
      <c r="J3360">
        <v>11233</v>
      </c>
      <c r="K3360" t="s">
        <v>6074</v>
      </c>
      <c r="L3360" t="s">
        <v>6074</v>
      </c>
      <c r="N3360" t="s">
        <v>7275</v>
      </c>
      <c r="O3360" t="s">
        <v>7307</v>
      </c>
      <c r="Q3360" t="s">
        <v>7322</v>
      </c>
      <c r="R3360" t="s">
        <v>6074</v>
      </c>
      <c r="S3360" t="s">
        <v>7324</v>
      </c>
      <c r="T3360" t="s">
        <v>7336</v>
      </c>
      <c r="U3360" t="s">
        <v>287</v>
      </c>
      <c r="V3360">
        <v>0</v>
      </c>
      <c r="W3360" t="s">
        <v>7362</v>
      </c>
      <c r="X3360" t="s">
        <v>7375</v>
      </c>
      <c r="Z3360" t="s">
        <v>9842</v>
      </c>
      <c r="AC3360">
        <v>764</v>
      </c>
      <c r="AD3360" t="s">
        <v>12422</v>
      </c>
      <c r="AE3360" t="s">
        <v>6110</v>
      </c>
      <c r="AF3360">
        <v>0</v>
      </c>
      <c r="AG3360">
        <v>3</v>
      </c>
      <c r="AH3360">
        <v>0</v>
      </c>
      <c r="AI3360">
        <v>909.52</v>
      </c>
      <c r="AL3360" t="s">
        <v>12460</v>
      </c>
      <c r="AM3360">
        <v>194000</v>
      </c>
      <c r="AN3360" t="s">
        <v>12841</v>
      </c>
      <c r="AS3360">
        <v>0</v>
      </c>
      <c r="AU3360" t="s">
        <v>180</v>
      </c>
    </row>
    <row r="3361" spans="1:48">
      <c r="A3361" s="1">
        <f>HYPERLINK("https://cms.ls-nyc.org/matter/dynamic-profile/view/1901164","19-1901164")</f>
        <v>0</v>
      </c>
      <c r="B3361" t="s">
        <v>131</v>
      </c>
      <c r="C3361" t="s">
        <v>324</v>
      </c>
      <c r="E3361" t="s">
        <v>740</v>
      </c>
      <c r="F3361" t="s">
        <v>3638</v>
      </c>
      <c r="G3361" t="s">
        <v>5344</v>
      </c>
      <c r="H3361" t="s">
        <v>5447</v>
      </c>
      <c r="I3361" t="s">
        <v>6049</v>
      </c>
      <c r="J3361">
        <v>10034</v>
      </c>
      <c r="K3361" t="s">
        <v>6074</v>
      </c>
      <c r="L3361" t="s">
        <v>6075</v>
      </c>
      <c r="N3361" t="s">
        <v>7279</v>
      </c>
      <c r="O3361" t="s">
        <v>7306</v>
      </c>
      <c r="Q3361" t="s">
        <v>7322</v>
      </c>
      <c r="R3361" t="s">
        <v>6076</v>
      </c>
      <c r="S3361" t="s">
        <v>7324</v>
      </c>
      <c r="U3361" t="s">
        <v>324</v>
      </c>
      <c r="V3361">
        <v>1670</v>
      </c>
      <c r="W3361" t="s">
        <v>7365</v>
      </c>
      <c r="X3361" t="s">
        <v>7367</v>
      </c>
      <c r="Z3361" t="s">
        <v>9843</v>
      </c>
      <c r="AB3361" t="s">
        <v>12416</v>
      </c>
      <c r="AC3361">
        <v>60</v>
      </c>
      <c r="AD3361" t="s">
        <v>12422</v>
      </c>
      <c r="AE3361" t="s">
        <v>6110</v>
      </c>
      <c r="AF3361">
        <v>6</v>
      </c>
      <c r="AG3361">
        <v>1</v>
      </c>
      <c r="AH3361">
        <v>0</v>
      </c>
      <c r="AI3361">
        <v>960.77</v>
      </c>
      <c r="AL3361" t="s">
        <v>12460</v>
      </c>
      <c r="AM3361">
        <v>120000</v>
      </c>
      <c r="AS3361">
        <v>0</v>
      </c>
      <c r="AU3361" t="s">
        <v>13106</v>
      </c>
      <c r="AV3361" t="s">
        <v>13145</v>
      </c>
    </row>
    <row r="3362" spans="1:48">
      <c r="A3362" s="1">
        <f>HYPERLINK("https://cms.ls-nyc.org/matter/dynamic-profile/view/1871586","18-1871586")</f>
        <v>0</v>
      </c>
      <c r="B3362" t="s">
        <v>128</v>
      </c>
      <c r="C3362" t="s">
        <v>374</v>
      </c>
      <c r="E3362" t="s">
        <v>1651</v>
      </c>
      <c r="F3362" t="s">
        <v>3639</v>
      </c>
      <c r="G3362" t="s">
        <v>3838</v>
      </c>
      <c r="H3362" t="s">
        <v>5417</v>
      </c>
      <c r="I3362" t="s">
        <v>6049</v>
      </c>
      <c r="J3362">
        <v>10034</v>
      </c>
      <c r="K3362" t="s">
        <v>6074</v>
      </c>
      <c r="L3362" t="s">
        <v>6075</v>
      </c>
      <c r="M3362" t="s">
        <v>6377</v>
      </c>
      <c r="N3362" t="s">
        <v>7273</v>
      </c>
      <c r="O3362" t="s">
        <v>7308</v>
      </c>
      <c r="Q3362" t="s">
        <v>7322</v>
      </c>
      <c r="R3362" t="s">
        <v>6074</v>
      </c>
      <c r="S3362" t="s">
        <v>7324</v>
      </c>
      <c r="U3362" t="s">
        <v>374</v>
      </c>
      <c r="V3362">
        <v>1800</v>
      </c>
      <c r="W3362" t="s">
        <v>7365</v>
      </c>
      <c r="X3362" t="s">
        <v>7367</v>
      </c>
      <c r="Z3362" t="s">
        <v>9844</v>
      </c>
      <c r="AC3362">
        <v>67</v>
      </c>
      <c r="AD3362" t="s">
        <v>12422</v>
      </c>
      <c r="AE3362" t="s">
        <v>6110</v>
      </c>
      <c r="AF3362">
        <v>1</v>
      </c>
      <c r="AG3362">
        <v>1</v>
      </c>
      <c r="AH3362">
        <v>0</v>
      </c>
      <c r="AI3362">
        <v>1029.65</v>
      </c>
      <c r="AL3362" t="s">
        <v>12460</v>
      </c>
      <c r="AM3362">
        <v>125000</v>
      </c>
      <c r="AS3362">
        <v>0.4</v>
      </c>
      <c r="AT3362" t="s">
        <v>483</v>
      </c>
      <c r="AU3362" t="s">
        <v>13106</v>
      </c>
    </row>
    <row r="3363" spans="1:48">
      <c r="A3363" s="1">
        <f>HYPERLINK("https://cms.ls-nyc.org/matter/dynamic-profile/view/1876947","18-1876947")</f>
        <v>0</v>
      </c>
      <c r="B3363" t="s">
        <v>90</v>
      </c>
      <c r="C3363" t="s">
        <v>290</v>
      </c>
      <c r="E3363" t="s">
        <v>1090</v>
      </c>
      <c r="F3363" t="s">
        <v>3640</v>
      </c>
      <c r="G3363" t="s">
        <v>4507</v>
      </c>
      <c r="H3363" t="s">
        <v>5390</v>
      </c>
      <c r="I3363" t="s">
        <v>6043</v>
      </c>
      <c r="J3363">
        <v>11216</v>
      </c>
      <c r="K3363" t="s">
        <v>6074</v>
      </c>
      <c r="L3363" t="s">
        <v>6074</v>
      </c>
      <c r="N3363" t="s">
        <v>7282</v>
      </c>
      <c r="O3363" t="s">
        <v>7308</v>
      </c>
      <c r="Q3363" t="s">
        <v>7322</v>
      </c>
      <c r="R3363" t="s">
        <v>6074</v>
      </c>
      <c r="S3363" t="s">
        <v>7324</v>
      </c>
      <c r="U3363" t="s">
        <v>427</v>
      </c>
      <c r="V3363">
        <v>2450</v>
      </c>
      <c r="W3363" t="s">
        <v>7362</v>
      </c>
      <c r="X3363" t="s">
        <v>7375</v>
      </c>
      <c r="Z3363" t="s">
        <v>9845</v>
      </c>
      <c r="AB3363" t="s">
        <v>12417</v>
      </c>
      <c r="AC3363">
        <v>82</v>
      </c>
      <c r="AD3363" t="s">
        <v>12422</v>
      </c>
      <c r="AE3363" t="s">
        <v>6110</v>
      </c>
      <c r="AF3363">
        <v>3</v>
      </c>
      <c r="AG3363">
        <v>1</v>
      </c>
      <c r="AH3363">
        <v>0</v>
      </c>
      <c r="AI3363">
        <v>1087.31</v>
      </c>
      <c r="AL3363" t="s">
        <v>12460</v>
      </c>
      <c r="AM3363">
        <v>132000</v>
      </c>
      <c r="AN3363" t="s">
        <v>12842</v>
      </c>
      <c r="AS3363">
        <v>0.5</v>
      </c>
      <c r="AT3363" t="s">
        <v>357</v>
      </c>
      <c r="AU3363" t="s">
        <v>218</v>
      </c>
    </row>
    <row r="3364" spans="1:48">
      <c r="A3364" s="1">
        <f>HYPERLINK("https://cms.ls-nyc.org/matter/dynamic-profile/view/1876941","18-1876941")</f>
        <v>0</v>
      </c>
      <c r="B3364" t="s">
        <v>90</v>
      </c>
      <c r="C3364" t="s">
        <v>290</v>
      </c>
      <c r="E3364" t="s">
        <v>1090</v>
      </c>
      <c r="F3364" t="s">
        <v>3640</v>
      </c>
      <c r="G3364" t="s">
        <v>4507</v>
      </c>
      <c r="H3364" t="s">
        <v>5390</v>
      </c>
      <c r="I3364" t="s">
        <v>6043</v>
      </c>
      <c r="J3364">
        <v>11216</v>
      </c>
      <c r="K3364" t="s">
        <v>6074</v>
      </c>
      <c r="L3364" t="s">
        <v>6074</v>
      </c>
      <c r="N3364" t="s">
        <v>6104</v>
      </c>
      <c r="O3364" t="s">
        <v>7307</v>
      </c>
      <c r="Q3364" t="s">
        <v>7322</v>
      </c>
      <c r="R3364" t="s">
        <v>6074</v>
      </c>
      <c r="S3364" t="s">
        <v>7324</v>
      </c>
      <c r="U3364" t="s">
        <v>427</v>
      </c>
      <c r="V3364">
        <v>2450</v>
      </c>
      <c r="W3364" t="s">
        <v>7362</v>
      </c>
      <c r="X3364" t="s">
        <v>7375</v>
      </c>
      <c r="Z3364" t="s">
        <v>9845</v>
      </c>
      <c r="AB3364" t="s">
        <v>12417</v>
      </c>
      <c r="AC3364">
        <v>82</v>
      </c>
      <c r="AD3364" t="s">
        <v>12422</v>
      </c>
      <c r="AE3364" t="s">
        <v>6110</v>
      </c>
      <c r="AF3364">
        <v>3</v>
      </c>
      <c r="AG3364">
        <v>1</v>
      </c>
      <c r="AH3364">
        <v>0</v>
      </c>
      <c r="AI3364">
        <v>1087.31</v>
      </c>
      <c r="AL3364" t="s">
        <v>12460</v>
      </c>
      <c r="AM3364">
        <v>132000</v>
      </c>
      <c r="AN3364" t="s">
        <v>12491</v>
      </c>
      <c r="AS3364">
        <v>0</v>
      </c>
      <c r="AU3364" t="s">
        <v>218</v>
      </c>
    </row>
    <row r="3365" spans="1:48">
      <c r="A3365" s="1">
        <f>HYPERLINK("https://cms.ls-nyc.org/matter/dynamic-profile/view/1901178","19-1901178")</f>
        <v>0</v>
      </c>
      <c r="B3365" t="s">
        <v>131</v>
      </c>
      <c r="C3365" t="s">
        <v>324</v>
      </c>
      <c r="E3365" t="s">
        <v>877</v>
      </c>
      <c r="F3365" t="s">
        <v>3641</v>
      </c>
      <c r="G3365" t="s">
        <v>5243</v>
      </c>
      <c r="H3365" t="s">
        <v>5521</v>
      </c>
      <c r="I3365" t="s">
        <v>6049</v>
      </c>
      <c r="J3365">
        <v>10033</v>
      </c>
      <c r="K3365" t="s">
        <v>6074</v>
      </c>
      <c r="L3365" t="s">
        <v>6075</v>
      </c>
      <c r="N3365" t="s">
        <v>7278</v>
      </c>
      <c r="O3365" t="s">
        <v>7306</v>
      </c>
      <c r="Q3365" t="s">
        <v>7322</v>
      </c>
      <c r="R3365" t="s">
        <v>6076</v>
      </c>
      <c r="S3365" t="s">
        <v>7324</v>
      </c>
      <c r="U3365" t="s">
        <v>324</v>
      </c>
      <c r="V3365">
        <v>1900</v>
      </c>
      <c r="W3365" t="s">
        <v>7365</v>
      </c>
      <c r="X3365" t="s">
        <v>7367</v>
      </c>
      <c r="Z3365" t="s">
        <v>9846</v>
      </c>
      <c r="AB3365" t="s">
        <v>12418</v>
      </c>
      <c r="AC3365">
        <v>95</v>
      </c>
      <c r="AD3365" t="s">
        <v>12422</v>
      </c>
      <c r="AE3365" t="s">
        <v>6110</v>
      </c>
      <c r="AF3365">
        <v>2</v>
      </c>
      <c r="AG3365">
        <v>2</v>
      </c>
      <c r="AH3365">
        <v>0</v>
      </c>
      <c r="AI3365">
        <v>1094.03</v>
      </c>
      <c r="AL3365" t="s">
        <v>12460</v>
      </c>
      <c r="AM3365">
        <v>185000</v>
      </c>
      <c r="AS3365">
        <v>0</v>
      </c>
      <c r="AU3365" t="s">
        <v>13106</v>
      </c>
      <c r="AV3365" t="s">
        <v>13145</v>
      </c>
    </row>
    <row r="3366" spans="1:48">
      <c r="A3366" s="1">
        <f>HYPERLINK("https://cms.ls-nyc.org/matter/dynamic-profile/view/1891049","19-1891049")</f>
        <v>0</v>
      </c>
      <c r="B3366" t="s">
        <v>133</v>
      </c>
      <c r="C3366" t="s">
        <v>393</v>
      </c>
      <c r="E3366" t="s">
        <v>642</v>
      </c>
      <c r="F3366" t="s">
        <v>3642</v>
      </c>
      <c r="G3366" t="s">
        <v>4839</v>
      </c>
      <c r="H3366" t="s">
        <v>5364</v>
      </c>
      <c r="I3366" t="s">
        <v>6049</v>
      </c>
      <c r="J3366">
        <v>10033</v>
      </c>
      <c r="K3366" t="s">
        <v>6074</v>
      </c>
      <c r="L3366" t="s">
        <v>6074</v>
      </c>
      <c r="O3366" t="s">
        <v>7306</v>
      </c>
      <c r="Q3366" t="s">
        <v>7322</v>
      </c>
      <c r="R3366" t="s">
        <v>6074</v>
      </c>
      <c r="S3366" t="s">
        <v>7324</v>
      </c>
      <c r="U3366" t="s">
        <v>393</v>
      </c>
      <c r="V3366">
        <v>1680</v>
      </c>
      <c r="W3366" t="s">
        <v>7365</v>
      </c>
      <c r="X3366" t="s">
        <v>7371</v>
      </c>
      <c r="Z3366" t="s">
        <v>9847</v>
      </c>
      <c r="AC3366">
        <v>60</v>
      </c>
      <c r="AD3366" t="s">
        <v>12422</v>
      </c>
      <c r="AE3366" t="s">
        <v>6110</v>
      </c>
      <c r="AF3366">
        <v>11</v>
      </c>
      <c r="AG3366">
        <v>1</v>
      </c>
      <c r="AH3366">
        <v>0</v>
      </c>
      <c r="AI3366">
        <v>1200.96</v>
      </c>
      <c r="AL3366" t="s">
        <v>12460</v>
      </c>
      <c r="AM3366">
        <v>150000</v>
      </c>
      <c r="AS3366">
        <v>0</v>
      </c>
      <c r="AU3366" t="s">
        <v>13106</v>
      </c>
    </row>
    <row r="3367" spans="1:48">
      <c r="A3367" s="1">
        <f>HYPERLINK("https://cms.ls-nyc.org/matter/dynamic-profile/view/1896713","19-1896713")</f>
        <v>0</v>
      </c>
      <c r="B3367" t="s">
        <v>84</v>
      </c>
      <c r="C3367" t="s">
        <v>387</v>
      </c>
      <c r="E3367" t="s">
        <v>1611</v>
      </c>
      <c r="F3367" t="s">
        <v>2457</v>
      </c>
      <c r="G3367" t="s">
        <v>4864</v>
      </c>
      <c r="H3367" t="s">
        <v>5813</v>
      </c>
      <c r="I3367" t="s">
        <v>6043</v>
      </c>
      <c r="J3367">
        <v>11220</v>
      </c>
      <c r="K3367" t="s">
        <v>6074</v>
      </c>
      <c r="L3367" t="s">
        <v>6074</v>
      </c>
      <c r="N3367" t="s">
        <v>7273</v>
      </c>
      <c r="O3367" t="s">
        <v>7308</v>
      </c>
      <c r="Q3367" t="s">
        <v>7322</v>
      </c>
      <c r="S3367" t="s">
        <v>7324</v>
      </c>
      <c r="U3367" t="s">
        <v>387</v>
      </c>
      <c r="V3367">
        <v>995</v>
      </c>
      <c r="W3367" t="s">
        <v>7362</v>
      </c>
      <c r="Z3367" t="s">
        <v>8977</v>
      </c>
      <c r="AC3367">
        <v>0</v>
      </c>
      <c r="AD3367" t="s">
        <v>12422</v>
      </c>
      <c r="AF3367">
        <v>25</v>
      </c>
      <c r="AG3367">
        <v>3</v>
      </c>
      <c r="AH3367">
        <v>0</v>
      </c>
      <c r="AI3367">
        <v>1631.5</v>
      </c>
      <c r="AL3367" t="s">
        <v>12460</v>
      </c>
      <c r="AM3367">
        <v>348000</v>
      </c>
      <c r="AS3367">
        <v>3.6</v>
      </c>
      <c r="AT3367" t="s">
        <v>254</v>
      </c>
      <c r="AU3367" t="s">
        <v>69</v>
      </c>
    </row>
    <row r="3368" spans="1:48">
      <c r="A3368" s="1">
        <f>HYPERLINK("https://cms.ls-nyc.org/matter/dynamic-profile/view/1899523","19-1899523")</f>
        <v>0</v>
      </c>
      <c r="B3368" t="s">
        <v>70</v>
      </c>
      <c r="C3368" t="s">
        <v>554</v>
      </c>
      <c r="E3368" t="s">
        <v>1850</v>
      </c>
      <c r="F3368" t="s">
        <v>3390</v>
      </c>
      <c r="G3368" t="s">
        <v>5174</v>
      </c>
      <c r="H3368" t="s">
        <v>5433</v>
      </c>
      <c r="I3368" t="s">
        <v>6043</v>
      </c>
      <c r="J3368">
        <v>11238</v>
      </c>
      <c r="K3368" t="s">
        <v>6074</v>
      </c>
      <c r="L3368" t="s">
        <v>6075</v>
      </c>
      <c r="N3368" t="s">
        <v>6104</v>
      </c>
      <c r="O3368" t="s">
        <v>7309</v>
      </c>
      <c r="Q3368" t="s">
        <v>7322</v>
      </c>
      <c r="R3368" t="s">
        <v>6076</v>
      </c>
      <c r="S3368" t="s">
        <v>7324</v>
      </c>
      <c r="T3368" t="s">
        <v>7336</v>
      </c>
      <c r="U3368" t="s">
        <v>554</v>
      </c>
      <c r="V3368">
        <v>993.77</v>
      </c>
      <c r="W3368" t="s">
        <v>7362</v>
      </c>
      <c r="X3368" t="s">
        <v>7368</v>
      </c>
      <c r="Z3368" t="s">
        <v>9445</v>
      </c>
      <c r="AB3368" t="s">
        <v>12110</v>
      </c>
      <c r="AC3368">
        <v>20</v>
      </c>
      <c r="AD3368" t="s">
        <v>12422</v>
      </c>
      <c r="AE3368" t="s">
        <v>6110</v>
      </c>
      <c r="AF3368">
        <v>35</v>
      </c>
      <c r="AG3368">
        <v>2</v>
      </c>
      <c r="AH3368">
        <v>0</v>
      </c>
      <c r="AI3368">
        <v>2525.75</v>
      </c>
      <c r="AL3368" t="s">
        <v>12460</v>
      </c>
      <c r="AM3368">
        <v>427104</v>
      </c>
      <c r="AS3368">
        <v>2.8</v>
      </c>
      <c r="AT3368" t="s">
        <v>460</v>
      </c>
      <c r="AU3368" t="s">
        <v>70</v>
      </c>
      <c r="AV3368" t="s">
        <v>13145</v>
      </c>
    </row>
    <row r="3369" spans="1:48">
      <c r="A3369" s="1">
        <f>HYPERLINK("https://cms.ls-nyc.org/matter/dynamic-profile/view/1889235","19-1889235")</f>
        <v>0</v>
      </c>
      <c r="B3369" t="s">
        <v>75</v>
      </c>
      <c r="C3369" t="s">
        <v>259</v>
      </c>
      <c r="E3369" t="s">
        <v>2038</v>
      </c>
      <c r="F3369" t="s">
        <v>3629</v>
      </c>
      <c r="G3369" t="s">
        <v>3721</v>
      </c>
      <c r="I3369" t="s">
        <v>6043</v>
      </c>
      <c r="J3369">
        <v>11226</v>
      </c>
      <c r="K3369" t="s">
        <v>6074</v>
      </c>
      <c r="L3369" t="s">
        <v>6074</v>
      </c>
      <c r="N3369" t="s">
        <v>7279</v>
      </c>
      <c r="O3369" t="s">
        <v>7311</v>
      </c>
      <c r="Q3369" t="s">
        <v>7322</v>
      </c>
      <c r="R3369" t="s">
        <v>6074</v>
      </c>
      <c r="S3369" t="s">
        <v>7324</v>
      </c>
      <c r="U3369" t="s">
        <v>267</v>
      </c>
      <c r="V3369">
        <v>1937</v>
      </c>
      <c r="W3369" t="s">
        <v>7362</v>
      </c>
      <c r="Z3369" t="s">
        <v>9832</v>
      </c>
      <c r="AB3369" t="s">
        <v>12407</v>
      </c>
      <c r="AC3369">
        <v>0</v>
      </c>
      <c r="AF3369">
        <v>3</v>
      </c>
      <c r="AG3369">
        <v>2</v>
      </c>
      <c r="AH3369">
        <v>1</v>
      </c>
      <c r="AI3369">
        <v>3211.44</v>
      </c>
      <c r="AL3369" t="s">
        <v>12460</v>
      </c>
      <c r="AM3369">
        <v>685000</v>
      </c>
      <c r="AS3369">
        <v>1.5</v>
      </c>
      <c r="AT3369" t="s">
        <v>477</v>
      </c>
      <c r="AU3369" t="s">
        <v>88</v>
      </c>
    </row>
    <row r="3370" spans="1:48">
      <c r="A3370" s="1">
        <f>HYPERLINK("https://cms.ls-nyc.org/matter/dynamic-profile/view/1898263","19-1898263")</f>
        <v>0</v>
      </c>
      <c r="B3370" t="s">
        <v>72</v>
      </c>
      <c r="C3370" t="s">
        <v>343</v>
      </c>
      <c r="E3370" t="s">
        <v>1934</v>
      </c>
      <c r="F3370" t="s">
        <v>3498</v>
      </c>
      <c r="G3370" t="s">
        <v>3700</v>
      </c>
      <c r="H3370" t="s">
        <v>5588</v>
      </c>
      <c r="I3370" t="s">
        <v>6043</v>
      </c>
      <c r="J3370">
        <v>11233</v>
      </c>
      <c r="K3370" t="s">
        <v>6074</v>
      </c>
      <c r="L3370" t="s">
        <v>6076</v>
      </c>
      <c r="N3370" t="s">
        <v>7275</v>
      </c>
      <c r="O3370" t="s">
        <v>7307</v>
      </c>
      <c r="Q3370" t="s">
        <v>7322</v>
      </c>
      <c r="R3370" t="s">
        <v>6074</v>
      </c>
      <c r="S3370" t="s">
        <v>7324</v>
      </c>
      <c r="T3370" t="s">
        <v>7336</v>
      </c>
      <c r="U3370" t="s">
        <v>287</v>
      </c>
      <c r="V3370">
        <v>1872.98</v>
      </c>
      <c r="W3370" t="s">
        <v>7362</v>
      </c>
      <c r="AC3370">
        <v>359</v>
      </c>
      <c r="AD3370" t="s">
        <v>12422</v>
      </c>
      <c r="AF3370">
        <v>2</v>
      </c>
      <c r="AG3370">
        <v>1</v>
      </c>
      <c r="AH3370">
        <v>0</v>
      </c>
      <c r="AI3370">
        <v>3747</v>
      </c>
      <c r="AL3370" t="s">
        <v>12460</v>
      </c>
      <c r="AM3370">
        <v>468000</v>
      </c>
      <c r="AN3370" t="s">
        <v>12843</v>
      </c>
      <c r="AS3370">
        <v>0</v>
      </c>
      <c r="AU3370" t="s">
        <v>180</v>
      </c>
    </row>
    <row r="3371" spans="1:48">
      <c r="A3371" s="1">
        <f>HYPERLINK("https://cms.ls-nyc.org/matter/dynamic-profile/view/1892098","19-1892098")</f>
        <v>0</v>
      </c>
      <c r="B3371" t="s">
        <v>72</v>
      </c>
      <c r="C3371" t="s">
        <v>405</v>
      </c>
      <c r="E3371" t="s">
        <v>711</v>
      </c>
      <c r="F3371" t="s">
        <v>2104</v>
      </c>
      <c r="G3371" t="s">
        <v>3700</v>
      </c>
      <c r="H3371" t="s">
        <v>5993</v>
      </c>
      <c r="I3371" t="s">
        <v>6043</v>
      </c>
      <c r="J3371">
        <v>11233</v>
      </c>
      <c r="K3371" t="s">
        <v>6074</v>
      </c>
      <c r="L3371" t="s">
        <v>6076</v>
      </c>
      <c r="N3371" t="s">
        <v>7275</v>
      </c>
      <c r="O3371" t="s">
        <v>7307</v>
      </c>
      <c r="Q3371" t="s">
        <v>7322</v>
      </c>
      <c r="R3371" t="s">
        <v>6074</v>
      </c>
      <c r="S3371" t="s">
        <v>7324</v>
      </c>
      <c r="T3371" t="s">
        <v>7336</v>
      </c>
      <c r="U3371" t="s">
        <v>287</v>
      </c>
      <c r="V3371">
        <v>1037</v>
      </c>
      <c r="W3371" t="s">
        <v>7362</v>
      </c>
      <c r="X3371" t="s">
        <v>7305</v>
      </c>
      <c r="Z3371" t="s">
        <v>9686</v>
      </c>
      <c r="AC3371">
        <v>359</v>
      </c>
      <c r="AD3371" t="s">
        <v>12422</v>
      </c>
      <c r="AF3371">
        <v>49</v>
      </c>
      <c r="AG3371">
        <v>3</v>
      </c>
      <c r="AH3371">
        <v>0</v>
      </c>
      <c r="AI3371">
        <v>4388.19</v>
      </c>
      <c r="AL3371" t="s">
        <v>12460</v>
      </c>
      <c r="AM3371">
        <v>936000</v>
      </c>
      <c r="AN3371" t="s">
        <v>12844</v>
      </c>
      <c r="AS3371">
        <v>0</v>
      </c>
      <c r="AU3371" t="s">
        <v>180</v>
      </c>
    </row>
    <row r="3372" spans="1:48">
      <c r="A3372" s="1">
        <f>HYPERLINK("https://cms.ls-nyc.org/matter/dynamic-profile/view/1894378","19-1894378")</f>
        <v>0</v>
      </c>
      <c r="B3372" t="s">
        <v>148</v>
      </c>
      <c r="C3372" t="s">
        <v>392</v>
      </c>
      <c r="E3372" t="s">
        <v>1977</v>
      </c>
      <c r="F3372" t="s">
        <v>3541</v>
      </c>
      <c r="G3372" t="s">
        <v>5036</v>
      </c>
      <c r="H3372">
        <v>28</v>
      </c>
      <c r="I3372" t="s">
        <v>6043</v>
      </c>
      <c r="J3372">
        <v>11213</v>
      </c>
      <c r="K3372" t="s">
        <v>6074</v>
      </c>
      <c r="L3372" t="s">
        <v>6074</v>
      </c>
      <c r="M3372" t="s">
        <v>7272</v>
      </c>
      <c r="N3372" t="s">
        <v>7276</v>
      </c>
      <c r="O3372" t="s">
        <v>7308</v>
      </c>
      <c r="Q3372" t="s">
        <v>7322</v>
      </c>
      <c r="S3372" t="s">
        <v>7324</v>
      </c>
      <c r="U3372" t="s">
        <v>469</v>
      </c>
      <c r="V3372">
        <v>1326</v>
      </c>
      <c r="W3372" t="s">
        <v>7362</v>
      </c>
      <c r="X3372" t="s">
        <v>7368</v>
      </c>
      <c r="Z3372" t="s">
        <v>9692</v>
      </c>
      <c r="AB3372" t="s">
        <v>12305</v>
      </c>
      <c r="AC3372">
        <v>0</v>
      </c>
      <c r="AD3372" t="s">
        <v>12422</v>
      </c>
      <c r="AE3372" t="s">
        <v>6110</v>
      </c>
      <c r="AF3372">
        <v>2</v>
      </c>
      <c r="AG3372">
        <v>1</v>
      </c>
      <c r="AH3372">
        <v>0</v>
      </c>
      <c r="AI3372">
        <v>5181.52</v>
      </c>
      <c r="AL3372" t="s">
        <v>12460</v>
      </c>
      <c r="AM3372">
        <v>647172</v>
      </c>
      <c r="AS3372">
        <v>11.45</v>
      </c>
      <c r="AT3372" t="s">
        <v>421</v>
      </c>
      <c r="AU3372" t="s">
        <v>148</v>
      </c>
    </row>
    <row r="3373" spans="1:48">
      <c r="A3373" s="1">
        <f>HYPERLINK("https://cms.ls-nyc.org/matter/dynamic-profile/view/1892994","19-1892994")</f>
        <v>0</v>
      </c>
      <c r="B3373" t="s">
        <v>81</v>
      </c>
      <c r="C3373" t="s">
        <v>332</v>
      </c>
      <c r="E3373" t="s">
        <v>1503</v>
      </c>
      <c r="F3373" t="s">
        <v>3587</v>
      </c>
      <c r="G3373" t="s">
        <v>3874</v>
      </c>
      <c r="H3373" t="s">
        <v>5357</v>
      </c>
      <c r="I3373" t="s">
        <v>6043</v>
      </c>
      <c r="J3373">
        <v>11225</v>
      </c>
      <c r="K3373" t="s">
        <v>6074</v>
      </c>
      <c r="L3373" t="s">
        <v>6074</v>
      </c>
      <c r="N3373" t="s">
        <v>7282</v>
      </c>
      <c r="O3373" t="s">
        <v>7308</v>
      </c>
      <c r="Q3373" t="s">
        <v>7322</v>
      </c>
      <c r="S3373" t="s">
        <v>7324</v>
      </c>
      <c r="U3373" t="s">
        <v>477</v>
      </c>
      <c r="V3373">
        <v>0</v>
      </c>
      <c r="W3373" t="s">
        <v>7362</v>
      </c>
      <c r="Z3373" t="s">
        <v>9762</v>
      </c>
      <c r="AB3373" t="s">
        <v>9856</v>
      </c>
      <c r="AC3373">
        <v>0</v>
      </c>
      <c r="AF3373">
        <v>0</v>
      </c>
      <c r="AG3373">
        <v>2</v>
      </c>
      <c r="AH3373">
        <v>0</v>
      </c>
      <c r="AI3373">
        <v>5762.27</v>
      </c>
      <c r="AL3373" t="s">
        <v>12460</v>
      </c>
      <c r="AM3373">
        <v>974400</v>
      </c>
      <c r="AS3373">
        <v>5</v>
      </c>
      <c r="AT3373" t="s">
        <v>335</v>
      </c>
      <c r="AU3373" t="s">
        <v>88</v>
      </c>
    </row>
    <row r="3374" spans="1:48">
      <c r="A3374" s="1">
        <f>HYPERLINK("https://cms.ls-nyc.org/matter/dynamic-profile/view/1891818","19-1891818")</f>
        <v>0</v>
      </c>
      <c r="B3374" t="s">
        <v>83</v>
      </c>
      <c r="C3374" t="s">
        <v>318</v>
      </c>
      <c r="E3374" t="s">
        <v>2017</v>
      </c>
      <c r="F3374" t="s">
        <v>3600</v>
      </c>
      <c r="G3374" t="s">
        <v>3730</v>
      </c>
      <c r="H3374" t="s">
        <v>6016</v>
      </c>
      <c r="I3374" t="s">
        <v>6043</v>
      </c>
      <c r="J3374">
        <v>11225</v>
      </c>
      <c r="K3374" t="s">
        <v>6074</v>
      </c>
      <c r="L3374" t="s">
        <v>6074</v>
      </c>
      <c r="M3374" t="s">
        <v>7235</v>
      </c>
      <c r="N3374" t="s">
        <v>7279</v>
      </c>
      <c r="O3374" t="s">
        <v>7311</v>
      </c>
      <c r="Q3374" t="s">
        <v>7322</v>
      </c>
      <c r="R3374" t="s">
        <v>6074</v>
      </c>
      <c r="S3374" t="s">
        <v>7324</v>
      </c>
      <c r="U3374" t="s">
        <v>420</v>
      </c>
      <c r="V3374">
        <v>1740.79</v>
      </c>
      <c r="W3374" t="s">
        <v>7362</v>
      </c>
      <c r="X3374" t="s">
        <v>7376</v>
      </c>
      <c r="Z3374" t="s">
        <v>9781</v>
      </c>
      <c r="AB3374" t="s">
        <v>12367</v>
      </c>
      <c r="AC3374">
        <v>89</v>
      </c>
      <c r="AD3374" t="s">
        <v>12422</v>
      </c>
      <c r="AF3374">
        <v>7</v>
      </c>
      <c r="AG3374">
        <v>1</v>
      </c>
      <c r="AH3374">
        <v>0</v>
      </c>
      <c r="AI3374">
        <v>6245</v>
      </c>
      <c r="AL3374" t="s">
        <v>12460</v>
      </c>
      <c r="AM3374">
        <v>780000</v>
      </c>
      <c r="AS3374">
        <v>0</v>
      </c>
      <c r="AU3374" t="s">
        <v>88</v>
      </c>
    </row>
    <row r="3375" spans="1:48">
      <c r="A3375" s="1">
        <f>HYPERLINK("https://cms.ls-nyc.org/matter/dynamic-profile/view/1887692","19-1887692")</f>
        <v>0</v>
      </c>
      <c r="B3375" t="s">
        <v>92</v>
      </c>
      <c r="C3375" t="s">
        <v>492</v>
      </c>
      <c r="D3375" t="s">
        <v>472</v>
      </c>
      <c r="E3375" t="s">
        <v>698</v>
      </c>
      <c r="F3375" t="s">
        <v>2154</v>
      </c>
      <c r="G3375" t="s">
        <v>4991</v>
      </c>
      <c r="H3375" t="s">
        <v>5359</v>
      </c>
      <c r="I3375" t="s">
        <v>6043</v>
      </c>
      <c r="J3375">
        <v>11233</v>
      </c>
      <c r="K3375" t="s">
        <v>6074</v>
      </c>
      <c r="L3375" t="s">
        <v>6074</v>
      </c>
      <c r="N3375" t="s">
        <v>7275</v>
      </c>
      <c r="O3375" t="s">
        <v>7307</v>
      </c>
      <c r="P3375" t="s">
        <v>7315</v>
      </c>
      <c r="Q3375" t="s">
        <v>7322</v>
      </c>
      <c r="R3375" t="s">
        <v>6074</v>
      </c>
      <c r="S3375" t="s">
        <v>7324</v>
      </c>
      <c r="U3375" t="s">
        <v>462</v>
      </c>
      <c r="V3375">
        <v>840</v>
      </c>
      <c r="W3375" t="s">
        <v>7362</v>
      </c>
      <c r="X3375" t="s">
        <v>7372</v>
      </c>
      <c r="Y3375" t="s">
        <v>7387</v>
      </c>
      <c r="Z3375" t="s">
        <v>9802</v>
      </c>
      <c r="AB3375" t="s">
        <v>12385</v>
      </c>
      <c r="AC3375">
        <v>7</v>
      </c>
      <c r="AD3375" t="s">
        <v>12422</v>
      </c>
      <c r="AE3375" t="s">
        <v>6110</v>
      </c>
      <c r="AF3375">
        <v>30</v>
      </c>
      <c r="AG3375">
        <v>1</v>
      </c>
      <c r="AH3375">
        <v>0</v>
      </c>
      <c r="AI3375">
        <v>6919.28</v>
      </c>
      <c r="AK3375" t="s">
        <v>12456</v>
      </c>
      <c r="AL3375" t="s">
        <v>12460</v>
      </c>
      <c r="AM3375">
        <v>840000</v>
      </c>
      <c r="AP3375" t="s">
        <v>7305</v>
      </c>
      <c r="AS3375">
        <v>0.2</v>
      </c>
      <c r="AT3375" t="s">
        <v>492</v>
      </c>
      <c r="AU3375" t="s">
        <v>180</v>
      </c>
    </row>
    <row r="3376" spans="1:48">
      <c r="A3376" s="1">
        <f>HYPERLINK("https://cms.ls-nyc.org/matter/dynamic-profile/view/1871584","18-1871584")</f>
        <v>0</v>
      </c>
      <c r="B3376" t="s">
        <v>151</v>
      </c>
      <c r="C3376" t="s">
        <v>374</v>
      </c>
      <c r="D3376" t="s">
        <v>236</v>
      </c>
      <c r="E3376" t="s">
        <v>586</v>
      </c>
      <c r="F3376" t="s">
        <v>3305</v>
      </c>
      <c r="G3376" t="s">
        <v>5345</v>
      </c>
      <c r="H3376" t="s">
        <v>5411</v>
      </c>
      <c r="I3376" t="s">
        <v>6047</v>
      </c>
      <c r="J3376">
        <v>10468</v>
      </c>
      <c r="K3376" t="s">
        <v>6074</v>
      </c>
      <c r="L3376" t="s">
        <v>6074</v>
      </c>
      <c r="M3376" t="s">
        <v>6101</v>
      </c>
      <c r="N3376" t="s">
        <v>7278</v>
      </c>
      <c r="O3376" t="s">
        <v>7306</v>
      </c>
      <c r="P3376" t="s">
        <v>7314</v>
      </c>
      <c r="Q3376" t="s">
        <v>7322</v>
      </c>
      <c r="R3376" t="s">
        <v>6076</v>
      </c>
      <c r="S3376" t="s">
        <v>7324</v>
      </c>
      <c r="T3376" t="s">
        <v>7336</v>
      </c>
      <c r="U3376" t="s">
        <v>495</v>
      </c>
      <c r="V3376">
        <v>1073.4</v>
      </c>
      <c r="W3376" t="s">
        <v>7363</v>
      </c>
      <c r="X3376" t="s">
        <v>7376</v>
      </c>
      <c r="Y3376" t="s">
        <v>7386</v>
      </c>
      <c r="Z3376" t="s">
        <v>8549</v>
      </c>
      <c r="AA3376" t="s">
        <v>6101</v>
      </c>
      <c r="AC3376">
        <v>47</v>
      </c>
      <c r="AD3376" t="s">
        <v>12422</v>
      </c>
      <c r="AE3376" t="s">
        <v>6110</v>
      </c>
      <c r="AF3376">
        <v>28</v>
      </c>
      <c r="AG3376">
        <v>4</v>
      </c>
      <c r="AH3376">
        <v>0</v>
      </c>
      <c r="AI3376">
        <v>0</v>
      </c>
      <c r="AL3376" t="s">
        <v>12461</v>
      </c>
      <c r="AM3376">
        <v>0</v>
      </c>
      <c r="AN3376" t="s">
        <v>12534</v>
      </c>
      <c r="AS3376">
        <v>0.2</v>
      </c>
      <c r="AT3376" t="s">
        <v>419</v>
      </c>
      <c r="AU3376" t="s">
        <v>13095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2019-06-04T19:31:49Z</dcterms:created>
  <dcterms:modified xsi:type="dcterms:W3CDTF">2019-06-04T19:31:49Z</dcterms:modified>
</cp:coreProperties>
</file>